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2AE07F7D-648B-46A5-9146-294FADE9D8B8}" xr6:coauthVersionLast="45" xr6:coauthVersionMax="45" xr10:uidLastSave="{00000000-0000-0000-0000-000000000000}"/>
  <bookViews>
    <workbookView xWindow="-120" yWindow="-120" windowWidth="19440" windowHeight="1500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典型户型修正" sheetId="31" r:id="rId21"/>
    <sheet name="商业案例" sheetId="78" r:id="rId22"/>
    <sheet name="收益法" sheetId="15" r:id="rId23"/>
    <sheet name="租金案例" sheetId="81" r:id="rId24"/>
    <sheet name="台账" sheetId="84" r:id="rId25"/>
    <sheet name="租金收入" sheetId="85" r:id="rId26"/>
    <sheet name="结果表车位" sheetId="82" r:id="rId27"/>
    <sheet name="比较法-车位" sheetId="35" r:id="rId28"/>
    <sheet name="车位案例" sheetId="83" r:id="rId29"/>
    <sheet name="收益法 (元)" sheetId="67" r:id="rId30"/>
    <sheet name="收益法（汇总）" sheetId="70" state="hidden" r:id="rId31"/>
    <sheet name="成本法" sheetId="68" r:id="rId32"/>
    <sheet name="成本法 (元)" sheetId="69" state="hidden" r:id="rId33"/>
    <sheet name="假设开发法" sheetId="12" state="hidden" r:id="rId34"/>
    <sheet name="土地比较法-住宅、综合" sheetId="39" r:id="rId35"/>
    <sheet name="酒店收入计算" sheetId="66" state="hidden" r:id="rId36"/>
    <sheet name="比较法-住宅" sheetId="21" state="hidden" r:id="rId37"/>
    <sheet name="比较法-办公" sheetId="34" state="hidden" r:id="rId38"/>
    <sheet name="比较法-工业" sheetId="37"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土地案例" sheetId="80" r:id="rId52"/>
  </sheets>
  <definedNames>
    <definedName name="_xlnm._FilterDatabase" localSheetId="37" hidden="1">'比较法-办公'!$A$1:$L$50</definedName>
    <definedName name="_xlnm._FilterDatabase" localSheetId="39" hidden="1">'比较法-仓储'!$A$1:$L$37</definedName>
    <definedName name="_xlnm._FilterDatabase" localSheetId="27" hidden="1">'比较法-车位'!$A$1:$L$39</definedName>
    <definedName name="_xlnm._FilterDatabase" localSheetId="38" hidden="1">'比较法-工业'!$A$1:$L$43</definedName>
    <definedName name="_xlnm._FilterDatabase" localSheetId="19" hidden="1">'比较法-商业'!$A$1:$L$49</definedName>
    <definedName name="_xlnm._FilterDatabase" localSheetId="3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39">'比较法-仓储'!$A$1:$K$42,'比较法-仓储'!$A$45:$M$96</definedName>
    <definedName name="_xlnm.Print_Area" localSheetId="27">'比较法-车位'!$A$1:$K$44,'比较法-车位'!$A$47:$M$102</definedName>
    <definedName name="_xlnm.Print_Area" localSheetId="38">'比较法-工业'!$A$1:$K$48,'比较法-工业'!$A$51:$M$113</definedName>
    <definedName name="_xlnm.Print_Area" localSheetId="19">'比较法-商业'!$A$1:$K$54,'比较法-商业'!$A$57:$M$131</definedName>
    <definedName name="_xlnm.Print_Area" localSheetId="36">'比较法-住宅'!$A$1:$K$54,'比较法-住宅'!$A$57:$M$131</definedName>
    <definedName name="_xlnm.Print_Area" localSheetId="31">成本法!$A$1:$G$57</definedName>
    <definedName name="_xlnm.Print_Area" localSheetId="32">'成本法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33">假设开发法!$A$1:$K$32</definedName>
    <definedName name="_xlnm.Print_Area" localSheetId="18">结果表!$A$1:$I$127</definedName>
    <definedName name="_xlnm.Print_Area" localSheetId="26">结果表车位!$A$1:$I$127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40">'土地比较法-工业'!$A$1:$K$61,'土地比较法-工业'!$A$64:$M$121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45" i="84" l="1"/>
  <c r="J48" i="84"/>
  <c r="J46" i="84"/>
  <c r="J47" i="84"/>
  <c r="J45" i="84"/>
  <c r="C6" i="68"/>
  <c r="K3" i="84"/>
  <c r="F40" i="84"/>
  <c r="E40" i="84"/>
  <c r="E37" i="84"/>
  <c r="F41" i="84"/>
  <c r="N21" i="1" l="1"/>
  <c r="N19" i="1"/>
  <c r="A3" i="3"/>
  <c r="C6" i="85" l="1"/>
  <c r="D4" i="85"/>
  <c r="D3" i="85"/>
  <c r="K36" i="84"/>
  <c r="L36" i="84" s="1"/>
  <c r="K35" i="84"/>
  <c r="N35" i="84" s="1"/>
  <c r="J35" i="84" s="1"/>
  <c r="K34" i="84"/>
  <c r="M34" i="84" s="1"/>
  <c r="K33" i="84"/>
  <c r="N33" i="84" s="1"/>
  <c r="J33" i="84"/>
  <c r="K32" i="84"/>
  <c r="M32" i="84" s="1"/>
  <c r="J32" i="84"/>
  <c r="K31" i="84"/>
  <c r="N31" i="84" s="1"/>
  <c r="J31" i="84" s="1"/>
  <c r="L30" i="84"/>
  <c r="K30" i="84"/>
  <c r="M30" i="84" s="1"/>
  <c r="K29" i="84"/>
  <c r="N29" i="84" s="1"/>
  <c r="K28" i="84"/>
  <c r="N28" i="84" s="1"/>
  <c r="J28" i="84" s="1"/>
  <c r="L27" i="84"/>
  <c r="K27" i="84"/>
  <c r="M27" i="84" s="1"/>
  <c r="K26" i="84"/>
  <c r="N26" i="84" s="1"/>
  <c r="J26" i="84" s="1"/>
  <c r="K25" i="84"/>
  <c r="M25" i="84" s="1"/>
  <c r="J25" i="84"/>
  <c r="K24" i="84"/>
  <c r="N24" i="84" s="1"/>
  <c r="J24" i="84"/>
  <c r="K23" i="84"/>
  <c r="M23" i="84" s="1"/>
  <c r="L22" i="84"/>
  <c r="K22" i="84"/>
  <c r="M22" i="84" s="1"/>
  <c r="K21" i="84"/>
  <c r="N21" i="84" s="1"/>
  <c r="J21" i="84" s="1"/>
  <c r="K20" i="84"/>
  <c r="M20" i="84" s="1"/>
  <c r="K19" i="84"/>
  <c r="N19" i="84" s="1"/>
  <c r="K18" i="84"/>
  <c r="N18" i="84" s="1"/>
  <c r="J18" i="84" s="1"/>
  <c r="K17" i="84"/>
  <c r="M17" i="84" s="1"/>
  <c r="K16" i="84"/>
  <c r="N16" i="84" s="1"/>
  <c r="J16" i="84" s="1"/>
  <c r="L15" i="84"/>
  <c r="K15" i="84"/>
  <c r="M15" i="84" s="1"/>
  <c r="K14" i="84"/>
  <c r="N14" i="84" s="1"/>
  <c r="J14" i="84" s="1"/>
  <c r="K13" i="84"/>
  <c r="L13" i="84" s="1"/>
  <c r="K12" i="84"/>
  <c r="N12" i="84" s="1"/>
  <c r="J12" i="84" s="1"/>
  <c r="K11" i="84"/>
  <c r="M11" i="84" s="1"/>
  <c r="K10" i="84"/>
  <c r="N10" i="84" s="1"/>
  <c r="J10" i="84" s="1"/>
  <c r="N8" i="84"/>
  <c r="J8" i="84" s="1"/>
  <c r="M8" i="84"/>
  <c r="L8" i="84"/>
  <c r="L7" i="84"/>
  <c r="K7" i="84"/>
  <c r="M7" i="84" s="1"/>
  <c r="J7" i="84"/>
  <c r="K6" i="84"/>
  <c r="N6" i="84" s="1"/>
  <c r="J6" i="84" s="1"/>
  <c r="K5" i="84"/>
  <c r="M5" i="84" s="1"/>
  <c r="K4" i="84"/>
  <c r="N4" i="84" s="1"/>
  <c r="J4" i="84" s="1"/>
  <c r="L3" i="84"/>
  <c r="J3" i="84"/>
  <c r="N5" i="84" l="1"/>
  <c r="J5" i="84" s="1"/>
  <c r="N11" i="84"/>
  <c r="J11" i="84" s="1"/>
  <c r="N17" i="84"/>
  <c r="J17" i="84" s="1"/>
  <c r="N20" i="84"/>
  <c r="J20" i="84" s="1"/>
  <c r="N23" i="84"/>
  <c r="N25" i="84"/>
  <c r="N32" i="84"/>
  <c r="N34" i="84"/>
  <c r="J34" i="84" s="1"/>
  <c r="K37" i="84"/>
  <c r="N3" i="84"/>
  <c r="L5" i="84"/>
  <c r="L11" i="84"/>
  <c r="N15" i="84"/>
  <c r="J15" i="84" s="1"/>
  <c r="L17" i="84"/>
  <c r="L20" i="84"/>
  <c r="N22" i="84"/>
  <c r="J22" i="84" s="1"/>
  <c r="J37" i="84" s="1"/>
  <c r="L23" i="84"/>
  <c r="L25" i="84"/>
  <c r="N27" i="84"/>
  <c r="J27" i="84" s="1"/>
  <c r="N30" i="84"/>
  <c r="J30" i="84" s="1"/>
  <c r="L32" i="84"/>
  <c r="L34" i="84"/>
  <c r="M4" i="84"/>
  <c r="M6" i="84"/>
  <c r="N7" i="84"/>
  <c r="M10" i="84"/>
  <c r="M12" i="84"/>
  <c r="N13" i="84"/>
  <c r="M14" i="84"/>
  <c r="M16" i="84"/>
  <c r="M18" i="84"/>
  <c r="M19" i="84"/>
  <c r="M21" i="84"/>
  <c r="M24" i="84"/>
  <c r="M26" i="84"/>
  <c r="M28" i="84"/>
  <c r="M29" i="84"/>
  <c r="M31" i="84"/>
  <c r="M33" i="84"/>
  <c r="M35" i="84"/>
  <c r="N36" i="84"/>
  <c r="M3" i="84"/>
  <c r="M37" i="84" s="1"/>
  <c r="L4" i="84"/>
  <c r="L6" i="84"/>
  <c r="L10" i="84"/>
  <c r="L12" i="84"/>
  <c r="L14" i="84"/>
  <c r="L16" i="84"/>
  <c r="L18" i="84"/>
  <c r="L19" i="84"/>
  <c r="L21" i="84"/>
  <c r="L24" i="84"/>
  <c r="L26" i="84"/>
  <c r="L28" i="84"/>
  <c r="L29" i="84"/>
  <c r="L31" i="84"/>
  <c r="L33" i="84"/>
  <c r="L35" i="84"/>
  <c r="L37" i="84" l="1"/>
  <c r="N37" i="84"/>
  <c r="D49" i="35"/>
  <c r="E49" i="35" s="1"/>
  <c r="F49" i="35" s="1"/>
  <c r="G49" i="35" s="1"/>
  <c r="H49" i="35" s="1"/>
  <c r="I49" i="35" s="1"/>
  <c r="J49" i="35" s="1"/>
  <c r="K49" i="35" s="1"/>
  <c r="L49" i="35" s="1"/>
  <c r="M49" i="35" s="1"/>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N55" i="82" s="1"/>
  <c r="F56" i="82"/>
  <c r="O55" i="82"/>
  <c r="K55" i="82"/>
  <c r="J55" i="82"/>
  <c r="I55" i="82"/>
  <c r="F55" i="82"/>
  <c r="O53" i="82" s="1"/>
  <c r="O54" i="82"/>
  <c r="N54" i="82"/>
  <c r="N53" i="82"/>
  <c r="K49" i="82"/>
  <c r="E48" i="82"/>
  <c r="N52" i="82" s="1"/>
  <c r="D48" i="82"/>
  <c r="M52" i="82" s="1"/>
  <c r="F33" i="82"/>
  <c r="D27" i="82"/>
  <c r="C25" i="82"/>
  <c r="C24" i="82"/>
  <c r="D17" i="82"/>
  <c r="C17" i="82"/>
  <c r="L4" i="82"/>
  <c r="K4" i="82"/>
  <c r="H1" i="82"/>
  <c r="D4" i="31"/>
  <c r="E4" i="31"/>
  <c r="F4" i="31"/>
  <c r="G4" i="31"/>
  <c r="H4" i="31"/>
  <c r="I4" i="31"/>
  <c r="C4" i="31"/>
  <c r="D3" i="31"/>
  <c r="E3" i="31"/>
  <c r="F3" i="31"/>
  <c r="G3" i="31"/>
  <c r="H3" i="31"/>
  <c r="I3" i="31"/>
  <c r="C3" i="31"/>
  <c r="C33" i="33"/>
  <c r="B25" i="31"/>
  <c r="B26" i="31"/>
  <c r="B24" i="31"/>
  <c r="I38" i="39"/>
  <c r="G38" i="39"/>
  <c r="E38" i="39"/>
  <c r="C38" i="39"/>
  <c r="E71" i="39"/>
  <c r="F71" i="39" s="1"/>
  <c r="G71" i="39" s="1"/>
  <c r="H71" i="39" s="1"/>
  <c r="I71" i="39" s="1"/>
  <c r="J71" i="39" s="1"/>
  <c r="K71" i="39" s="1"/>
  <c r="L71" i="39" s="1"/>
  <c r="M71" i="39" s="1"/>
  <c r="D71" i="39"/>
  <c r="I7" i="39"/>
  <c r="G7" i="39"/>
  <c r="E7" i="39"/>
  <c r="I5" i="39"/>
  <c r="G5" i="39"/>
  <c r="E5" i="39"/>
  <c r="D34" i="82"/>
  <c r="D35" i="82"/>
  <c r="A126" i="82" l="1"/>
  <c r="C18" i="82"/>
  <c r="D18" i="82" s="1"/>
  <c r="C92" i="82"/>
  <c r="C94" i="82"/>
  <c r="K120" i="82"/>
  <c r="D121" i="82"/>
  <c r="H109" i="82"/>
  <c r="D59" i="33"/>
  <c r="E59" i="33" s="1"/>
  <c r="F59" i="33" s="1"/>
  <c r="G59" i="33" s="1"/>
  <c r="H59" i="33" s="1"/>
  <c r="I59" i="33" s="1"/>
  <c r="J59" i="33" s="1"/>
  <c r="K59" i="33" s="1"/>
  <c r="L59" i="33" s="1"/>
  <c r="M59" i="33" s="1"/>
  <c r="D124" i="82" l="1"/>
  <c r="D125" i="82" s="1"/>
  <c r="H110" i="82"/>
  <c r="W21" i="1"/>
  <c r="W20" i="1"/>
  <c r="V22" i="1"/>
  <c r="V20" i="1"/>
  <c r="V21" i="1"/>
  <c r="V19" i="1"/>
  <c r="N16" i="80"/>
  <c r="N15" i="80"/>
  <c r="N14" i="80"/>
  <c r="N13" i="80"/>
  <c r="N12" i="80"/>
  <c r="N11" i="80"/>
  <c r="N10" i="80"/>
  <c r="N9" i="80"/>
  <c r="N8" i="80"/>
  <c r="N7" i="80"/>
  <c r="N6" i="80"/>
  <c r="N5" i="80"/>
  <c r="N4" i="80"/>
  <c r="N3" i="80"/>
  <c r="N2" i="80"/>
  <c r="W22" i="1" l="1"/>
  <c r="AH7" i="1"/>
  <c r="K13" i="3"/>
  <c r="G20" i="6" s="1"/>
  <c r="I13" i="3"/>
  <c r="F19" i="6" s="1"/>
  <c r="E9" i="77"/>
  <c r="E12" i="77" s="1"/>
  <c r="N6" i="1" l="1"/>
  <c r="AH5" i="71"/>
  <c r="AG5" i="71"/>
  <c r="AE5" i="71"/>
  <c r="AF5" i="71" s="1"/>
  <c r="AD5" i="71"/>
  <c r="Q5" i="71"/>
  <c r="P5" i="71"/>
  <c r="O5" i="71"/>
  <c r="N5" i="71"/>
  <c r="C36" i="33" l="1"/>
  <c r="N7" i="1"/>
  <c r="Y6" i="1"/>
  <c r="Y7" i="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1" i="71"/>
  <c r="F80" i="71"/>
  <c r="F79" i="71" s="1"/>
  <c r="E80" i="71"/>
  <c r="E79" i="71"/>
  <c r="E78" i="71" s="1"/>
  <c r="C80" i="71"/>
  <c r="D80" i="71" s="1"/>
  <c r="B80" i="71"/>
  <c r="B79" i="71" s="1"/>
  <c r="F78" i="71"/>
  <c r="B78" i="71"/>
  <c r="D77" i="71"/>
  <c r="F76" i="71"/>
  <c r="F75" i="71" s="1"/>
  <c r="E76" i="71"/>
  <c r="E75" i="71"/>
  <c r="E74" i="71" s="1"/>
  <c r="C76" i="71"/>
  <c r="D76" i="71" s="1"/>
  <c r="B76" i="71"/>
  <c r="B75" i="71" s="1"/>
  <c r="F74" i="71"/>
  <c r="B74"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S60" i="71" s="1"/>
  <c r="F59" i="71"/>
  <c r="F58" i="71" s="1"/>
  <c r="Q58" i="7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AB31" i="71" s="1"/>
  <c r="P31" i="71"/>
  <c r="AA31" i="71"/>
  <c r="O31" i="71"/>
  <c r="Y31" i="71"/>
  <c r="Z31" i="71" s="1"/>
  <c r="N31" i="71"/>
  <c r="X31" i="71" s="1"/>
  <c r="Q30" i="71"/>
  <c r="AB30" i="71" s="1"/>
  <c r="P30" i="71"/>
  <c r="O30" i="71"/>
  <c r="Y30" i="71"/>
  <c r="Z30" i="71" s="1"/>
  <c r="N30" i="71"/>
  <c r="Q29" i="71"/>
  <c r="F30" i="71" s="1"/>
  <c r="F31" i="71" s="1"/>
  <c r="F32" i="71" s="1"/>
  <c r="V32" i="71" s="1"/>
  <c r="P29" i="71"/>
  <c r="O29" i="71"/>
  <c r="N29" i="71"/>
  <c r="B30" i="71" s="1"/>
  <c r="B31" i="71" s="1"/>
  <c r="B32" i="71" s="1"/>
  <c r="S32" i="71" s="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X23" i="71" s="1"/>
  <c r="Q23" i="71"/>
  <c r="AB23" i="71"/>
  <c r="P23" i="71"/>
  <c r="O23" i="71"/>
  <c r="Y23" i="71" s="1"/>
  <c r="Z23" i="71" s="1"/>
  <c r="N23" i="71"/>
  <c r="Q22" i="71"/>
  <c r="AB22" i="71" s="1"/>
  <c r="P22" i="71"/>
  <c r="O22" i="71"/>
  <c r="Y22" i="71"/>
  <c r="Z22" i="71" s="1"/>
  <c r="N22" i="71"/>
  <c r="X22" i="71" s="1"/>
  <c r="Q21" i="71"/>
  <c r="F22" i="71" s="1"/>
  <c r="F23" i="71" s="1"/>
  <c r="F24" i="71" s="1"/>
  <c r="V24" i="71" s="1"/>
  <c r="P21" i="71"/>
  <c r="E22" i="71" s="1"/>
  <c r="E23" i="71" s="1"/>
  <c r="E24" i="71" s="1"/>
  <c r="U24" i="71" s="1"/>
  <c r="O21" i="71"/>
  <c r="N21" i="71"/>
  <c r="D21" i="71"/>
  <c r="O20" i="71"/>
  <c r="N20" i="71"/>
  <c r="B22" i="71"/>
  <c r="B23" i="71" s="1"/>
  <c r="B24" i="71" s="1"/>
  <c r="S24" i="71" s="1"/>
  <c r="X21" i="71"/>
  <c r="B26" i="71"/>
  <c r="B27" i="71" s="1"/>
  <c r="B28" i="71" s="1"/>
  <c r="S28" i="71" s="1"/>
  <c r="X25" i="71"/>
  <c r="X29" i="71"/>
  <c r="E30" i="71"/>
  <c r="E31" i="71" s="1"/>
  <c r="E32" i="71" s="1"/>
  <c r="U32" i="71" s="1"/>
  <c r="AA29" i="71"/>
  <c r="N60" i="71"/>
  <c r="E26" i="71"/>
  <c r="E27" i="71" s="1"/>
  <c r="E28" i="71" s="1"/>
  <c r="U28" i="71" s="1"/>
  <c r="AA25" i="71"/>
  <c r="C22" i="71"/>
  <c r="Y21" i="71"/>
  <c r="Z21" i="71" s="1"/>
  <c r="AB21" i="71"/>
  <c r="AA22" i="71"/>
  <c r="AA23" i="71"/>
  <c r="AA24" i="71"/>
  <c r="C26" i="71"/>
  <c r="C27" i="71"/>
  <c r="Y25" i="71"/>
  <c r="Z25" i="71"/>
  <c r="AB25" i="71"/>
  <c r="X26" i="71"/>
  <c r="AA26" i="71"/>
  <c r="X27" i="71"/>
  <c r="AA27" i="71"/>
  <c r="X28" i="71"/>
  <c r="AA28" i="71"/>
  <c r="C30" i="71"/>
  <c r="D30" i="71" s="1"/>
  <c r="Y29" i="71"/>
  <c r="Z29" i="71"/>
  <c r="AB29" i="71"/>
  <c r="X30" i="71"/>
  <c r="AA30" i="71"/>
  <c r="C20" i="71"/>
  <c r="Y17" i="71"/>
  <c r="Z17" i="71" s="1"/>
  <c r="Y18" i="71"/>
  <c r="Z18" i="71" s="1"/>
  <c r="Y19" i="71"/>
  <c r="Z19" i="71" s="1"/>
  <c r="Y20" i="71"/>
  <c r="Z20" i="71" s="1"/>
  <c r="B20" i="71"/>
  <c r="B19" i="71" s="1"/>
  <c r="B18" i="71" s="1"/>
  <c r="X17" i="71"/>
  <c r="X18" i="71"/>
  <c r="X19" i="71"/>
  <c r="X20" i="71"/>
  <c r="C23" i="71"/>
  <c r="D22" i="71"/>
  <c r="D26" i="71"/>
  <c r="C31" i="71"/>
  <c r="C32" i="71" s="1"/>
  <c r="C35" i="71"/>
  <c r="C36" i="71" s="1"/>
  <c r="D34" i="71"/>
  <c r="C39" i="71"/>
  <c r="D39" i="71" s="1"/>
  <c r="D38" i="71"/>
  <c r="C43" i="71"/>
  <c r="D42" i="71"/>
  <c r="P20" i="71"/>
  <c r="E47" i="71"/>
  <c r="E48" i="71" s="1"/>
  <c r="U48" i="71" s="1"/>
  <c r="E51" i="71"/>
  <c r="E52" i="71"/>
  <c r="U52" i="71" s="1"/>
  <c r="Q57" i="71"/>
  <c r="U60" i="71"/>
  <c r="E59" i="71"/>
  <c r="Q20" i="71"/>
  <c r="AB17" i="71" s="1"/>
  <c r="C51" i="71"/>
  <c r="D50" i="71"/>
  <c r="Q59" i="7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7" i="71"/>
  <c r="AA18" i="71"/>
  <c r="AA19" i="71"/>
  <c r="AA20" i="71"/>
  <c r="D20" i="71"/>
  <c r="U20" i="71"/>
  <c r="C58" i="71"/>
  <c r="O59" i="71"/>
  <c r="D59" i="71"/>
  <c r="D75" i="71"/>
  <c r="C74" i="71"/>
  <c r="D74" i="71"/>
  <c r="D67" i="71"/>
  <c r="C66" i="71"/>
  <c r="D66" i="71" s="1"/>
  <c r="D79" i="71"/>
  <c r="D71" i="71"/>
  <c r="C70" i="71"/>
  <c r="D70" i="71" s="1"/>
  <c r="D63" i="71"/>
  <c r="C62" i="71"/>
  <c r="D62" i="71"/>
  <c r="C52" i="71"/>
  <c r="D51" i="71"/>
  <c r="P59" i="71"/>
  <c r="E58" i="71"/>
  <c r="P57" i="71" s="1"/>
  <c r="C44" i="71"/>
  <c r="D43" i="71"/>
  <c r="D35" i="71"/>
  <c r="D31" i="71"/>
  <c r="C28" i="71"/>
  <c r="D27" i="71"/>
  <c r="C24" i="71"/>
  <c r="D23" i="71"/>
  <c r="V20" i="71"/>
  <c r="P58" i="71"/>
  <c r="O58" i="71"/>
  <c r="D58" i="71"/>
  <c r="O57" i="71"/>
  <c r="T24" i="71"/>
  <c r="D24" i="71"/>
  <c r="T28" i="71"/>
  <c r="D28"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G94" i="40"/>
  <c r="J25" i="40"/>
  <c r="H29" i="39"/>
  <c r="J29" i="39"/>
  <c r="J18" i="36"/>
  <c r="F68" i="35"/>
  <c r="H18" i="35"/>
  <c r="U18" i="35" s="1"/>
  <c r="S18" i="35"/>
  <c r="G68" i="35"/>
  <c r="J18" i="35"/>
  <c r="F77" i="37"/>
  <c r="H21" i="37"/>
  <c r="F21" i="37"/>
  <c r="S21" i="37" s="1"/>
  <c r="H21" i="34"/>
  <c r="U21" i="34" s="1"/>
  <c r="H21" i="33"/>
  <c r="U21" i="33" s="1"/>
  <c r="F21" i="33"/>
  <c r="S21" i="33" s="1"/>
  <c r="E83" i="21"/>
  <c r="S21" i="21"/>
  <c r="H1" i="69"/>
  <c r="AC25" i="40"/>
  <c r="W25" i="40"/>
  <c r="AB25" i="40"/>
  <c r="U25" i="40"/>
  <c r="AB29" i="39"/>
  <c r="U29" i="39"/>
  <c r="AC29" i="39"/>
  <c r="W29" i="39"/>
  <c r="AC18" i="36"/>
  <c r="W18" i="36"/>
  <c r="AB21" i="37"/>
  <c r="U21" i="37"/>
  <c r="AA21" i="37"/>
  <c r="AB21" i="34"/>
  <c r="AB21" i="33"/>
  <c r="AB18" i="35"/>
  <c r="AC18" i="35"/>
  <c r="W18" i="35"/>
  <c r="G77" i="37"/>
  <c r="J21" i="37"/>
  <c r="J21" i="34"/>
  <c r="J21" i="33"/>
  <c r="W21" i="33" s="1"/>
  <c r="F83" i="21"/>
  <c r="H21" i="21"/>
  <c r="AB21" i="21" s="1"/>
  <c r="F38" i="69"/>
  <c r="E37" i="69"/>
  <c r="F36" i="69"/>
  <c r="F35" i="69"/>
  <c r="F21" i="69"/>
  <c r="F40" i="69" s="1"/>
  <c r="F20" i="69"/>
  <c r="F39" i="69" s="1"/>
  <c r="E10" i="69"/>
  <c r="E9" i="69"/>
  <c r="C7" i="69"/>
  <c r="AC21" i="37"/>
  <c r="W21" i="37"/>
  <c r="AC21" i="34"/>
  <c r="W21" i="34"/>
  <c r="AC21" i="33"/>
  <c r="U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D22"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s="1"/>
  <c r="H62" i="39"/>
  <c r="I62" i="39"/>
  <c r="C62" i="39"/>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AB31" i="35" s="1"/>
  <c r="F31" i="35"/>
  <c r="D87" i="35"/>
  <c r="E87" i="35" s="1"/>
  <c r="F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c r="J120" i="39" s="1"/>
  <c r="K120" i="39" s="1"/>
  <c r="L120" i="39" s="1"/>
  <c r="M120" i="39" s="1"/>
  <c r="B114" i="39"/>
  <c r="J37" i="39"/>
  <c r="D109" i="39"/>
  <c r="F34" i="39"/>
  <c r="AA34" i="39" s="1"/>
  <c r="D107" i="39"/>
  <c r="E107" i="39" s="1"/>
  <c r="D105" i="39"/>
  <c r="E105" i="39" s="1"/>
  <c r="F105" i="39" s="1"/>
  <c r="G105" i="39" s="1"/>
  <c r="H105" i="39"/>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c r="I122" i="39" s="1"/>
  <c r="J122" i="39" s="1"/>
  <c r="K122" i="39" s="1"/>
  <c r="L122" i="39" s="1"/>
  <c r="M122" i="39" s="1"/>
  <c r="B104" i="39"/>
  <c r="D97" i="39"/>
  <c r="J23" i="39"/>
  <c r="AC23" i="39" s="1"/>
  <c r="D95" i="39"/>
  <c r="E95" i="39" s="1"/>
  <c r="F95" i="39" s="1"/>
  <c r="G95" i="39" s="1"/>
  <c r="D93" i="39"/>
  <c r="E93" i="39"/>
  <c r="F93" i="39" s="1"/>
  <c r="G93" i="39"/>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H33" i="36" s="1"/>
  <c r="B91" i="36"/>
  <c r="F32" i="36" s="1"/>
  <c r="B95" i="36"/>
  <c r="H34" i="36" s="1"/>
  <c r="D83" i="36"/>
  <c r="E83" i="36" s="1"/>
  <c r="F83" i="36"/>
  <c r="G83" i="36" s="1"/>
  <c r="H83" i="36" s="1"/>
  <c r="I83" i="36" s="1"/>
  <c r="J83" i="36"/>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N104" i="4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H19" i="39"/>
  <c r="AB19" i="39"/>
  <c r="F19" i="39"/>
  <c r="AA19" i="39"/>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AC34" i="36"/>
  <c r="U30" i="35"/>
  <c r="U33"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AA36" i="39"/>
  <c r="F39" i="33"/>
  <c r="AA39" i="33" s="1"/>
  <c r="E123" i="33"/>
  <c r="J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43" i="33"/>
  <c r="S28" i="31"/>
  <c r="S27" i="31"/>
  <c r="U14" i="40"/>
  <c r="AC32" i="36"/>
  <c r="AC33" i="36"/>
  <c r="U35"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2" i="6" s="1"/>
  <c r="E57" i="40" s="1"/>
  <c r="AZ317" i="3"/>
  <c r="AZ333" i="3"/>
  <c r="BQ5" i="3"/>
  <c r="F28" i="6" s="1"/>
  <c r="AC5" i="3"/>
  <c r="AZ549" i="3"/>
  <c r="AZ506"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AZ15" i="3"/>
  <c r="BB5" i="3"/>
  <c r="BR5" i="3"/>
  <c r="G28" i="6" s="1"/>
  <c r="G30" i="6" s="1"/>
  <c r="G31" i="6" s="1"/>
  <c r="AZ380" i="3"/>
  <c r="AZ388" i="3"/>
  <c r="AZ396"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c r="P9" i="1"/>
  <c r="AE9" i="1"/>
  <c r="K6" i="1"/>
  <c r="AC26" i="33"/>
  <c r="W26" i="33"/>
  <c r="W27" i="34"/>
  <c r="AC27" i="34"/>
  <c r="AB34" i="36"/>
  <c r="U34" i="36"/>
  <c r="AB33" i="36"/>
  <c r="U33" i="36"/>
  <c r="AC12" i="39"/>
  <c r="W12" i="39"/>
  <c r="AZ401" i="3"/>
  <c r="AZ412" i="3"/>
  <c r="AZ417" i="3"/>
  <c r="AZ428" i="3"/>
  <c r="AZ433" i="3"/>
  <c r="AZ465" i="3"/>
  <c r="B113" i="4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c r="P12" i="1"/>
  <c r="S13" i="1"/>
  <c r="AR13" i="1" s="1"/>
  <c r="R13" i="1"/>
  <c r="S11" i="1"/>
  <c r="AQ11" i="1" s="1"/>
  <c r="R11" i="1"/>
  <c r="S9" i="1"/>
  <c r="AR9" i="1" s="1"/>
  <c r="R9" i="1"/>
  <c r="C42" i="1"/>
  <c r="C77" i="82" s="1"/>
  <c r="C74" i="82" s="1"/>
  <c r="H100" i="43"/>
  <c r="C30" i="66"/>
  <c r="E26" i="66" s="1"/>
  <c r="AA34" i="33"/>
  <c r="B41" i="1"/>
  <c r="J100" i="43"/>
  <c r="AB37" i="40"/>
  <c r="S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W21" i="39" s="1"/>
  <c r="F21" i="39"/>
  <c r="H21" i="39"/>
  <c r="W19" i="39"/>
  <c r="U19" i="39"/>
  <c r="S17" i="39"/>
  <c r="AC15" i="39"/>
  <c r="S15" i="39"/>
  <c r="AB15" i="39"/>
  <c r="AA12" i="39"/>
  <c r="S9" i="39"/>
  <c r="U14" i="39"/>
  <c r="AC13" i="39"/>
  <c r="U12" i="39"/>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U9" i="35" s="1"/>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s="1"/>
  <c r="H121" i="33" s="1"/>
  <c r="I121" i="33" s="1"/>
  <c r="J121" i="33" s="1"/>
  <c r="K121" i="33" s="1"/>
  <c r="L121" i="33" s="1"/>
  <c r="M121" i="33" s="1"/>
  <c r="F36" i="33"/>
  <c r="S36" i="33" s="1"/>
  <c r="J35" i="33"/>
  <c r="S37" i="33"/>
  <c r="AA37" i="33"/>
  <c r="J32" i="33"/>
  <c r="S46" i="33"/>
  <c r="W43" i="33"/>
  <c r="S43" i="33"/>
  <c r="H27" i="33"/>
  <c r="F87" i="33"/>
  <c r="H25" i="33"/>
  <c r="F25" i="33"/>
  <c r="J23" i="33"/>
  <c r="H23" i="33"/>
  <c r="AB23" i="33" s="1"/>
  <c r="F19" i="33"/>
  <c r="S19" i="33" s="1"/>
  <c r="W19" i="33"/>
  <c r="J17" i="33"/>
  <c r="W17" i="33" s="1"/>
  <c r="S15" i="33"/>
  <c r="J10" i="33"/>
  <c r="AC10" i="33" s="1"/>
  <c r="H10" i="33"/>
  <c r="U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1" i="6"/>
  <c r="E61" i="39" s="1"/>
  <c r="BL17" i="3"/>
  <c r="AZ17" i="3"/>
  <c r="BL13" i="3"/>
  <c r="J56" i="9"/>
  <c r="J57" i="9" s="1"/>
  <c r="J59" i="9" s="1"/>
  <c r="J61" i="9" s="1"/>
  <c r="A24" i="51"/>
  <c r="B18" i="72" s="1"/>
  <c r="U29" i="34"/>
  <c r="E5" i="6"/>
  <c r="D9" i="11" s="1"/>
  <c r="C9" i="11" s="1"/>
  <c r="P10" i="1"/>
  <c r="H22" i="43"/>
  <c r="E32" i="6"/>
  <c r="L19" i="6"/>
  <c r="G1" i="68"/>
  <c r="K1" i="12"/>
  <c r="D118" i="43"/>
  <c r="E118" i="43" s="1"/>
  <c r="F118" i="43" s="1"/>
  <c r="AQ12" i="1"/>
  <c r="AR10" i="1"/>
  <c r="E19" i="69"/>
  <c r="E19" i="68"/>
  <c r="E19" i="11"/>
  <c r="E1" i="73"/>
  <c r="G41" i="69"/>
  <c r="G22" i="69"/>
  <c r="G41" i="68"/>
  <c r="G22" i="68"/>
  <c r="G27" i="12"/>
  <c r="G26" i="12"/>
  <c r="G41" i="11"/>
  <c r="G22" i="11"/>
  <c r="G25" i="12"/>
  <c r="C100" i="43"/>
  <c r="E11" i="43"/>
  <c r="E10" i="43"/>
  <c r="E9" i="43"/>
  <c r="E8" i="43"/>
  <c r="C7" i="43"/>
  <c r="E81" i="43"/>
  <c r="B79" i="43"/>
  <c r="AD11" i="43"/>
  <c r="AA11" i="43"/>
  <c r="AA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s="1"/>
  <c r="T35" i="4"/>
  <c r="A19" i="51" s="1"/>
  <c r="B14" i="72" s="1"/>
  <c r="C46" i="36"/>
  <c r="C59" i="34"/>
  <c r="D59" i="34" s="1"/>
  <c r="E59" i="34" s="1"/>
  <c r="C52" i="37"/>
  <c r="A4" i="51"/>
  <c r="B6" i="72" s="1"/>
  <c r="C48" i="35"/>
  <c r="C4" i="12"/>
  <c r="H66" i="43"/>
  <c r="H65" i="43"/>
  <c r="H64" i="43"/>
  <c r="H63" i="43"/>
  <c r="H55" i="43"/>
  <c r="H56" i="43"/>
  <c r="H72" i="43"/>
  <c r="L20" i="6"/>
  <c r="B6" i="1"/>
  <c r="E6" i="1" s="1"/>
  <c r="S8" i="1"/>
  <c r="K11" i="1"/>
  <c r="M11" i="1" s="1"/>
  <c r="O11" i="1"/>
  <c r="P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28" i="67"/>
  <c r="C28" i="67" s="1"/>
  <c r="F52" i="9"/>
  <c r="F32" i="67"/>
  <c r="F60" i="67" s="1"/>
  <c r="F32" i="15"/>
  <c r="F60" i="15" s="1"/>
  <c r="F28" i="15"/>
  <c r="T11" i="1"/>
  <c r="AQ9" i="1"/>
  <c r="AR11" i="1"/>
  <c r="C28" i="15"/>
  <c r="T9" i="1"/>
  <c r="T13" i="1"/>
  <c r="AA39" i="40"/>
  <c r="S39" i="40"/>
  <c r="S12" i="33"/>
  <c r="AA12" i="33"/>
  <c r="D68" i="9"/>
  <c r="J32" i="39"/>
  <c r="H107" i="39"/>
  <c r="I107" i="39" s="1"/>
  <c r="J107" i="39" s="1"/>
  <c r="K107" i="39" s="1"/>
  <c r="L107" i="39" s="1"/>
  <c r="M107" i="39" s="1"/>
  <c r="H32" i="39"/>
  <c r="U32" i="39" s="1"/>
  <c r="AA32" i="39"/>
  <c r="S32" i="39"/>
  <c r="AB21" i="39"/>
  <c r="U21" i="39"/>
  <c r="AA21" i="39"/>
  <c r="S21" i="39"/>
  <c r="AA9" i="35"/>
  <c r="S9"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J36" i="33"/>
  <c r="AC36" i="33" s="1"/>
  <c r="H36" i="33"/>
  <c r="U36" i="33" s="1"/>
  <c r="AA36" i="33"/>
  <c r="AC32" i="33"/>
  <c r="W32" i="33"/>
  <c r="U27" i="33"/>
  <c r="AB27" i="33"/>
  <c r="J27" i="33"/>
  <c r="AC27" i="33" s="1"/>
  <c r="U25" i="33"/>
  <c r="AB25" i="33"/>
  <c r="S25" i="33"/>
  <c r="AA25" i="33"/>
  <c r="G87" i="33"/>
  <c r="H87" i="33" s="1"/>
  <c r="I87" i="33" s="1"/>
  <c r="J87" i="33" s="1"/>
  <c r="K87" i="33" s="1"/>
  <c r="L87" i="33" s="1"/>
  <c r="M87" i="33" s="1"/>
  <c r="J25" i="33"/>
  <c r="F23" i="33"/>
  <c r="S23" i="33" s="1"/>
  <c r="AC23" i="33"/>
  <c r="W23" i="33"/>
  <c r="H19" i="33"/>
  <c r="U19" i="33" s="1"/>
  <c r="H17" i="33"/>
  <c r="AB17" i="33" s="1"/>
  <c r="F17" i="33"/>
  <c r="S17" i="33" s="1"/>
  <c r="W10" i="33"/>
  <c r="U33" i="21"/>
  <c r="AA23" i="21"/>
  <c r="J23" i="21"/>
  <c r="W23" i="21" s="1"/>
  <c r="F85" i="21"/>
  <c r="G85" i="21"/>
  <c r="H23" i="21"/>
  <c r="S13" i="21"/>
  <c r="D6" i="52"/>
  <c r="O14" i="1"/>
  <c r="P14" i="1"/>
  <c r="AQ8" i="1"/>
  <c r="AP7" i="1"/>
  <c r="O7" i="1"/>
  <c r="AB45" i="21"/>
  <c r="AC33" i="21"/>
  <c r="W33" i="21"/>
  <c r="S33" i="21"/>
  <c r="W32" i="21"/>
  <c r="AC32" i="21"/>
  <c r="AB9" i="21"/>
  <c r="U9" i="21"/>
  <c r="AA32" i="21"/>
  <c r="W9" i="21"/>
  <c r="AB32" i="21"/>
  <c r="AA10" i="21"/>
  <c r="S10" i="21"/>
  <c r="AB32" i="39"/>
  <c r="AC32" i="39"/>
  <c r="W32" i="39"/>
  <c r="W19" i="37"/>
  <c r="AC19" i="37"/>
  <c r="AC23" i="37"/>
  <c r="AB11" i="37"/>
  <c r="U11" i="37"/>
  <c r="I63" i="37"/>
  <c r="J63" i="37" s="1"/>
  <c r="K63" i="37" s="1"/>
  <c r="L63" i="37" s="1"/>
  <c r="M63" i="37" s="1"/>
  <c r="J11" i="37"/>
  <c r="W10" i="37"/>
  <c r="U11" i="34"/>
  <c r="AB11" i="34"/>
  <c r="AC10" i="34"/>
  <c r="H70" i="34"/>
  <c r="I70" i="34" s="1"/>
  <c r="J70" i="34" s="1"/>
  <c r="K70" i="34" s="1"/>
  <c r="L70" i="34" s="1"/>
  <c r="M70" i="34" s="1"/>
  <c r="J11" i="34"/>
  <c r="W11" i="34" s="1"/>
  <c r="AB36" i="33"/>
  <c r="W27" i="33"/>
  <c r="W25" i="33"/>
  <c r="AC25" i="33"/>
  <c r="AB19" i="33"/>
  <c r="U17" i="33"/>
  <c r="U23" i="21"/>
  <c r="AB23" i="21"/>
  <c r="AC23" i="21"/>
  <c r="P7" i="1"/>
  <c r="AC11" i="37"/>
  <c r="W11" i="37"/>
  <c r="AC11" i="34"/>
  <c r="F34" i="11"/>
  <c r="C36" i="11" s="1"/>
  <c r="F11" i="12"/>
  <c r="C23" i="12" s="1"/>
  <c r="F34" i="68"/>
  <c r="R8" i="1"/>
  <c r="AE8" i="1"/>
  <c r="AG6" i="1"/>
  <c r="H109" i="9"/>
  <c r="H110" i="9"/>
  <c r="D18" i="53" s="1"/>
  <c r="B35" i="72" s="1"/>
  <c r="D124" i="9"/>
  <c r="H14" i="74" s="1"/>
  <c r="B7" i="74" s="1"/>
  <c r="D16" i="53"/>
  <c r="D10" i="52"/>
  <c r="D125" i="9"/>
  <c r="D11" i="52" s="1"/>
  <c r="H112" i="9"/>
  <c r="D21" i="53" s="1"/>
  <c r="B39" i="72" s="1"/>
  <c r="H111" i="9"/>
  <c r="D126" i="9" s="1"/>
  <c r="I14" i="74" s="1"/>
  <c r="B8" i="74" s="1"/>
  <c r="AD3" i="71"/>
  <c r="C65" i="40"/>
  <c r="G16" i="1"/>
  <c r="J10" i="39"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AB14" i="71"/>
  <c r="X12" i="71"/>
  <c r="X11" i="71"/>
  <c r="AA12" i="71"/>
  <c r="AA11" i="71"/>
  <c r="X15" i="71"/>
  <c r="Y11" i="71"/>
  <c r="Z11" i="71" s="1"/>
  <c r="AB12" i="71"/>
  <c r="AB11" i="71"/>
  <c r="F13" i="71"/>
  <c r="F12" i="71" s="1"/>
  <c r="F11" i="71" s="1"/>
  <c r="F10" i="71" s="1"/>
  <c r="F9" i="71" s="1"/>
  <c r="Y12" i="71"/>
  <c r="Z12" i="71" s="1"/>
  <c r="X3" i="71"/>
  <c r="E13" i="71"/>
  <c r="E12" i="71"/>
  <c r="E11" i="71" s="1"/>
  <c r="E10" i="71" s="1"/>
  <c r="E9" i="71" s="1"/>
  <c r="E8" i="71" s="1"/>
  <c r="G20" i="43"/>
  <c r="D65" i="40"/>
  <c r="D70" i="39"/>
  <c r="V12" i="71"/>
  <c r="E65" i="40"/>
  <c r="F63" i="40"/>
  <c r="G63" i="40" s="1"/>
  <c r="H63" i="40" s="1"/>
  <c r="I63" i="40" s="1"/>
  <c r="E41" i="43"/>
  <c r="C41" i="43"/>
  <c r="C20" i="43"/>
  <c r="F68" i="39"/>
  <c r="F70" i="39" s="1"/>
  <c r="E70" i="39"/>
  <c r="F65" i="40"/>
  <c r="G68" i="39"/>
  <c r="G70" i="39" s="1"/>
  <c r="C19" i="43"/>
  <c r="G65" i="40"/>
  <c r="H65" i="40"/>
  <c r="B7" i="76"/>
  <c r="D7" i="73"/>
  <c r="M29" i="15"/>
  <c r="D5" i="73"/>
  <c r="B8" i="76"/>
  <c r="AO12" i="1"/>
  <c r="M23" i="67"/>
  <c r="F43" i="67"/>
  <c r="J15" i="67"/>
  <c r="M27" i="67"/>
  <c r="M8" i="15"/>
  <c r="F42" i="15"/>
  <c r="F37" i="67"/>
  <c r="F20" i="31"/>
  <c r="C76" i="15"/>
  <c r="B10" i="76"/>
  <c r="M28" i="15"/>
  <c r="F36" i="67"/>
  <c r="F43" i="15"/>
  <c r="M6" i="15"/>
  <c r="M23" i="15"/>
  <c r="M9" i="67"/>
  <c r="M24" i="15"/>
  <c r="E7" i="76"/>
  <c r="M27" i="15"/>
  <c r="F36" i="15"/>
  <c r="D35" i="9"/>
  <c r="D34" i="9"/>
  <c r="B9" i="76"/>
  <c r="E2" i="68"/>
  <c r="F7" i="67"/>
  <c r="B13" i="76"/>
  <c r="D2" i="21"/>
  <c r="F5" i="73"/>
  <c r="M22" i="67"/>
  <c r="F42" i="67"/>
  <c r="D2" i="37"/>
  <c r="D4" i="73"/>
  <c r="M28" i="67"/>
  <c r="M24" i="67"/>
  <c r="F38" i="15"/>
  <c r="E11" i="76"/>
  <c r="E12" i="76"/>
  <c r="L47" i="67"/>
  <c r="L48" i="15"/>
  <c r="D2" i="34"/>
  <c r="F9" i="15"/>
  <c r="L48" i="67"/>
  <c r="D3" i="73"/>
  <c r="F16" i="15"/>
  <c r="E8" i="76"/>
  <c r="M9" i="15"/>
  <c r="F6" i="73"/>
  <c r="D6" i="73"/>
  <c r="AO11" i="1"/>
  <c r="D2" i="35"/>
  <c r="C76" i="67"/>
  <c r="E2" i="69"/>
  <c r="AO10" i="1"/>
  <c r="F7" i="15"/>
  <c r="D2" i="36"/>
  <c r="F7" i="73"/>
  <c r="M6" i="67"/>
  <c r="AO13" i="1"/>
  <c r="L47" i="15"/>
  <c r="J15" i="15"/>
  <c r="D2" i="33"/>
  <c r="F9" i="67"/>
  <c r="M22" i="15"/>
  <c r="B11" i="76"/>
  <c r="F13" i="67"/>
  <c r="M8" i="67"/>
  <c r="F26" i="15"/>
  <c r="F3" i="73"/>
  <c r="F13" i="15"/>
  <c r="F8" i="15"/>
  <c r="AO8" i="1"/>
  <c r="F40" i="15"/>
  <c r="M29" i="67"/>
  <c r="F8" i="67"/>
  <c r="F6" i="67"/>
  <c r="AO9" i="1"/>
  <c r="F37" i="15"/>
  <c r="B12" i="76"/>
  <c r="F4" i="73"/>
  <c r="E10" i="76"/>
  <c r="F16" i="67"/>
  <c r="F40" i="67"/>
  <c r="F26" i="67"/>
  <c r="M26" i="67"/>
  <c r="E13" i="76"/>
  <c r="M26" i="15"/>
  <c r="F38" i="67"/>
  <c r="F6" i="15"/>
  <c r="E9" i="76"/>
  <c r="AI11" i="43" l="1"/>
  <c r="AI13" i="43" s="1"/>
  <c r="I101" i="43"/>
  <c r="E7" i="71"/>
  <c r="E6" i="71" s="1"/>
  <c r="E5" i="71" s="1"/>
  <c r="V8" i="71"/>
  <c r="H68" i="39"/>
  <c r="J63" i="40"/>
  <c r="I65" i="40"/>
  <c r="B34" i="72"/>
  <c r="D17" i="53"/>
  <c r="B36" i="72" s="1"/>
  <c r="E28" i="6"/>
  <c r="F30" i="6"/>
  <c r="AZ495" i="3"/>
  <c r="AZ521" i="3"/>
  <c r="D19" i="53"/>
  <c r="S11" i="36"/>
  <c r="AB11" i="36"/>
  <c r="AA14" i="33"/>
  <c r="AA44" i="33"/>
  <c r="F38" i="40"/>
  <c r="J38" i="40"/>
  <c r="H38" i="40"/>
  <c r="AB15" i="21"/>
  <c r="S37" i="21"/>
  <c r="AC37" i="21"/>
  <c r="W17" i="21"/>
  <c r="T10" i="1"/>
  <c r="T12" i="1"/>
  <c r="G5" i="3"/>
  <c r="B3" i="3" s="1"/>
  <c r="U44" i="34"/>
  <c r="U32" i="37"/>
  <c r="S27" i="36"/>
  <c r="AC27" i="36"/>
  <c r="U35" i="40"/>
  <c r="F48" i="9"/>
  <c r="O52" i="9" s="1"/>
  <c r="F52" i="82"/>
  <c r="F48" i="82"/>
  <c r="O52" i="82" s="1"/>
  <c r="D68" i="82"/>
  <c r="F54" i="82"/>
  <c r="F53" i="82"/>
  <c r="H75" i="43"/>
  <c r="AC12" i="37"/>
  <c r="F123" i="33"/>
  <c r="G123" i="33" s="1"/>
  <c r="H123" i="33" s="1"/>
  <c r="I123" i="33" s="1"/>
  <c r="J123" i="33" s="1"/>
  <c r="K123" i="33" s="1"/>
  <c r="L123" i="33" s="1"/>
  <c r="M123" i="33" s="1"/>
  <c r="F42" i="33"/>
  <c r="AA42" i="33" s="1"/>
  <c r="AZ548" i="3"/>
  <c r="H36" i="35"/>
  <c r="J36" i="35"/>
  <c r="BL548" i="3"/>
  <c r="BL5" i="3" s="1"/>
  <c r="J23" i="36"/>
  <c r="F23" i="36"/>
  <c r="J26" i="37"/>
  <c r="F26" i="37"/>
  <c r="J12" i="35"/>
  <c r="H12" i="35"/>
  <c r="F12" i="35"/>
  <c r="J39" i="40"/>
  <c r="H39" i="40"/>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74" i="3"/>
  <c r="AZ277" i="3"/>
  <c r="AZ489" i="3"/>
  <c r="AZ316" i="3"/>
  <c r="AZ220" i="3"/>
  <c r="AZ231" i="3"/>
  <c r="AZ247" i="3"/>
  <c r="AZ260" i="3"/>
  <c r="AZ264" i="3"/>
  <c r="AZ290" i="3"/>
  <c r="D78" i="9"/>
  <c r="D93" i="82"/>
  <c r="D78" i="82"/>
  <c r="A15" i="62"/>
  <c r="B61" i="72" s="1"/>
  <c r="AZ293" i="3"/>
  <c r="AZ298" i="3"/>
  <c r="AZ153" i="3"/>
  <c r="AZ169" i="3"/>
  <c r="AZ185" i="3"/>
  <c r="AZ201" i="3"/>
  <c r="AZ207" i="3"/>
  <c r="AZ25" i="3"/>
  <c r="AZ5" i="3" s="1"/>
  <c r="AZ30" i="3"/>
  <c r="AZ36" i="3"/>
  <c r="AZ40" i="3"/>
  <c r="AZ46" i="3"/>
  <c r="AZ49" i="3"/>
  <c r="AZ62" i="3"/>
  <c r="AZ65" i="3"/>
  <c r="AZ76" i="3"/>
  <c r="AZ81" i="3"/>
  <c r="AZ90" i="3"/>
  <c r="AZ96" i="3"/>
  <c r="AZ99" i="3"/>
  <c r="AZ106" i="3"/>
  <c r="AZ112" i="3"/>
  <c r="D32" i="71"/>
  <c r="T32" i="71"/>
  <c r="C47" i="71"/>
  <c r="D46" i="71"/>
  <c r="C55" i="71"/>
  <c r="D54" i="71"/>
  <c r="J51" i="15"/>
  <c r="D36" i="71"/>
  <c r="T36" i="71"/>
  <c r="C51" i="10"/>
  <c r="A13" i="51" s="1"/>
  <c r="B11" i="72" s="1"/>
  <c r="A118" i="82"/>
  <c r="A2" i="82"/>
  <c r="S21" i="34"/>
  <c r="Z12" i="43"/>
  <c r="Z10" i="43"/>
  <c r="AD12" i="43"/>
  <c r="AD13" i="43" s="1"/>
  <c r="AD10" i="43"/>
  <c r="AH12" i="43"/>
  <c r="AH10" i="43"/>
  <c r="AA15" i="71"/>
  <c r="X14" i="71"/>
  <c r="AA13" i="71"/>
  <c r="X13" i="71"/>
  <c r="X9" i="71"/>
  <c r="Y9" i="71"/>
  <c r="Z9" i="71" s="1"/>
  <c r="AA9" i="71"/>
  <c r="AB10" i="71"/>
  <c r="Y6" i="71"/>
  <c r="Z6" i="71" s="1"/>
  <c r="AB5" i="71"/>
  <c r="J51" i="67"/>
  <c r="C21" i="68"/>
  <c r="AA21" i="33"/>
  <c r="D19" i="71"/>
  <c r="AB19" i="71"/>
  <c r="S20" i="71"/>
  <c r="X24" i="71"/>
  <c r="AA21" i="71"/>
  <c r="B59" i="71"/>
  <c r="AF10" i="43"/>
  <c r="AC12" i="43"/>
  <c r="AC10" i="43"/>
  <c r="AG12" i="43"/>
  <c r="AG10" i="43"/>
  <c r="X16" i="71"/>
  <c r="Y16" i="71"/>
  <c r="Z16" i="71" s="1"/>
  <c r="Y14" i="71"/>
  <c r="Z14" i="71" s="1"/>
  <c r="AB15" i="71"/>
  <c r="AB13" i="71"/>
  <c r="Y10" i="71"/>
  <c r="Z10" i="71" s="1"/>
  <c r="X10" i="71"/>
  <c r="AA10" i="71"/>
  <c r="Y13" i="71"/>
  <c r="Z13" i="71" s="1"/>
  <c r="AA14" i="71"/>
  <c r="X7" i="71"/>
  <c r="AA7" i="71"/>
  <c r="Y5" i="71"/>
  <c r="Z5" i="71" s="1"/>
  <c r="X5" i="71"/>
  <c r="AA5" i="71"/>
  <c r="N56" i="82"/>
  <c r="K56" i="82"/>
  <c r="M56" i="82"/>
  <c r="J56" i="82"/>
  <c r="J57" i="82" s="1"/>
  <c r="J59" i="82" s="1"/>
  <c r="J61" i="82" s="1"/>
  <c r="AA16" i="71"/>
  <c r="AB16" i="71"/>
  <c r="B16" i="71"/>
  <c r="C16" i="71"/>
  <c r="Y15" i="71"/>
  <c r="Z15" i="71" s="1"/>
  <c r="AB7" i="71"/>
  <c r="AB9" i="71"/>
  <c r="AB6" i="71"/>
  <c r="X6" i="71"/>
  <c r="AA6" i="71"/>
  <c r="G87" i="35"/>
  <c r="H87" i="35" s="1"/>
  <c r="I87" i="35" s="1"/>
  <c r="J87" i="35" s="1"/>
  <c r="K87" i="35" s="1"/>
  <c r="L87" i="35" s="1"/>
  <c r="M87" i="35" s="1"/>
  <c r="H29" i="35"/>
  <c r="AC8" i="35"/>
  <c r="U8" i="35"/>
  <c r="AB9" i="35"/>
  <c r="H26" i="35"/>
  <c r="F26" i="35"/>
  <c r="J26" i="35"/>
  <c r="G17" i="43"/>
  <c r="C16" i="43" s="1"/>
  <c r="C5" i="43" s="1"/>
  <c r="T14" i="43" s="1"/>
  <c r="V14" i="43" s="1"/>
  <c r="S39" i="33"/>
  <c r="W36" i="33"/>
  <c r="U39" i="33"/>
  <c r="W39" i="33"/>
  <c r="AC42" i="33"/>
  <c r="W42" i="33"/>
  <c r="S42" i="33"/>
  <c r="U42" i="33"/>
  <c r="S38" i="33"/>
  <c r="AC34" i="33"/>
  <c r="U33" i="33"/>
  <c r="U32" i="33"/>
  <c r="S28" i="33"/>
  <c r="S27" i="33"/>
  <c r="U23" i="33"/>
  <c r="AA23" i="33"/>
  <c r="AA19" i="33"/>
  <c r="AC17" i="33"/>
  <c r="AA17" i="33"/>
  <c r="W15" i="33"/>
  <c r="AB10" i="33"/>
  <c r="AA10" i="33"/>
  <c r="U9" i="33"/>
  <c r="S9" i="33"/>
  <c r="S38" i="39"/>
  <c r="AC21" i="39"/>
  <c r="U8" i="33"/>
  <c r="S8" i="33"/>
  <c r="D5" i="43"/>
  <c r="P74" i="67"/>
  <c r="H16" i="1"/>
  <c r="O16" i="1"/>
  <c r="L27" i="6"/>
  <c r="P16" i="1"/>
  <c r="C11" i="12" s="1"/>
  <c r="C15" i="1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D19" i="12"/>
  <c r="C19" i="12" s="1"/>
  <c r="E62" i="39"/>
  <c r="AR8" i="1"/>
  <c r="T8" i="1"/>
  <c r="D9" i="69"/>
  <c r="C9" i="69" s="1"/>
  <c r="E8" i="6"/>
  <c r="F27" i="6" s="1"/>
  <c r="F31" i="6" s="1"/>
  <c r="C36" i="69"/>
  <c r="E14" i="6"/>
  <c r="E10" i="6"/>
  <c r="E13" i="6"/>
  <c r="E15" i="6"/>
  <c r="Q16" i="1"/>
  <c r="E56" i="40"/>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F22" i="43"/>
  <c r="K101" i="43"/>
  <c r="F101" i="43"/>
  <c r="N101" i="43"/>
  <c r="E22" i="43"/>
  <c r="L101" i="43"/>
  <c r="H101" i="43"/>
  <c r="G22" i="43"/>
  <c r="G101" i="43"/>
  <c r="J101" i="43"/>
  <c r="M101" i="43"/>
  <c r="E101" i="43"/>
  <c r="AJ11" i="43"/>
  <c r="AJ13" i="43" s="1"/>
  <c r="AF11" i="43"/>
  <c r="AF13" i="43" s="1"/>
  <c r="AB11" i="43"/>
  <c r="AB13" i="43" s="1"/>
  <c r="Z7" i="43"/>
  <c r="AG11" i="43"/>
  <c r="AG13" i="43" s="1"/>
  <c r="AC11" i="43"/>
  <c r="AC13" i="43" s="1"/>
  <c r="Y11" i="43"/>
  <c r="Y13" i="43" s="1"/>
  <c r="I104" i="43"/>
  <c r="I105" i="43"/>
  <c r="J22" i="43"/>
  <c r="AE11" i="43"/>
  <c r="AE13" i="43" s="1"/>
  <c r="Z11" i="43"/>
  <c r="Z13" i="43" s="1"/>
  <c r="AH11" i="43"/>
  <c r="AH13" i="43" s="1"/>
  <c r="D101" i="43"/>
  <c r="C101" i="43"/>
  <c r="AC10" i="39"/>
  <c r="W10" i="39"/>
  <c r="H10" i="39"/>
  <c r="J10" i="40"/>
  <c r="C92" i="9"/>
  <c r="C94" i="9"/>
  <c r="C48" i="68"/>
  <c r="F54" i="9"/>
  <c r="M18" i="15"/>
  <c r="F30" i="69"/>
  <c r="M18" i="67"/>
  <c r="F31" i="12"/>
  <c r="C31" i="12" s="1"/>
  <c r="F30" i="11"/>
  <c r="F53" i="9"/>
  <c r="D93" i="9"/>
  <c r="C21" i="69"/>
  <c r="D12" i="52"/>
  <c r="D127" i="9"/>
  <c r="D13" i="52" s="1"/>
  <c r="F59" i="34"/>
  <c r="G59" i="34" s="1"/>
  <c r="H59" i="34" s="1"/>
  <c r="I59" i="34" s="1"/>
  <c r="J59" i="34" s="1"/>
  <c r="K59" i="34" s="1"/>
  <c r="L59" i="34" s="1"/>
  <c r="M59" i="34" s="1"/>
  <c r="N59" i="34" s="1"/>
  <c r="O59" i="34" s="1"/>
  <c r="F7" i="34"/>
  <c r="J7" i="34"/>
  <c r="H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8" i="71"/>
  <c r="Z8" i="71" s="1"/>
  <c r="Y7" i="71"/>
  <c r="Z7" i="71" s="1"/>
  <c r="AA8" i="71"/>
  <c r="AB3" i="71"/>
  <c r="C35" i="43"/>
  <c r="E35" i="43" s="1"/>
  <c r="C36" i="43"/>
  <c r="E36" i="43" s="1"/>
  <c r="C39" i="43"/>
  <c r="C37" i="43"/>
  <c r="E37" i="43" s="1"/>
  <c r="X8" i="71"/>
  <c r="AB8" i="71"/>
  <c r="Y3" i="71"/>
  <c r="Z3" i="71" s="1"/>
  <c r="F8" i="71"/>
  <c r="F7" i="71" s="1"/>
  <c r="F6" i="71" s="1"/>
  <c r="F5" i="71" s="1"/>
  <c r="AF3" i="71"/>
  <c r="P22" i="43" s="1"/>
  <c r="C34" i="43"/>
  <c r="C33" i="43"/>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F27" i="68"/>
  <c r="D9" i="68"/>
  <c r="C36" i="68"/>
  <c r="C16" i="67"/>
  <c r="C16" i="15"/>
  <c r="G1" i="73"/>
  <c r="I103" i="43" l="1"/>
  <c r="I102" i="43"/>
  <c r="I106" i="43"/>
  <c r="I107" i="43"/>
  <c r="I109" i="43"/>
  <c r="AY6" i="3"/>
  <c r="E3" i="6"/>
  <c r="J7" i="33"/>
  <c r="C15" i="71"/>
  <c r="D16" i="71"/>
  <c r="U16" i="71" s="1"/>
  <c r="T16" i="71"/>
  <c r="N59" i="71"/>
  <c r="B58" i="71"/>
  <c r="AB39" i="40"/>
  <c r="U39" i="40"/>
  <c r="S12" i="35"/>
  <c r="AA12" i="35"/>
  <c r="W12" i="35"/>
  <c r="AC12" i="35"/>
  <c r="AC26" i="37"/>
  <c r="W26" i="37"/>
  <c r="AC23" i="36"/>
  <c r="W23" i="36"/>
  <c r="AC36" i="35"/>
  <c r="W36" i="35"/>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9" i="3"/>
  <c r="E207" i="3"/>
  <c r="E53" i="3"/>
  <c r="E175" i="3"/>
  <c r="E319" i="3"/>
  <c r="E530" i="3"/>
  <c r="E501" i="3"/>
  <c r="E343" i="3"/>
  <c r="E153" i="3"/>
  <c r="E305" i="3"/>
  <c r="E426" i="3"/>
  <c r="E508" i="3"/>
  <c r="E328" i="3"/>
  <c r="E77" i="3"/>
  <c r="E252" i="3"/>
  <c r="E212" i="3"/>
  <c r="E271" i="3"/>
  <c r="E253" i="3"/>
  <c r="E204" i="3"/>
  <c r="E167" i="3"/>
  <c r="E145" i="3"/>
  <c r="E199" i="3"/>
  <c r="E164" i="3"/>
  <c r="E141" i="3"/>
  <c r="E107" i="3"/>
  <c r="E286" i="3"/>
  <c r="E327" i="3"/>
  <c r="E312" i="3"/>
  <c r="E379" i="3"/>
  <c r="E575" i="3"/>
  <c r="E576" i="3"/>
  <c r="AD6" i="3"/>
  <c r="E585" i="3"/>
  <c r="E499" i="3"/>
  <c r="Z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B38" i="40"/>
  <c r="U38" i="40"/>
  <c r="AA38" i="40"/>
  <c r="S38" i="40"/>
  <c r="B38" i="72"/>
  <c r="D20" i="53"/>
  <c r="B40" i="72" s="1"/>
  <c r="BA5" i="3"/>
  <c r="J65" i="40"/>
  <c r="K63" i="40"/>
  <c r="H7" i="33"/>
  <c r="J29" i="35"/>
  <c r="W29" i="35" s="1"/>
  <c r="F29" i="35"/>
  <c r="B15" i="71"/>
  <c r="B14" i="71" s="1"/>
  <c r="B13" i="71" s="1"/>
  <c r="B12" i="71" s="1"/>
  <c r="S16" i="71"/>
  <c r="D55" i="71"/>
  <c r="C56" i="71"/>
  <c r="C48" i="71"/>
  <c r="D47" i="71"/>
  <c r="AC39" i="40"/>
  <c r="W39" i="40"/>
  <c r="U12" i="35"/>
  <c r="AB12" i="35"/>
  <c r="AA26" i="37"/>
  <c r="S26" i="37"/>
  <c r="AA23" i="36"/>
  <c r="S23" i="36"/>
  <c r="AB36" i="35"/>
  <c r="U36" i="35"/>
  <c r="AC38" i="40"/>
  <c r="W38" i="40"/>
  <c r="K14" i="1"/>
  <c r="E30" i="6"/>
  <c r="I68" i="39"/>
  <c r="H70" i="39"/>
  <c r="AB29" i="35"/>
  <c r="U29" i="35"/>
  <c r="AC29" i="35"/>
  <c r="AA26" i="35"/>
  <c r="S26" i="35"/>
  <c r="AC26" i="35"/>
  <c r="W26" i="35"/>
  <c r="AB26" i="35"/>
  <c r="U26" i="35"/>
  <c r="C9" i="68"/>
  <c r="C29" i="68"/>
  <c r="D27" i="68" s="1"/>
  <c r="T13" i="43"/>
  <c r="V13" i="43" s="1"/>
  <c r="T12" i="43"/>
  <c r="V12" i="43" s="1"/>
  <c r="G36" i="43"/>
  <c r="I36" i="43" s="1"/>
  <c r="T8" i="43"/>
  <c r="V8" i="43" s="1"/>
  <c r="T16" i="43"/>
  <c r="V16" i="43" s="1"/>
  <c r="T10" i="43"/>
  <c r="V10" i="43" s="1"/>
  <c r="T15" i="43"/>
  <c r="V15" i="43" s="1"/>
  <c r="T9" i="43"/>
  <c r="V9" i="43" s="1"/>
  <c r="T11" i="43"/>
  <c r="V11" i="43" s="1"/>
  <c r="C12" i="12"/>
  <c r="E27" i="6"/>
  <c r="E56" i="39"/>
  <c r="D3" i="34"/>
  <c r="D3" i="33"/>
  <c r="D19" i="11"/>
  <c r="C19" i="11" s="1"/>
  <c r="C20" i="11" s="1"/>
  <c r="C17" i="4"/>
  <c r="B4" i="52" s="1"/>
  <c r="B43" i="72" s="1"/>
  <c r="L18" i="9"/>
  <c r="D3" i="37"/>
  <c r="D3" i="21"/>
  <c r="D37" i="11"/>
  <c r="C37" i="11" s="1"/>
  <c r="M18" i="9"/>
  <c r="B118" i="9" s="1"/>
  <c r="B14" i="74" s="1"/>
  <c r="B1" i="74" s="1"/>
  <c r="E6" i="6"/>
  <c r="D14" i="12"/>
  <c r="E51" i="40"/>
  <c r="AY82" i="3"/>
  <c r="AY292" i="3"/>
  <c r="AY486" i="3"/>
  <c r="AY355" i="3"/>
  <c r="BO6" i="3"/>
  <c r="AY182" i="3"/>
  <c r="AY239" i="3"/>
  <c r="AY93" i="3"/>
  <c r="AY363" i="3"/>
  <c r="AY557" i="3"/>
  <c r="AY291" i="3"/>
  <c r="AY202" i="3"/>
  <c r="AY259" i="3"/>
  <c r="AY333" i="3"/>
  <c r="AY472" i="3"/>
  <c r="AY411" i="3"/>
  <c r="AY571" i="3"/>
  <c r="AY160" i="3"/>
  <c r="AY100" i="3"/>
  <c r="AY150" i="3"/>
  <c r="AY340" i="3"/>
  <c r="AY403" i="3"/>
  <c r="AY527"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AY50" i="3"/>
  <c r="AY539" i="3"/>
  <c r="AY181" i="3"/>
  <c r="AY309" i="3"/>
  <c r="AY503" i="3"/>
  <c r="AY494" i="3"/>
  <c r="AY48" i="3"/>
  <c r="AY287" i="3"/>
  <c r="AY364" i="3"/>
  <c r="AY471" i="3"/>
  <c r="AY439" i="3"/>
  <c r="AY524" i="3"/>
  <c r="AY578" i="3"/>
  <c r="AY192" i="3"/>
  <c r="AY249" i="3"/>
  <c r="AY346" i="3"/>
  <c r="AY558" i="3"/>
  <c r="AY55" i="3"/>
  <c r="AY128" i="3"/>
  <c r="AY391" i="3"/>
  <c r="AY448" i="3"/>
  <c r="BT6" i="3"/>
  <c r="AY116" i="3"/>
  <c r="AY373" i="3"/>
  <c r="AY215" i="3"/>
  <c r="AY438" i="3"/>
  <c r="AY552" i="3"/>
  <c r="AY96" i="3"/>
  <c r="AY169" i="3"/>
  <c r="AY223"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586" i="3"/>
  <c r="E60" i="40"/>
  <c r="E65" i="39"/>
  <c r="E58" i="40"/>
  <c r="E63" i="39"/>
  <c r="E64" i="39"/>
  <c r="E59" i="40"/>
  <c r="E16" i="6"/>
  <c r="D22" i="43"/>
  <c r="F27" i="69"/>
  <c r="C29" i="69" s="1"/>
  <c r="D27" i="69" s="1"/>
  <c r="F27" i="11"/>
  <c r="F28" i="12"/>
  <c r="C29" i="12" s="1"/>
  <c r="D28" i="12" s="1"/>
  <c r="C104" i="43"/>
  <c r="C107" i="43"/>
  <c r="C103" i="43"/>
  <c r="C106" i="43"/>
  <c r="C105" i="43"/>
  <c r="C102" i="43"/>
  <c r="C109" i="43"/>
  <c r="E104" i="43"/>
  <c r="E107" i="43"/>
  <c r="E105" i="43"/>
  <c r="E106" i="43"/>
  <c r="E102" i="43"/>
  <c r="E109" i="43"/>
  <c r="E103" i="43"/>
  <c r="J104" i="43"/>
  <c r="J107" i="43"/>
  <c r="J102" i="43"/>
  <c r="J109" i="43"/>
  <c r="J105" i="43"/>
  <c r="J106" i="43"/>
  <c r="J103" i="43"/>
  <c r="H107" i="43"/>
  <c r="H106" i="43"/>
  <c r="H105" i="43"/>
  <c r="H103" i="43"/>
  <c r="H109" i="43"/>
  <c r="H104" i="43"/>
  <c r="H102" i="43"/>
  <c r="F102" i="43"/>
  <c r="F105" i="43"/>
  <c r="F109" i="43"/>
  <c r="F104" i="43"/>
  <c r="F107" i="43"/>
  <c r="F106" i="43"/>
  <c r="F103" i="43"/>
  <c r="C115" i="43"/>
  <c r="D113" i="43" s="1"/>
  <c r="D109" i="43"/>
  <c r="D105" i="43"/>
  <c r="D106" i="43"/>
  <c r="D102" i="43"/>
  <c r="D103" i="43"/>
  <c r="D107" i="43"/>
  <c r="D104" i="43"/>
  <c r="M109" i="43"/>
  <c r="M104" i="43"/>
  <c r="M107" i="43"/>
  <c r="M105" i="43"/>
  <c r="M102" i="43"/>
  <c r="M103" i="43"/>
  <c r="M106" i="43"/>
  <c r="G105" i="43"/>
  <c r="G107" i="43"/>
  <c r="G104" i="43"/>
  <c r="G106" i="43"/>
  <c r="G103" i="43"/>
  <c r="G109" i="43"/>
  <c r="G102" i="43"/>
  <c r="L109" i="43"/>
  <c r="L106" i="43"/>
  <c r="L107" i="43"/>
  <c r="L103" i="43"/>
  <c r="L105" i="43"/>
  <c r="L102" i="43"/>
  <c r="L104" i="43"/>
  <c r="N105" i="43"/>
  <c r="N104" i="43"/>
  <c r="N109" i="43"/>
  <c r="N106" i="43"/>
  <c r="N103" i="43"/>
  <c r="N107" i="43"/>
  <c r="N102" i="43"/>
  <c r="K102" i="43"/>
  <c r="K105" i="43"/>
  <c r="K109" i="43"/>
  <c r="K104" i="43"/>
  <c r="K103" i="43"/>
  <c r="K107" i="43"/>
  <c r="K106" i="43"/>
  <c r="AC10" i="40"/>
  <c r="W10" i="40"/>
  <c r="AB10" i="39"/>
  <c r="U10" i="39"/>
  <c r="C47" i="68"/>
  <c r="D45" i="68" s="1"/>
  <c r="F45" i="68"/>
  <c r="F48" i="69"/>
  <c r="C30" i="69"/>
  <c r="C48" i="69"/>
  <c r="C48" i="11"/>
  <c r="C30" i="11"/>
  <c r="G35" i="43"/>
  <c r="I35" i="43" s="1"/>
  <c r="F7" i="33"/>
  <c r="E52" i="37"/>
  <c r="AB10" i="40"/>
  <c r="U10" i="40"/>
  <c r="S10" i="39"/>
  <c r="AA10" i="39"/>
  <c r="S7" i="21"/>
  <c r="AA7" i="21"/>
  <c r="R48" i="21" s="1"/>
  <c r="E46" i="36"/>
  <c r="W7" i="34"/>
  <c r="AC7" i="34"/>
  <c r="V49" i="34" s="1"/>
  <c r="I49" i="34" s="1"/>
  <c r="U7" i="33"/>
  <c r="AB7" i="33"/>
  <c r="T48" i="33" s="1"/>
  <c r="G48" i="33" s="1"/>
  <c r="W7" i="33"/>
  <c r="AC7" i="33"/>
  <c r="V48" i="33" s="1"/>
  <c r="I48" i="33" s="1"/>
  <c r="E48" i="35"/>
  <c r="AA10" i="40"/>
  <c r="S10" i="40"/>
  <c r="U7" i="21"/>
  <c r="AB7" i="21"/>
  <c r="T48" i="21" s="1"/>
  <c r="G48" i="21" s="1"/>
  <c r="AC7" i="21"/>
  <c r="V48" i="21" s="1"/>
  <c r="I48" i="21" s="1"/>
  <c r="W7" i="21"/>
  <c r="AB7" i="34"/>
  <c r="T49" i="34" s="1"/>
  <c r="G49" i="34" s="1"/>
  <c r="U7" i="34"/>
  <c r="AA7" i="34"/>
  <c r="R49" i="34" s="1"/>
  <c r="S7" i="34"/>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H6" i="3" l="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67" i="3"/>
  <c r="AY139" i="3"/>
  <c r="AY123" i="3"/>
  <c r="AY252" i="3"/>
  <c r="AY489" i="3"/>
  <c r="AY43" i="3"/>
  <c r="AY379" i="3"/>
  <c r="AY436" i="3"/>
  <c r="AY540" i="3"/>
  <c r="AY69" i="3"/>
  <c r="AY198" i="3"/>
  <c r="AY141" i="3"/>
  <c r="AY255" i="3"/>
  <c r="AY384" i="3"/>
  <c r="BB6" i="3"/>
  <c r="AY40"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103" i="3"/>
  <c r="AY183" i="3"/>
  <c r="AY319" i="3"/>
  <c r="AY212" i="3"/>
  <c r="AY573" i="3"/>
  <c r="AY20" i="3"/>
  <c r="AY286" i="3"/>
  <c r="AY507" i="3"/>
  <c r="AY186" i="3"/>
  <c r="AY130" i="3"/>
  <c r="AY243" i="3"/>
  <c r="AY393" i="3"/>
  <c r="AY325" i="3"/>
  <c r="AY308" i="3"/>
  <c r="AY464" i="3"/>
  <c r="AY422" i="3"/>
  <c r="AY191" i="3"/>
  <c r="AY31" i="3"/>
  <c r="AY147" i="3"/>
  <c r="AY350" i="3"/>
  <c r="AY425" i="3"/>
  <c r="AY244" i="3"/>
  <c r="AY481" i="3"/>
  <c r="AY562" i="3"/>
  <c r="AY89" i="3"/>
  <c r="AY36" i="3"/>
  <c r="AY146" i="3"/>
  <c r="AY302" i="3"/>
  <c r="AY222" i="3"/>
  <c r="BS6" i="3"/>
  <c r="AY196" i="3"/>
  <c r="AY204" i="3"/>
  <c r="AY412" i="3"/>
  <c r="AY326" i="3"/>
  <c r="AY105" i="3"/>
  <c r="AY162" i="3"/>
  <c r="AY238" i="3"/>
  <c r="AY57" i="3"/>
  <c r="AY166" i="3"/>
  <c r="AY295" i="3"/>
  <c r="AY242" i="3"/>
  <c r="AY353" i="3"/>
  <c r="AY348" i="3"/>
  <c r="AY475" i="3"/>
  <c r="AY462" i="3"/>
  <c r="AY398" i="3"/>
  <c r="BQ6" i="3"/>
  <c r="AY534" i="3"/>
  <c r="AY495" i="3"/>
  <c r="AY501" i="3"/>
  <c r="AY284" i="3"/>
  <c r="AY478" i="3"/>
  <c r="AY173" i="3"/>
  <c r="AY72" i="3"/>
  <c r="AY279" i="3"/>
  <c r="AY356" i="3"/>
  <c r="AY467" i="3"/>
  <c r="AY435" i="3"/>
  <c r="AY525" i="3"/>
  <c r="BN6" i="3"/>
  <c r="AY518"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261" i="3"/>
  <c r="AY343" i="3"/>
  <c r="AY193" i="3"/>
  <c r="AY88"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67" i="3"/>
  <c r="AY209" i="3"/>
  <c r="AY417" i="3"/>
  <c r="AY134" i="3"/>
  <c r="AY29" i="3"/>
  <c r="AY275" i="3"/>
  <c r="AY341" i="3"/>
  <c r="AY480" i="3"/>
  <c r="AY419" i="3"/>
  <c r="AY536" i="3"/>
  <c r="AY584" i="3"/>
  <c r="AY519" i="3"/>
  <c r="AY80" i="3"/>
  <c r="AY189" i="3"/>
  <c r="AY129" i="3"/>
  <c r="AY266" i="3"/>
  <c r="AY369" i="3"/>
  <c r="AY313" i="3"/>
  <c r="AY498"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45" i="3"/>
  <c r="AY282" i="3"/>
  <c r="AY37" i="3"/>
  <c r="AY514" i="3"/>
  <c r="AY580" i="3"/>
  <c r="AY324" i="3"/>
  <c r="AY161" i="3"/>
  <c r="AY84" i="3"/>
  <c r="AY289" i="3"/>
  <c r="BD6" i="3"/>
  <c r="AY338" i="3"/>
  <c r="AY241" i="3"/>
  <c r="AY184" i="3"/>
  <c r="BL6" i="3"/>
  <c r="AY456" i="3"/>
  <c r="AY378" i="3"/>
  <c r="AY135" i="3"/>
  <c r="AY63" i="3"/>
  <c r="AY542" i="3"/>
  <c r="AY506" i="3"/>
  <c r="AY458" i="3"/>
  <c r="AY344" i="3"/>
  <c r="AY234" i="3"/>
  <c r="AY158" i="3"/>
  <c r="AY101" i="3"/>
  <c r="AY520" i="3"/>
  <c r="AY449" i="3"/>
  <c r="AY258" i="3"/>
  <c r="AY270" i="3"/>
  <c r="AY455"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59" i="3"/>
  <c r="AY516" i="3"/>
  <c r="AY454" i="3"/>
  <c r="AY226" i="3"/>
  <c r="AY227" i="3"/>
  <c r="AY497" i="3"/>
  <c r="BG6" i="3"/>
  <c r="AY585" i="3"/>
  <c r="AY430" i="3"/>
  <c r="AY316" i="3"/>
  <c r="AY388" i="3"/>
  <c r="AY145" i="3"/>
  <c r="AY368" i="3"/>
  <c r="AY52" i="3"/>
  <c r="AY229" i="3"/>
  <c r="AY74" i="3"/>
  <c r="AY389" i="3"/>
  <c r="AY126" i="3"/>
  <c r="AY53" i="3"/>
  <c r="AY404" i="3"/>
  <c r="AY199" i="3"/>
  <c r="AY220" i="3"/>
  <c r="AY132" i="3"/>
  <c r="D10" i="6"/>
  <c r="M19" i="82"/>
  <c r="C118" i="82" s="1"/>
  <c r="L19" i="82"/>
  <c r="D56" i="71"/>
  <c r="T56" i="71"/>
  <c r="S29" i="35"/>
  <c r="AA29" i="35"/>
  <c r="K65" i="40"/>
  <c r="L63" i="40"/>
  <c r="AC6" i="3"/>
  <c r="E6" i="3" s="1"/>
  <c r="N58" i="71"/>
  <c r="N57" i="71"/>
  <c r="C14" i="71"/>
  <c r="D15" i="71"/>
  <c r="M18" i="82"/>
  <c r="B118" i="82" s="1"/>
  <c r="L18" i="82"/>
  <c r="I70" i="39"/>
  <c r="J68" i="39"/>
  <c r="M14" i="1"/>
  <c r="M16" i="1" s="1"/>
  <c r="C34" i="69"/>
  <c r="K16" i="1"/>
  <c r="D48" i="71"/>
  <c r="T48" i="71"/>
  <c r="B11" i="71"/>
  <c r="B10" i="71" s="1"/>
  <c r="B9" i="71" s="1"/>
  <c r="B8" i="71" s="1"/>
  <c r="S12"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K24" i="6"/>
  <c r="M24" i="6" s="1"/>
  <c r="I24" i="6" s="1"/>
  <c r="S24" i="6" s="1"/>
  <c r="K23" i="6"/>
  <c r="M23" i="6" s="1"/>
  <c r="I23" i="6" s="1"/>
  <c r="S23" i="6" s="1"/>
  <c r="K20" i="6"/>
  <c r="K22" i="6"/>
  <c r="M22" i="6" s="1"/>
  <c r="I22" i="6" s="1"/>
  <c r="S22" i="6" s="1"/>
  <c r="K25" i="6"/>
  <c r="M25" i="6" s="1"/>
  <c r="I25" i="6" s="1"/>
  <c r="S25" i="6" s="1"/>
  <c r="E31" i="6"/>
  <c r="K26" i="6"/>
  <c r="M26" i="6" s="1"/>
  <c r="I26" i="6" s="1"/>
  <c r="S26" i="6" s="1"/>
  <c r="K21" i="6"/>
  <c r="M21" i="6" s="1"/>
  <c r="I21" i="6" s="1"/>
  <c r="S21" i="6" s="1"/>
  <c r="K19" i="6"/>
  <c r="S6" i="1" s="1"/>
  <c r="D14" i="6"/>
  <c r="D10" i="11"/>
  <c r="C10" i="11" s="1"/>
  <c r="D20" i="12"/>
  <c r="C20" i="12" s="1"/>
  <c r="C18" i="12" s="1"/>
  <c r="D10" i="69"/>
  <c r="D25" i="6"/>
  <c r="C18" i="4"/>
  <c r="D21" i="6"/>
  <c r="D24" i="6"/>
  <c r="D6" i="6"/>
  <c r="L19" i="9"/>
  <c r="D29" i="6"/>
  <c r="M19" i="9"/>
  <c r="C118" i="9" s="1"/>
  <c r="C14" i="74" s="1"/>
  <c r="B2" i="74" s="1"/>
  <c r="D19" i="6"/>
  <c r="D26" i="6"/>
  <c r="D22" i="6"/>
  <c r="D23" i="6"/>
  <c r="D20" i="6"/>
  <c r="D5" i="6"/>
  <c r="D9" i="6"/>
  <c r="D28" i="6"/>
  <c r="E61" i="40"/>
  <c r="D12" i="6"/>
  <c r="H23" i="6"/>
  <c r="H24" i="6"/>
  <c r="D8" i="6"/>
  <c r="D11" i="6"/>
  <c r="D17" i="12"/>
  <c r="C17" i="12" s="1"/>
  <c r="C14" i="12"/>
  <c r="C16" i="12" s="1"/>
  <c r="C8" i="74"/>
  <c r="C7" i="74"/>
  <c r="E66" i="39"/>
  <c r="C47" i="11"/>
  <c r="D45" i="11" s="1"/>
  <c r="C29" i="11"/>
  <c r="D27" i="11" s="1"/>
  <c r="C28" i="11"/>
  <c r="C27" i="11" s="1"/>
  <c r="C47" i="69"/>
  <c r="D45" i="69" s="1"/>
  <c r="F45" i="69"/>
  <c r="S5" i="43"/>
  <c r="T5" i="43" s="1"/>
  <c r="V5" i="43" s="1"/>
  <c r="S4" i="43"/>
  <c r="T4" i="43" s="1"/>
  <c r="V4" i="43" s="1"/>
  <c r="S3" i="43"/>
  <c r="T3" i="43" s="1"/>
  <c r="V3" i="43" s="1"/>
  <c r="S2" i="43"/>
  <c r="T2" i="43" s="1"/>
  <c r="V2" i="43" s="1"/>
  <c r="C23" i="43"/>
  <c r="C21" i="43" s="1"/>
  <c r="C29" i="43" s="1"/>
  <c r="S7" i="43"/>
  <c r="T7" i="43" s="1"/>
  <c r="V7" i="43" s="1"/>
  <c r="S6" i="43"/>
  <c r="T6" i="43" s="1"/>
  <c r="V6" i="43" s="1"/>
  <c r="C26" i="43"/>
  <c r="R50" i="34"/>
  <c r="E49" i="34"/>
  <c r="G54" i="34"/>
  <c r="H54" i="34" s="1"/>
  <c r="G53" i="34"/>
  <c r="H53" i="34" s="1"/>
  <c r="I52" i="21"/>
  <c r="J52" i="21" s="1"/>
  <c r="F48" i="35"/>
  <c r="I53" i="34"/>
  <c r="J53" i="34" s="1"/>
  <c r="I54" i="34"/>
  <c r="J54" i="34" s="1"/>
  <c r="F46" i="36"/>
  <c r="F52" i="37"/>
  <c r="G52" i="21"/>
  <c r="H52" i="21" s="1"/>
  <c r="G53" i="21"/>
  <c r="H53" i="21" s="1"/>
  <c r="I52" i="33"/>
  <c r="J52" i="33" s="1"/>
  <c r="G52" i="33"/>
  <c r="H52" i="33" s="1"/>
  <c r="G53" i="33"/>
  <c r="H53" i="33" s="1"/>
  <c r="R49" i="21"/>
  <c r="E48" i="21"/>
  <c r="I53" i="21" s="1"/>
  <c r="J53" i="21" s="1"/>
  <c r="AA7" i="33"/>
  <c r="R48" i="33" s="1"/>
  <c r="S7" i="33"/>
  <c r="J26" i="67"/>
  <c r="J24" i="67"/>
  <c r="J24" i="15"/>
  <c r="J26" i="15"/>
  <c r="C53" i="67"/>
  <c r="C48" i="67" s="1"/>
  <c r="C10" i="67"/>
  <c r="C5" i="67" s="1"/>
  <c r="C53" i="15"/>
  <c r="C48" i="15" s="1"/>
  <c r="C10" i="15"/>
  <c r="C5" i="15" s="1"/>
  <c r="F25" i="12"/>
  <c r="F22" i="69"/>
  <c r="F41" i="69" s="1"/>
  <c r="F24" i="67"/>
  <c r="C24" i="67" s="1"/>
  <c r="F22" i="11"/>
  <c r="F22" i="68"/>
  <c r="F24" i="15"/>
  <c r="C24" i="15" s="1"/>
  <c r="D10" i="68"/>
  <c r="F41" i="15"/>
  <c r="C17" i="15"/>
  <c r="F41" i="67"/>
  <c r="D15" i="6" l="1"/>
  <c r="D13" i="6"/>
  <c r="E6" i="70"/>
  <c r="B7" i="71"/>
  <c r="B6" i="71" s="1"/>
  <c r="B5" i="71" s="1"/>
  <c r="S8" i="71"/>
  <c r="C35" i="69"/>
  <c r="C38" i="69"/>
  <c r="J70" i="39"/>
  <c r="K68" i="39"/>
  <c r="D16" i="6"/>
  <c r="C34" i="68"/>
  <c r="C34" i="11"/>
  <c r="L16" i="1"/>
  <c r="N16" i="1"/>
  <c r="D14" i="71"/>
  <c r="C13" i="71"/>
  <c r="L65" i="40"/>
  <c r="M63" i="40"/>
  <c r="F69" i="15"/>
  <c r="J29" i="15"/>
  <c r="F69" i="67"/>
  <c r="J29" i="67"/>
  <c r="H22" i="6"/>
  <c r="R22" i="6" s="1"/>
  <c r="AQ6" i="1"/>
  <c r="AR6" i="1"/>
  <c r="T6" i="1"/>
  <c r="M20" i="6"/>
  <c r="I20" i="6" s="1"/>
  <c r="S20" i="6" s="1"/>
  <c r="S7" i="1"/>
  <c r="H26" i="6"/>
  <c r="R26" i="6" s="1"/>
  <c r="H21" i="6"/>
  <c r="R21" i="6" s="1"/>
  <c r="H25" i="6"/>
  <c r="H20" i="6"/>
  <c r="R20" i="6" s="1"/>
  <c r="R7" i="1" s="1"/>
  <c r="D30" i="6"/>
  <c r="D27" i="6"/>
  <c r="M19" i="6"/>
  <c r="K27" i="6"/>
  <c r="C21" i="12"/>
  <c r="R23" i="6"/>
  <c r="R25" i="6"/>
  <c r="C10" i="69"/>
  <c r="C8" i="69" s="1"/>
  <c r="C5" i="69" s="1"/>
  <c r="C23" i="69" s="1"/>
  <c r="D19" i="69"/>
  <c r="D7" i="74"/>
  <c r="D8" i="74"/>
  <c r="R24" i="6"/>
  <c r="A7" i="51"/>
  <c r="B7" i="72" s="1"/>
  <c r="A10" i="51"/>
  <c r="B9" i="72" s="1"/>
  <c r="C4" i="52"/>
  <c r="B45" i="72" s="1"/>
  <c r="C10" i="68"/>
  <c r="C8" i="68" s="1"/>
  <c r="D19" i="68"/>
  <c r="E29" i="43"/>
  <c r="C30" i="43"/>
  <c r="E30" i="43" s="1"/>
  <c r="C27" i="43" s="1"/>
  <c r="R49" i="33"/>
  <c r="E48" i="33"/>
  <c r="C49" i="21"/>
  <c r="B2" i="21" s="1"/>
  <c r="B3" i="21" s="1"/>
  <c r="C48" i="21"/>
  <c r="E53" i="34"/>
  <c r="F53" i="34" s="1"/>
  <c r="E54" i="34"/>
  <c r="F54" i="34" s="1"/>
  <c r="E52" i="21"/>
  <c r="F52" i="21" s="1"/>
  <c r="E53" i="21"/>
  <c r="F53" i="21" s="1"/>
  <c r="G52" i="37"/>
  <c r="G46" i="36"/>
  <c r="G48" i="35"/>
  <c r="H48" i="35" s="1"/>
  <c r="I48" i="35" s="1"/>
  <c r="J48" i="35" s="1"/>
  <c r="K48" i="35" s="1"/>
  <c r="L48" i="35" s="1"/>
  <c r="M48" i="35" s="1"/>
  <c r="N48" i="35" s="1"/>
  <c r="O48" i="35" s="1"/>
  <c r="C49" i="34"/>
  <c r="C50" i="34"/>
  <c r="B2" i="34" s="1"/>
  <c r="B3" i="34" s="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C17" i="67"/>
  <c r="C14" i="67"/>
  <c r="E6" i="76"/>
  <c r="M21" i="67"/>
  <c r="F35" i="67"/>
  <c r="B6" i="76"/>
  <c r="C18" i="67" l="1"/>
  <c r="C15" i="67"/>
  <c r="C18" i="15"/>
  <c r="C15" i="15"/>
  <c r="C35" i="68"/>
  <c r="C38" i="68"/>
  <c r="H7" i="35"/>
  <c r="S16" i="1"/>
  <c r="E7" i="70"/>
  <c r="M65" i="40"/>
  <c r="N63" i="40"/>
  <c r="C12" i="71"/>
  <c r="D13" i="71"/>
  <c r="F50" i="11"/>
  <c r="F50" i="68"/>
  <c r="F50" i="69"/>
  <c r="C38" i="11"/>
  <c r="C35" i="11"/>
  <c r="C33" i="11" s="1"/>
  <c r="K70" i="39"/>
  <c r="L68" i="39"/>
  <c r="E2" i="70"/>
  <c r="F63" i="67"/>
  <c r="C62" i="67" s="1"/>
  <c r="C34" i="67"/>
  <c r="J20" i="67"/>
  <c r="AQ7" i="1"/>
  <c r="T7" i="1"/>
  <c r="T16" i="1" s="1"/>
  <c r="AR7" i="1"/>
  <c r="D31" i="6"/>
  <c r="I6" i="6" s="1"/>
  <c r="M27" i="6"/>
  <c r="I19" i="6"/>
  <c r="C19" i="68"/>
  <c r="D37" i="68"/>
  <c r="C37" i="68" s="1"/>
  <c r="C19" i="69"/>
  <c r="C24" i="69" s="1"/>
  <c r="D37" i="69"/>
  <c r="C37" i="69" s="1"/>
  <c r="C33" i="69" s="1"/>
  <c r="C22" i="12"/>
  <c r="C27" i="12" s="1"/>
  <c r="C25" i="12" s="1"/>
  <c r="E2" i="76"/>
  <c r="AB7" i="35"/>
  <c r="T38" i="35" s="1"/>
  <c r="G38" i="35" s="1"/>
  <c r="U7" i="35"/>
  <c r="J7" i="35"/>
  <c r="H46" i="36"/>
  <c r="H52" i="37"/>
  <c r="C49" i="33"/>
  <c r="B2" i="33" s="1"/>
  <c r="B3" i="33" s="1"/>
  <c r="C48" i="33"/>
  <c r="R24" i="31" s="1"/>
  <c r="E53" i="33"/>
  <c r="F53" i="33" s="1"/>
  <c r="E52" i="33"/>
  <c r="F52" i="33" s="1"/>
  <c r="I53" i="33"/>
  <c r="J53" i="33" s="1"/>
  <c r="F7" i="35"/>
  <c r="B2" i="76"/>
  <c r="B3" i="43"/>
  <c r="C33" i="15"/>
  <c r="C22" i="11"/>
  <c r="C31" i="11" s="1"/>
  <c r="C33" i="67"/>
  <c r="C19" i="15" l="1"/>
  <c r="C20" i="15" s="1"/>
  <c r="C26" i="15" s="1"/>
  <c r="C31" i="67"/>
  <c r="C33" i="68"/>
  <c r="C39" i="68" s="1"/>
  <c r="C19" i="67"/>
  <c r="C20" i="67" s="1"/>
  <c r="C26" i="67" s="1"/>
  <c r="N65" i="40"/>
  <c r="O63" i="40"/>
  <c r="O65" i="40" s="1"/>
  <c r="F7" i="40" s="1"/>
  <c r="J7" i="40"/>
  <c r="L70" i="39"/>
  <c r="M68" i="39"/>
  <c r="C39" i="11"/>
  <c r="C43" i="11" s="1"/>
  <c r="C42" i="11"/>
  <c r="C11" i="71"/>
  <c r="T12" i="71"/>
  <c r="D12" i="71"/>
  <c r="U12" i="71" s="1"/>
  <c r="H7" i="40"/>
  <c r="S24" i="31"/>
  <c r="R25" i="31"/>
  <c r="S25" i="31" s="1"/>
  <c r="R26" i="31"/>
  <c r="S26" i="31" s="1"/>
  <c r="B3" i="76"/>
  <c r="I5" i="6"/>
  <c r="S19" i="6"/>
  <c r="S27" i="6" s="1"/>
  <c r="H19" i="6"/>
  <c r="I27" i="6"/>
  <c r="C30" i="12"/>
  <c r="C28" i="12" s="1"/>
  <c r="C32" i="12" s="1"/>
  <c r="B2" i="12" s="1"/>
  <c r="C39" i="69"/>
  <c r="C43" i="69" s="1"/>
  <c r="C42" i="69"/>
  <c r="C20" i="69"/>
  <c r="C24" i="68"/>
  <c r="AA7" i="35"/>
  <c r="R38" i="35" s="1"/>
  <c r="S7" i="35"/>
  <c r="I52" i="37"/>
  <c r="I46" i="36"/>
  <c r="AC7" i="35"/>
  <c r="V38" i="35" s="1"/>
  <c r="I38" i="35" s="1"/>
  <c r="W7" i="35"/>
  <c r="G42" i="35"/>
  <c r="H42" i="35" s="1"/>
  <c r="G43" i="35"/>
  <c r="H43" i="35" s="1"/>
  <c r="C42" i="68" l="1"/>
  <c r="C41" i="11"/>
  <c r="C46" i="11"/>
  <c r="C45" i="11" s="1"/>
  <c r="C23" i="15"/>
  <c r="C29" i="15" s="1"/>
  <c r="C36" i="15" s="1"/>
  <c r="C23" i="67"/>
  <c r="C29" i="67" s="1"/>
  <c r="J14" i="67" s="1"/>
  <c r="S7" i="40"/>
  <c r="AA7" i="40"/>
  <c r="R42" i="40" s="1"/>
  <c r="C10" i="71"/>
  <c r="D11" i="71"/>
  <c r="M70" i="39"/>
  <c r="N68" i="39"/>
  <c r="J59" i="15"/>
  <c r="J60" i="15" s="1"/>
  <c r="Q48" i="15" s="1"/>
  <c r="W7" i="40"/>
  <c r="AC7" i="40"/>
  <c r="V42" i="40" s="1"/>
  <c r="I42" i="40" s="1"/>
  <c r="C36" i="67"/>
  <c r="AB7" i="40"/>
  <c r="T42" i="40" s="1"/>
  <c r="G42" i="40" s="1"/>
  <c r="U7" i="40"/>
  <c r="C49" i="11"/>
  <c r="C51" i="11" s="1"/>
  <c r="C52" i="11" s="1"/>
  <c r="B2" i="11" s="1"/>
  <c r="B3" i="11" s="1"/>
  <c r="S22" i="31"/>
  <c r="B3" i="12"/>
  <c r="C41" i="69"/>
  <c r="C46" i="69"/>
  <c r="C45" i="69" s="1"/>
  <c r="R19" i="6"/>
  <c r="H27" i="6"/>
  <c r="C28" i="69"/>
  <c r="C27" i="69" s="1"/>
  <c r="C25" i="69"/>
  <c r="C22" i="69" s="1"/>
  <c r="C46" i="68"/>
  <c r="C45" i="68" s="1"/>
  <c r="C43" i="68"/>
  <c r="J7" i="37"/>
  <c r="I42" i="35"/>
  <c r="J42" i="35" s="1"/>
  <c r="J46" i="36"/>
  <c r="J52" i="37"/>
  <c r="K52" i="37" s="1"/>
  <c r="L52" i="37" s="1"/>
  <c r="M52" i="37" s="1"/>
  <c r="N52" i="37" s="1"/>
  <c r="O52" i="37" s="1"/>
  <c r="F7" i="37"/>
  <c r="H7" i="37"/>
  <c r="R39" i="35"/>
  <c r="E38" i="35"/>
  <c r="I43" i="35" s="1"/>
  <c r="J43" i="35" s="1"/>
  <c r="C41" i="68" l="1"/>
  <c r="C57" i="15"/>
  <c r="C61" i="15" s="1"/>
  <c r="C13" i="15"/>
  <c r="C75" i="15" s="1"/>
  <c r="J14" i="15"/>
  <c r="J22" i="15" s="1"/>
  <c r="Q49" i="15"/>
  <c r="J19" i="15"/>
  <c r="C13" i="67"/>
  <c r="C75" i="67" s="1"/>
  <c r="C56" i="11"/>
  <c r="C57" i="11" s="1"/>
  <c r="J59" i="67"/>
  <c r="J60" i="67" s="1"/>
  <c r="Q48" i="67" s="1"/>
  <c r="J19" i="67"/>
  <c r="J17" i="67" s="1"/>
  <c r="C57" i="67"/>
  <c r="C61" i="67" s="1"/>
  <c r="C59" i="67" s="1"/>
  <c r="Q49" i="67"/>
  <c r="G46" i="40"/>
  <c r="H46" i="40" s="1"/>
  <c r="G47" i="40"/>
  <c r="H47" i="40" s="1"/>
  <c r="C64" i="67"/>
  <c r="J22" i="67"/>
  <c r="J13" i="67"/>
  <c r="J23" i="67" s="1"/>
  <c r="I46" i="40"/>
  <c r="J46" i="40" s="1"/>
  <c r="C56" i="15"/>
  <c r="C65" i="15" s="1"/>
  <c r="C9" i="71"/>
  <c r="D10" i="71"/>
  <c r="O68" i="39"/>
  <c r="O70" i="39" s="1"/>
  <c r="N70" i="39"/>
  <c r="R43" i="40"/>
  <c r="E42" i="40"/>
  <c r="R22" i="31"/>
  <c r="B20" i="31"/>
  <c r="B21" i="31" s="1"/>
  <c r="C49" i="69"/>
  <c r="C51" i="69" s="1"/>
  <c r="R27" i="6"/>
  <c r="R6" i="1"/>
  <c r="C49" i="68"/>
  <c r="C51" i="68" s="1"/>
  <c r="C31" i="69"/>
  <c r="C39" i="35"/>
  <c r="B2" i="35" s="1"/>
  <c r="B3" i="35" s="1"/>
  <c r="C38" i="35"/>
  <c r="E43" i="35"/>
  <c r="F43" i="35" s="1"/>
  <c r="E42" i="35"/>
  <c r="F42" i="35" s="1"/>
  <c r="U7" i="37"/>
  <c r="AB7" i="37"/>
  <c r="T42" i="37" s="1"/>
  <c r="G42" i="37" s="1"/>
  <c r="K46" i="36"/>
  <c r="S7" i="37"/>
  <c r="AA7" i="37"/>
  <c r="R42" i="37" s="1"/>
  <c r="W7" i="37"/>
  <c r="AC7" i="37"/>
  <c r="V42" i="37" s="1"/>
  <c r="I42" i="37" s="1"/>
  <c r="L57" i="67"/>
  <c r="L60" i="67" s="1"/>
  <c r="M21" i="15"/>
  <c r="F35" i="15"/>
  <c r="J13" i="15" l="1"/>
  <c r="J23" i="15" s="1"/>
  <c r="C64" i="15"/>
  <c r="L46" i="67"/>
  <c r="Q70" i="15"/>
  <c r="Q70" i="67"/>
  <c r="C37" i="15"/>
  <c r="C37" i="67"/>
  <c r="C30" i="67" s="1"/>
  <c r="C39" i="67" s="1"/>
  <c r="Q69" i="67" s="1"/>
  <c r="Q68" i="67" s="1"/>
  <c r="C56" i="67"/>
  <c r="C65" i="67" s="1"/>
  <c r="C58" i="67" s="1"/>
  <c r="C67" i="67" s="1"/>
  <c r="C68" i="67" s="1"/>
  <c r="C71" i="67" s="1"/>
  <c r="E47" i="40"/>
  <c r="F47" i="40" s="1"/>
  <c r="E46" i="40"/>
  <c r="F46" i="40" s="1"/>
  <c r="J7" i="39"/>
  <c r="F7" i="39"/>
  <c r="H7" i="39"/>
  <c r="I47" i="40"/>
  <c r="J47" i="40" s="1"/>
  <c r="C43" i="40"/>
  <c r="C42" i="40"/>
  <c r="C8" i="71"/>
  <c r="D9" i="71"/>
  <c r="J16" i="67"/>
  <c r="J25" i="67" s="1"/>
  <c r="C52" i="69"/>
  <c r="C57" i="69" s="1"/>
  <c r="C56" i="69" s="1"/>
  <c r="J20" i="15"/>
  <c r="J17" i="15" s="1"/>
  <c r="F63" i="15"/>
  <c r="C62" i="15" s="1"/>
  <c r="C59" i="15" s="1"/>
  <c r="C34" i="15"/>
  <c r="C31" i="15" s="1"/>
  <c r="R16" i="1"/>
  <c r="G46" i="37"/>
  <c r="H46" i="37" s="1"/>
  <c r="G47" i="37"/>
  <c r="H47" i="37" s="1"/>
  <c r="I46" i="37"/>
  <c r="J46" i="37" s="1"/>
  <c r="R43" i="37"/>
  <c r="E42" i="37"/>
  <c r="I47" i="37" s="1"/>
  <c r="J47" i="37" s="1"/>
  <c r="L46" i="36"/>
  <c r="Q66" i="67"/>
  <c r="Q57" i="67"/>
  <c r="C19" i="82"/>
  <c r="L51" i="67"/>
  <c r="C20" i="82"/>
  <c r="C19" i="9"/>
  <c r="C30" i="15" l="1"/>
  <c r="C39" i="15" s="1"/>
  <c r="C40" i="15" s="1"/>
  <c r="C40" i="67"/>
  <c r="D2" i="67" s="1"/>
  <c r="B2" i="67" s="1"/>
  <c r="J16" i="15"/>
  <c r="J25" i="15" s="1"/>
  <c r="C58" i="15"/>
  <c r="C67" i="15" s="1"/>
  <c r="C68" i="15" s="1"/>
  <c r="C71" i="15" s="1"/>
  <c r="C80" i="67"/>
  <c r="C79" i="67" s="1"/>
  <c r="B2" i="69"/>
  <c r="B3" i="69" s="1"/>
  <c r="Q67" i="67"/>
  <c r="C7" i="71"/>
  <c r="T8" i="71"/>
  <c r="D8" i="71"/>
  <c r="U8" i="71" s="1"/>
  <c r="B57" i="40"/>
  <c r="F57" i="40" s="1"/>
  <c r="B58" i="40"/>
  <c r="F58" i="40" s="1"/>
  <c r="B53" i="40"/>
  <c r="F53" i="40" s="1"/>
  <c r="B52" i="40"/>
  <c r="F52" i="40" s="1"/>
  <c r="B60" i="40"/>
  <c r="F60" i="40" s="1"/>
  <c r="B51" i="40"/>
  <c r="F51" i="40" s="1"/>
  <c r="B55" i="40"/>
  <c r="F55" i="40" s="1"/>
  <c r="B54" i="40"/>
  <c r="F54" i="40" s="1"/>
  <c r="B59" i="40"/>
  <c r="F59" i="40" s="1"/>
  <c r="B56" i="40"/>
  <c r="F56" i="40" s="1"/>
  <c r="F61" i="40"/>
  <c r="B2" i="40" s="1"/>
  <c r="B3" i="40" s="1"/>
  <c r="Q65" i="67"/>
  <c r="Q75" i="67" s="1"/>
  <c r="S7" i="39"/>
  <c r="AA7" i="39"/>
  <c r="R47" i="39" s="1"/>
  <c r="AB7" i="39"/>
  <c r="T47" i="39" s="1"/>
  <c r="G47" i="39" s="1"/>
  <c r="U7" i="39"/>
  <c r="W7" i="39"/>
  <c r="AC7" i="39"/>
  <c r="V47" i="39" s="1"/>
  <c r="I47" i="39" s="1"/>
  <c r="C103" i="82"/>
  <c r="C21" i="82"/>
  <c r="C102" i="82"/>
  <c r="C102" i="9"/>
  <c r="C21" i="9"/>
  <c r="L57" i="15"/>
  <c r="L60" i="15" s="1"/>
  <c r="E47" i="37"/>
  <c r="F47" i="37" s="1"/>
  <c r="E46" i="37"/>
  <c r="F46" i="37" s="1"/>
  <c r="M46" i="36"/>
  <c r="N46" i="36" s="1"/>
  <c r="O46" i="36" s="1"/>
  <c r="H7" i="36" s="1"/>
  <c r="J7" i="36"/>
  <c r="C43" i="37"/>
  <c r="B2" i="37" s="1"/>
  <c r="B3" i="37" s="1"/>
  <c r="C42" i="37"/>
  <c r="L51" i="15"/>
  <c r="AO7" i="1"/>
  <c r="C20" i="9"/>
  <c r="C83" i="67" l="1"/>
  <c r="C82" i="67" s="1"/>
  <c r="C43" i="67"/>
  <c r="Q67" i="15"/>
  <c r="C80" i="15"/>
  <c r="C79" i="15" s="1"/>
  <c r="Q69" i="15"/>
  <c r="Q68" i="15" s="1"/>
  <c r="B7" i="70"/>
  <c r="Q56" i="67"/>
  <c r="Q62" i="67" s="1"/>
  <c r="C45" i="67"/>
  <c r="C46" i="67" s="1"/>
  <c r="Q47" i="67"/>
  <c r="Q53" i="67" s="1"/>
  <c r="B3" i="67"/>
  <c r="C46" i="15"/>
  <c r="G52" i="39"/>
  <c r="H52" i="39" s="1"/>
  <c r="G51" i="39"/>
  <c r="H51" i="39" s="1"/>
  <c r="I51" i="39"/>
  <c r="J51" i="39" s="1"/>
  <c r="E47" i="39"/>
  <c r="I52" i="39" s="1"/>
  <c r="J52" i="39" s="1"/>
  <c r="R48" i="39"/>
  <c r="C6" i="71"/>
  <c r="D7" i="71"/>
  <c r="C103" i="9"/>
  <c r="C43" i="15"/>
  <c r="C83" i="15"/>
  <c r="C82" i="15" s="1"/>
  <c r="Q65" i="15"/>
  <c r="Q47" i="15"/>
  <c r="Q53" i="15" s="1"/>
  <c r="Q56" i="15"/>
  <c r="L46" i="15"/>
  <c r="B2" i="15" s="1"/>
  <c r="Q57" i="15"/>
  <c r="Q66" i="15"/>
  <c r="W7" i="36"/>
  <c r="AC7" i="36"/>
  <c r="V36" i="36" s="1"/>
  <c r="I36" i="36" s="1"/>
  <c r="F7" i="36"/>
  <c r="U7" i="36"/>
  <c r="AB7" i="36"/>
  <c r="T36" i="36" s="1"/>
  <c r="G36" i="36" s="1"/>
  <c r="D19" i="82"/>
  <c r="AO6" i="1"/>
  <c r="C47" i="39" l="1"/>
  <c r="C48" i="39"/>
  <c r="C5" i="71"/>
  <c r="D6" i="71"/>
  <c r="E51" i="39"/>
  <c r="F51" i="39" s="1"/>
  <c r="E52" i="39"/>
  <c r="F52" i="39" s="1"/>
  <c r="D102" i="82"/>
  <c r="D21" i="82"/>
  <c r="D22" i="82"/>
  <c r="G19" i="82"/>
  <c r="D15" i="74" s="1"/>
  <c r="G15" i="74" s="1"/>
  <c r="Q75" i="15"/>
  <c r="B6" i="70"/>
  <c r="B2" i="70" s="1"/>
  <c r="Q62" i="15"/>
  <c r="B3" i="15"/>
  <c r="AA7" i="36"/>
  <c r="R36" i="36" s="1"/>
  <c r="S7" i="36"/>
  <c r="I40" i="36"/>
  <c r="J40" i="36" s="1"/>
  <c r="G40" i="36"/>
  <c r="H40" i="36" s="1"/>
  <c r="G41" i="36"/>
  <c r="H41" i="36" s="1"/>
  <c r="D19" i="9"/>
  <c r="D20" i="82"/>
  <c r="B58" i="39" l="1"/>
  <c r="F58" i="39" s="1"/>
  <c r="B65" i="39"/>
  <c r="F65" i="39" s="1"/>
  <c r="B56" i="39"/>
  <c r="F56" i="39" s="1"/>
  <c r="B57" i="39"/>
  <c r="F57" i="39" s="1"/>
  <c r="B64" i="39"/>
  <c r="F64" i="39" s="1"/>
  <c r="B59" i="39"/>
  <c r="F59" i="39" s="1"/>
  <c r="B60" i="39"/>
  <c r="F60" i="39" s="1"/>
  <c r="B62" i="39"/>
  <c r="F62" i="39" s="1"/>
  <c r="B63" i="39"/>
  <c r="F63" i="39" s="1"/>
  <c r="B61" i="39"/>
  <c r="F61" i="39" s="1"/>
  <c r="D5" i="71"/>
  <c r="M20" i="43"/>
  <c r="F15" i="74"/>
  <c r="E15" i="74"/>
  <c r="D103" i="82"/>
  <c r="G20" i="82"/>
  <c r="C32" i="82"/>
  <c r="G21" i="82"/>
  <c r="D102" i="9"/>
  <c r="D21" i="9"/>
  <c r="D22" i="9"/>
  <c r="G19" i="9"/>
  <c r="G21" i="9" s="1"/>
  <c r="B3" i="70"/>
  <c r="R37" i="36"/>
  <c r="E36" i="36"/>
  <c r="D20" i="9"/>
  <c r="F66" i="39" l="1"/>
  <c r="B2" i="39" s="1"/>
  <c r="H118" i="82"/>
  <c r="C35" i="82"/>
  <c r="F118" i="82" s="1"/>
  <c r="D103" i="9"/>
  <c r="G20" i="9"/>
  <c r="L46" i="84" s="1"/>
  <c r="M47" i="84" s="1"/>
  <c r="C37" i="36"/>
  <c r="B2" i="36" s="1"/>
  <c r="B3" i="36" s="1"/>
  <c r="C36" i="36"/>
  <c r="E40" i="36"/>
  <c r="F40" i="36" s="1"/>
  <c r="E41" i="36"/>
  <c r="F41" i="36" s="1"/>
  <c r="I41" i="36"/>
  <c r="J41" i="36" s="1"/>
  <c r="C32" i="9" l="1"/>
  <c r="C35" i="9" s="1"/>
  <c r="C34" i="9" s="1"/>
  <c r="D118" i="9" s="1"/>
  <c r="D119" i="9" s="1"/>
  <c r="D5" i="52" s="1"/>
  <c r="B49" i="72" s="1"/>
  <c r="B3" i="39"/>
  <c r="F119" i="82"/>
  <c r="G118" i="82"/>
  <c r="C34" i="82"/>
  <c r="D118" i="82" s="1"/>
  <c r="D119" i="82" s="1"/>
  <c r="I118" i="82"/>
  <c r="C104" i="82"/>
  <c r="H119" i="82"/>
  <c r="H101" i="82"/>
  <c r="F118" i="9" l="1"/>
  <c r="F119" i="9" s="1"/>
  <c r="F5" i="52" s="1"/>
  <c r="B53" i="72" s="1"/>
  <c r="D4" i="52"/>
  <c r="B47" i="72" s="1"/>
  <c r="H118" i="9"/>
  <c r="H4" i="52" s="1"/>
  <c r="C7" i="68"/>
  <c r="C5" i="68" s="1"/>
  <c r="E118" i="82"/>
  <c r="C105" i="82"/>
  <c r="H102" i="82"/>
  <c r="H107" i="82"/>
  <c r="M48" i="82"/>
  <c r="D45" i="82"/>
  <c r="G118" i="9"/>
  <c r="G4" i="52" s="1"/>
  <c r="B52" i="72" s="1"/>
  <c r="F4" i="52"/>
  <c r="B51" i="72" s="1"/>
  <c r="D14" i="74" l="1"/>
  <c r="F14" i="74" s="1"/>
  <c r="I118" i="9"/>
  <c r="I4" i="52" s="1"/>
  <c r="C104" i="9"/>
  <c r="H119" i="9"/>
  <c r="H5" i="52" s="1"/>
  <c r="H101" i="9"/>
  <c r="C23" i="68"/>
  <c r="C20" i="68"/>
  <c r="C25" i="68" s="1"/>
  <c r="E118" i="9"/>
  <c r="E4" i="52" s="1"/>
  <c r="B48" i="72" s="1"/>
  <c r="B5" i="74"/>
  <c r="C5" i="74" s="1"/>
  <c r="C78" i="82"/>
  <c r="C73" i="82" s="1"/>
  <c r="D52" i="82"/>
  <c r="C93" i="82"/>
  <c r="C86" i="82" s="1"/>
  <c r="C85" i="82"/>
  <c r="C72" i="82"/>
  <c r="C79" i="82" s="1"/>
  <c r="C64" i="82"/>
  <c r="C63" i="82" s="1"/>
  <c r="C67" i="82" s="1"/>
  <c r="D55" i="82"/>
  <c r="M53" i="82" s="1"/>
  <c r="D53" i="82"/>
  <c r="D122" i="82"/>
  <c r="D123" i="82" s="1"/>
  <c r="H108" i="82"/>
  <c r="M49" i="82"/>
  <c r="E14" i="74"/>
  <c r="C105" i="9"/>
  <c r="H102" i="9" l="1"/>
  <c r="D7" i="53" s="1"/>
  <c r="B21" i="72" s="1"/>
  <c r="M48" i="9"/>
  <c r="D45" i="9"/>
  <c r="D5" i="53"/>
  <c r="B20" i="72" s="1"/>
  <c r="H107" i="9"/>
  <c r="D13" i="53" s="1"/>
  <c r="D14" i="53" s="1"/>
  <c r="B32" i="72" s="1"/>
  <c r="C28" i="68"/>
  <c r="C27" i="68" s="1"/>
  <c r="C22" i="68"/>
  <c r="D5" i="74"/>
  <c r="C95" i="82"/>
  <c r="C96" i="82" s="1"/>
  <c r="E96" i="82" s="1"/>
  <c r="E97" i="82" s="1"/>
  <c r="D59" i="82"/>
  <c r="M55" i="82" s="1"/>
  <c r="C68" i="82"/>
  <c r="D54" i="82" s="1"/>
  <c r="L66" i="82"/>
  <c r="M66" i="82" s="1"/>
  <c r="L65" i="82"/>
  <c r="M65" i="82" s="1"/>
  <c r="L64" i="82"/>
  <c r="M64" i="82" s="1"/>
  <c r="L68" i="82"/>
  <c r="M68" i="82" s="1"/>
  <c r="L67" i="82"/>
  <c r="M67" i="82" s="1"/>
  <c r="L63" i="82"/>
  <c r="M63" i="82" s="1"/>
  <c r="C80" i="82"/>
  <c r="E80" i="82" s="1"/>
  <c r="E81" i="82" s="1"/>
  <c r="M49" i="9"/>
  <c r="L63" i="9" s="1"/>
  <c r="M63" i="9" s="1"/>
  <c r="D6" i="53"/>
  <c r="B22" i="72" s="1"/>
  <c r="H108" i="9" l="1"/>
  <c r="D15" i="53" s="1"/>
  <c r="B31" i="72" s="1"/>
  <c r="C78" i="9"/>
  <c r="C73" i="9" s="1"/>
  <c r="C93" i="9"/>
  <c r="C86" i="9" s="1"/>
  <c r="D52" i="9"/>
  <c r="D53" i="9"/>
  <c r="C64" i="9"/>
  <c r="C63" i="9" s="1"/>
  <c r="C67" i="9" s="1"/>
  <c r="D55" i="9"/>
  <c r="M53" i="9" s="1"/>
  <c r="C72" i="9"/>
  <c r="C79" i="9" s="1"/>
  <c r="C85" i="9"/>
  <c r="C95" i="9" s="1"/>
  <c r="C96" i="9" s="1"/>
  <c r="E96" i="9" s="1"/>
  <c r="E97" i="9" s="1"/>
  <c r="D122" i="9"/>
  <c r="D123" i="9" s="1"/>
  <c r="D9" i="52" s="1"/>
  <c r="B30" i="72"/>
  <c r="C31" i="68"/>
  <c r="C52" i="68" s="1"/>
  <c r="B2" i="68" s="1"/>
  <c r="B3" i="68" s="1"/>
  <c r="L68" i="9"/>
  <c r="M68" i="9" s="1"/>
  <c r="D8" i="52"/>
  <c r="M69" i="82"/>
  <c r="N69" i="82" s="1"/>
  <c r="C97" i="82"/>
  <c r="D58" i="82" s="1"/>
  <c r="D56" i="82" s="1"/>
  <c r="M54" i="82" s="1"/>
  <c r="N57" i="82" s="1"/>
  <c r="N58" i="82" s="1"/>
  <c r="C81" i="82"/>
  <c r="L67" i="9"/>
  <c r="M67" i="9" s="1"/>
  <c r="L65" i="9"/>
  <c r="M65" i="9" s="1"/>
  <c r="L66" i="9"/>
  <c r="M66" i="9" s="1"/>
  <c r="L64" i="9"/>
  <c r="M64" i="9" s="1"/>
  <c r="G14" i="74"/>
  <c r="B6" i="74" s="1"/>
  <c r="D6" i="74" s="1"/>
  <c r="C97" i="9" l="1"/>
  <c r="D58" i="9" s="1"/>
  <c r="D56" i="9" s="1"/>
  <c r="M54" i="9" s="1"/>
  <c r="C80" i="9"/>
  <c r="E80" i="9" s="1"/>
  <c r="E81" i="9" s="1"/>
  <c r="C68" i="9"/>
  <c r="D54" i="9" s="1"/>
  <c r="D59" i="9"/>
  <c r="M55" i="9" s="1"/>
  <c r="C57" i="68"/>
  <c r="C56" i="68" s="1"/>
  <c r="P57" i="82"/>
  <c r="N59" i="82"/>
  <c r="N61" i="82" s="1"/>
  <c r="M69" i="9"/>
  <c r="N69" i="9" s="1"/>
  <c r="C6" i="74"/>
  <c r="C81" i="9" l="1"/>
  <c r="N57" i="9"/>
  <c r="N60" i="82"/>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<sst xmlns="http://schemas.openxmlformats.org/spreadsheetml/2006/main" count="8060" uniqueCount="3392">
  <si>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</si>
  <si>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</si>
  <si>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</si>
  <si>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</si>
  <si>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</si>
  <si>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</si>
  <si>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</si>
  <si>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</si>
  <si>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</si>
  <si>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</si>
  <si>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</si>
  <si>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</si>
  <si>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</si>
  <si>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</si>
  <si>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</si>
  <si>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</si>
  <si>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</si>
  <si>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</si>
  <si>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</si>
  <si>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</si>
  <si>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</si>
  <si>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</si>
  <si>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</si>
  <si>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</si>
  <si>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</si>
  <si>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</si>
  <si>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</si>
  <si>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</si>
  <si>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</si>
  <si>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</si>
  <si>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</si>
  <si>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</si>
  <si>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</si>
  <si>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</si>
  <si>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</si>
  <si>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</si>
  <si>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</si>
  <si>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</si>
  <si>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</si>
  <si>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</si>
  <si>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</si>
  <si>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</si>
  <si>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</si>
  <si>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</si>
  <si>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</si>
  <si>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</si>
  <si>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</si>
  <si>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</si>
  <si>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</si>
  <si>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</si>
  <si>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</si>
  <si>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</si>
  <si>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</si>
  <si>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</si>
  <si>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</si>
  <si>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</si>
  <si>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</si>
  <si>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</si>
  <si>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</si>
  <si>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</si>
  <si>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</si>
  <si>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</si>
  <si>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</si>
  <si>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</si>
  <si>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</si>
  <si>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</si>
  <si>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</si>
  <si>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</si>
  <si>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</si>
  <si>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</si>
  <si>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</si>
  <si>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</si>
  <si>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</si>
  <si>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</si>
  <si>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</si>
  <si>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</si>
  <si>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</si>
  <si>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</si>
  <si>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</si>
  <si>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</si>
  <si>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</si>
  <si>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</si>
  <si>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</si>
  <si>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</si>
  <si>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</si>
  <si>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</si>
  <si>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</si>
  <si>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</si>
  <si>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</si>
  <si>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</si>
  <si>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</si>
  <si>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</si>
  <si>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</si>
  <si>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</si>
  <si>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</si>
  <si>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</si>
  <si>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</si>
  <si>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</si>
  <si>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</si>
  <si>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</si>
  <si>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</si>
  <si>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</si>
  <si>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</si>
  <si>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</si>
  <si>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</si>
  <si>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</si>
  <si>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</si>
  <si>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</si>
  <si>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</si>
  <si>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</si>
  <si>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</si>
  <si>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</si>
  <si>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</si>
  <si>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</si>
  <si>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</si>
  <si>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</si>
  <si>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</si>
  <si>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</si>
  <si>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</si>
  <si>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</si>
  <si>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</si>
  <si>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</si>
  <si>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</si>
  <si>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</si>
  <si>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</si>
  <si>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</si>
  <si>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</si>
  <si>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</si>
  <si>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</si>
  <si>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</si>
  <si>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</si>
  <si>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</si>
  <si>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</si>
  <si>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</si>
  <si>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</si>
  <si>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</si>
  <si>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</si>
  <si>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</si>
  <si>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</si>
  <si>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</si>
  <si>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</si>
  <si>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</si>
  <si>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</si>
  <si>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</si>
  <si>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</si>
  <si>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</si>
  <si>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</si>
  <si>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</si>
  <si>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</si>
  <si>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</si>
  <si>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</si>
  <si>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</si>
  <si>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</si>
  <si>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</si>
  <si>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</si>
  <si>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</si>
  <si>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</si>
  <si>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</si>
  <si>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</si>
  <si>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</si>
  <si>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</si>
  <si>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</si>
  <si>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</si>
  <si>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</si>
  <si>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</si>
  <si>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</si>
  <si>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</si>
  <si>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</si>
  <si>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</si>
  <si>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</si>
  <si>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</si>
  <si>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</si>
  <si>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</si>
  <si>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</si>
  <si>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</si>
  <si>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</si>
  <si>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</si>
  <si>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</si>
  <si>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</si>
  <si>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</si>
  <si>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</si>
  <si>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</si>
  <si>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</si>
  <si>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</si>
  <si>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</si>
  <si>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</si>
  <si>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</si>
  <si>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</si>
  <si>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</si>
  <si>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</si>
  <si>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</si>
  <si>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</si>
  <si>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</si>
  <si>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</si>
  <si>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</si>
  <si>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</si>
  <si>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</si>
  <si>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</si>
  <si>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</si>
  <si>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</si>
  <si>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</si>
  <si>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</si>
  <si>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</si>
  <si>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</si>
  <si>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</si>
  <si>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</si>
  <si>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</si>
  <si>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</si>
  <si>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</si>
  <si>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</si>
  <si>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</si>
  <si>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</si>
  <si>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</si>
  <si>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</si>
  <si>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</si>
  <si>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</si>
  <si>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</si>
  <si>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</si>
  <si>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</si>
  <si>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</si>
  <si>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</si>
  <si>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</si>
  <si>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</si>
  <si>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</si>
  <si>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</si>
  <si>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</si>
  <si>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</si>
  <si>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</si>
  <si>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</si>
  <si>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</si>
  <si>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</si>
  <si>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</si>
  <si>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</si>
  <si>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</si>
  <si>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</si>
  <si>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</si>
  <si>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</si>
  <si>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</si>
  <si>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</si>
  <si>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</si>
  <si>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</si>
  <si>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</si>
  <si>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</si>
  <si>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</si>
  <si>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</si>
  <si>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</si>
  <si>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</si>
  <si>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</si>
  <si>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</si>
  <si>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</si>
  <si>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</si>
  <si>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</si>
  <si>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</si>
  <si>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</si>
  <si>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</si>
  <si>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</si>
  <si>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</si>
  <si>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</si>
  <si>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</si>
  <si>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</si>
  <si>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</si>
  <si>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</si>
  <si>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</si>
  <si>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</si>
  <si>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</si>
  <si>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</si>
  <si>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</si>
  <si>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</si>
  <si>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</si>
  <si>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</si>
  <si>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</si>
  <si>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</si>
  <si>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</si>
  <si>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</si>
  <si>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</si>
  <si>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</si>
  <si>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</si>
  <si>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</si>
  <si>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</si>
  <si>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</si>
  <si>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</si>
  <si>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</si>
  <si>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</si>
  <si>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</si>
  <si>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</si>
  <si>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</si>
  <si>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</si>
  <si>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</si>
  <si>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</si>
  <si>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</si>
  <si>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</si>
  <si>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</si>
  <si>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</si>
  <si>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</si>
  <si>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</si>
  <si>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</si>
  <si>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</si>
  <si>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</si>
  <si>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</si>
  <si>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</si>
  <si>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</si>
  <si>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</si>
  <si>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</si>
  <si>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</si>
  <si>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</si>
  <si>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</si>
  <si>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</si>
  <si>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</si>
  <si>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</si>
  <si>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</si>
  <si>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</si>
  <si>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</si>
  <si>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</si>
  <si>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</si>
  <si>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</si>
  <si>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</si>
  <si>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</si>
  <si>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</si>
  <si>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</si>
  <si>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</si>
  <si>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</si>
  <si>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</si>
  <si>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</si>
  <si>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</si>
  <si>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</si>
  <si>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</si>
  <si>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</si>
  <si>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</si>
  <si>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</si>
  <si>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</si>
  <si>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</si>
  <si>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</si>
  <si>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</si>
  <si>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</si>
  <si>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</si>
  <si>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</si>
  <si>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</si>
  <si>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</si>
  <si>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</si>
  <si>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</si>
  <si>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</si>
  <si>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</si>
  <si>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</si>
  <si>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</si>
  <si>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</si>
  <si>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</si>
  <si>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</si>
  <si>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</si>
  <si>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</si>
  <si>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</si>
  <si>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</si>
  <si>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</si>
  <si>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</si>
  <si>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</si>
  <si>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</si>
  <si>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</si>
  <si>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</si>
  <si>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</si>
  <si>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</si>
  <si>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</si>
  <si>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</si>
  <si>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</si>
  <si>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</si>
  <si>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</si>
  <si>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</si>
  <si>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</si>
  <si>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</si>
  <si>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</si>
  <si>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</si>
  <si>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</si>
  <si>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</si>
  <si>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</si>
  <si>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</si>
  <si>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</si>
  <si>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</si>
  <si>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</si>
  <si>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</si>
  <si>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</si>
  <si>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</si>
  <si>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</si>
  <si>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</si>
  <si>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</si>
  <si>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</si>
  <si>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</si>
  <si>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</si>
  <si>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</si>
  <si>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</si>
  <si>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</si>
  <si>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</si>
  <si>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</si>
  <si>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</si>
  <si>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</si>
  <si>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</si>
  <si>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</si>
  <si>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</si>
  <si>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</si>
  <si>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</si>
  <si>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</si>
  <si>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</si>
  <si>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</si>
  <si>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</si>
  <si>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</si>
  <si>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</si>
  <si>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</si>
  <si>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</si>
  <si>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</si>
  <si>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</si>
  <si>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</si>
  <si>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</si>
  <si>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</si>
  <si>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</si>
  <si>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</si>
  <si>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</si>
  <si>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</si>
  <si>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</si>
  <si>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</si>
  <si>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</si>
  <si>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</si>
  <si>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</si>
  <si>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</si>
  <si>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</si>
  <si>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</si>
  <si>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</si>
  <si>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</si>
  <si>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</si>
  <si>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</si>
  <si>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</si>
  <si>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</si>
  <si>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</si>
  <si>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</si>
  <si>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</si>
  <si>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</si>
  <si>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</si>
  <si>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</si>
  <si>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</si>
  <si>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</si>
  <si>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</si>
  <si>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</si>
  <si>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</si>
  <si>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</si>
  <si>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</si>
  <si>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</si>
  <si>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</si>
  <si>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</si>
  <si>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</si>
  <si>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</si>
  <si>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</si>
  <si>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</si>
  <si>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</si>
  <si>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</si>
  <si>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</si>
  <si>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</si>
  <si>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</si>
  <si>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</si>
  <si>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</si>
  <si>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</si>
  <si>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</si>
  <si>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</si>
  <si>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</si>
  <si>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</si>
  <si>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</si>
  <si>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</si>
  <si>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</si>
  <si>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</si>
  <si>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</si>
  <si>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</si>
  <si>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</si>
  <si>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</si>
  <si>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</si>
  <si>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</si>
  <si>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</si>
  <si>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</si>
  <si>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</si>
  <si>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</si>
  <si>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</si>
  <si>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</si>
  <si>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</si>
  <si>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</si>
  <si>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</si>
  <si>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</si>
  <si>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</si>
  <si>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</si>
  <si>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</si>
  <si>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</si>
  <si>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</si>
  <si>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</si>
  <si>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</si>
  <si>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</si>
  <si>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</si>
  <si>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</si>
  <si>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</si>
  <si>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</si>
  <si>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</si>
  <si>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</si>
  <si>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</si>
  <si>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</si>
  <si>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</si>
  <si>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</si>
  <si>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</si>
  <si>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</si>
  <si>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</si>
  <si>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</si>
  <si>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</si>
  <si>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</si>
  <si>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</si>
  <si>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</si>
  <si>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</si>
  <si>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</si>
  <si>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</si>
  <si>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</si>
  <si>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</si>
  <si>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</si>
  <si>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</si>
  <si>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</si>
  <si>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</si>
  <si>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</si>
  <si>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</si>
  <si>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</si>
  <si>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</si>
  <si>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</si>
  <si>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</si>
  <si>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</si>
  <si>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</si>
  <si>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</si>
  <si>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</si>
  <si>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</si>
  <si>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</si>
  <si>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</si>
  <si>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</si>
  <si>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</si>
  <si>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</si>
  <si>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</si>
  <si>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</si>
  <si>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</si>
  <si>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</si>
  <si>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</si>
  <si>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</si>
  <si>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</si>
  <si>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</si>
  <si>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</si>
  <si>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</si>
  <si>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</si>
  <si>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</si>
  <si>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</si>
  <si>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</si>
  <si>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</si>
  <si>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</si>
  <si>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</si>
  <si>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</si>
  <si>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</si>
  <si>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</si>
  <si>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</si>
  <si>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</si>
  <si>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</si>
  <si>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</si>
  <si>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</si>
  <si>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</si>
  <si>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</si>
  <si>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</si>
  <si>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</si>
  <si>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</si>
  <si>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</si>
  <si>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</si>
  <si>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</si>
  <si>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</si>
  <si>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</si>
  <si>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</si>
  <si>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</si>
  <si>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</si>
  <si>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</si>
  <si>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</si>
  <si>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</si>
  <si>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</si>
  <si>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</si>
  <si>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</si>
  <si>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</si>
  <si>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</si>
  <si>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</si>
  <si>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</si>
  <si>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</si>
  <si>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</si>
  <si>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</si>
  <si>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</si>
  <si>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</si>
  <si>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</si>
  <si>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</si>
  <si>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</si>
  <si>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</si>
  <si>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</si>
  <si>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</si>
  <si>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</si>
  <si>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</si>
  <si>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</si>
  <si>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</si>
  <si>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</si>
  <si>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</si>
  <si>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</si>
  <si>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</si>
  <si>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</si>
  <si>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</si>
  <si>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</si>
  <si>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</si>
  <si>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</si>
  <si>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</si>
  <si>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</si>
  <si>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</si>
  <si>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</si>
  <si>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</si>
  <si>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</si>
  <si>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</si>
  <si>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</si>
  <si>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</si>
  <si>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</si>
  <si>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</si>
  <si>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</si>
  <si>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</si>
  <si>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</si>
  <si>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</si>
  <si>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</si>
  <si>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</si>
  <si>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</si>
  <si>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</si>
  <si>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</si>
  <si>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</si>
  <si>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</si>
  <si>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</si>
  <si>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</si>
  <si>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</si>
  <si>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</si>
  <si>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</si>
  <si>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</si>
  <si>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</si>
  <si>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</si>
  <si>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</si>
  <si>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</si>
  <si>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</si>
  <si>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</si>
  <si>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</si>
  <si>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</si>
  <si>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</si>
  <si>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</si>
  <si>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</si>
  <si>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</si>
  <si>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</si>
  <si>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</si>
  <si>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</si>
  <si>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</si>
  <si>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</si>
  <si>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</si>
  <si>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</si>
  <si>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</si>
  <si>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</si>
  <si>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</si>
  <si>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</si>
  <si>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</si>
  <si>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</si>
  <si>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</si>
  <si>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</si>
  <si>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</si>
  <si>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</si>
  <si>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</si>
  <si>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</si>
  <si>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</si>
  <si>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</si>
  <si>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</si>
  <si>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</si>
  <si>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</si>
  <si>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</si>
  <si>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</si>
  <si>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</si>
  <si>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</si>
  <si>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</si>
  <si>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</si>
  <si>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</si>
  <si>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</si>
  <si>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</si>
  <si>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</si>
  <si>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</si>
  <si>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</si>
  <si>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</si>
  <si>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</si>
  <si>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</si>
  <si>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</si>
  <si>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</si>
  <si>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</si>
  <si>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</si>
  <si>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</si>
  <si>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</si>
  <si>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</si>
  <si>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</si>
  <si>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</si>
  <si>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</si>
  <si>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</si>
  <si>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</si>
  <si>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</si>
  <si>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</si>
  <si>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</si>
  <si>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</si>
  <si>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</si>
  <si>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</si>
  <si>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</si>
  <si>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</si>
  <si>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</si>
  <si>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</si>
  <si>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</si>
  <si>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</si>
  <si>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</si>
  <si>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</si>
  <si>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</si>
  <si>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</si>
  <si>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</si>
  <si>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</si>
  <si>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</si>
  <si>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</si>
  <si>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</si>
  <si>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</si>
  <si>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</si>
  <si>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</si>
  <si>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</si>
  <si>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</si>
  <si>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</si>
  <si>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</si>
  <si>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</si>
  <si>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</si>
  <si>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</si>
  <si>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</si>
  <si>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</si>
  <si>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</si>
  <si>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</si>
  <si>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</si>
  <si>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</si>
  <si>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</si>
  <si>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</si>
  <si>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</si>
  <si>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</si>
  <si>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</si>
  <si>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</si>
  <si>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</si>
  <si>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</si>
  <si>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</si>
  <si>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</si>
  <si>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</si>
  <si>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</si>
  <si>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</si>
  <si>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</si>
  <si>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</si>
  <si>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</si>
  <si>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</si>
  <si>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</si>
  <si>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</si>
  <si>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</si>
  <si>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</si>
  <si>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</si>
  <si>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</si>
  <si>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</si>
  <si>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</si>
  <si>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</si>
  <si>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</si>
  <si>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</si>
  <si>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</si>
  <si>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</si>
  <si>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</si>
  <si>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</si>
  <si>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</si>
  <si>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</si>
  <si>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</si>
  <si>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</si>
  <si>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</si>
  <si>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</si>
  <si>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</si>
  <si>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</si>
  <si>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</si>
  <si>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</si>
  <si>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</si>
  <si>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</si>
  <si>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</si>
  <si>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</si>
  <si>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</si>
  <si>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</si>
  <si>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</si>
  <si>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</si>
  <si>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</si>
  <si>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</si>
  <si>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</si>
  <si>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</si>
  <si>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</si>
  <si>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</si>
  <si>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</si>
  <si>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</si>
  <si>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</si>
  <si>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</si>
  <si>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</si>
  <si>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</si>
  <si>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</si>
  <si>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</si>
  <si>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</si>
  <si>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</si>
  <si>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</si>
  <si>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</si>
  <si>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</si>
  <si>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</si>
  <si>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</si>
  <si>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</si>
  <si>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</si>
  <si>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</si>
  <si>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</si>
  <si>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</si>
  <si>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</si>
  <si>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</si>
  <si>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</si>
  <si>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</si>
  <si>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</si>
  <si>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</si>
  <si>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</si>
  <si>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</si>
  <si>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</si>
  <si>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</si>
  <si>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</si>
  <si>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</si>
  <si>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</si>
  <si>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</si>
  <si>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</si>
  <si>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</si>
  <si>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</si>
  <si>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</si>
  <si>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</si>
  <si>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</si>
  <si>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</si>
  <si>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</si>
  <si>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</si>
  <si>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</si>
  <si>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</si>
  <si>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</si>
  <si>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</si>
  <si>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</si>
  <si>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</si>
  <si>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</si>
  <si>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</si>
  <si>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</si>
  <si>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</si>
  <si>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</si>
  <si>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</si>
  <si>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</si>
  <si>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</si>
  <si>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</si>
  <si>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</si>
  <si>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</si>
  <si>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</si>
  <si>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</si>
  <si>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</si>
  <si>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</si>
  <si>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</si>
  <si>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</si>
  <si>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</si>
  <si>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</si>
  <si>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</si>
  <si>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</si>
  <si>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</si>
  <si>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</si>
  <si>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</si>
  <si>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</si>
  <si>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</si>
  <si>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</si>
  <si>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</si>
  <si>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</si>
  <si>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</si>
  <si>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</si>
  <si>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</si>
  <si>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</si>
  <si>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</si>
  <si>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</si>
  <si>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</si>
  <si>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</si>
  <si>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</si>
  <si>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</si>
  <si>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</si>
  <si>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</si>
  <si>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</si>
  <si>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</si>
  <si>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</si>
  <si>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</si>
  <si>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</si>
  <si>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</si>
  <si>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</si>
  <si>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</si>
  <si>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</si>
  <si>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</si>
  <si>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</si>
  <si>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</si>
  <si>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</si>
  <si>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</si>
  <si>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</si>
  <si>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</si>
  <si>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</si>
  <si>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</si>
  <si>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</si>
  <si>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</si>
  <si>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</si>
  <si>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</si>
  <si>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</si>
  <si>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</si>
  <si>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</si>
  <si>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</si>
  <si>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</si>
  <si>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</si>
  <si>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</si>
  <si>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</si>
  <si>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</si>
  <si>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</si>
  <si>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</si>
  <si>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</si>
  <si>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</si>
  <si>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</si>
  <si>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</si>
  <si>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</si>
  <si>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</si>
  <si>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</si>
  <si>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</si>
  <si>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</si>
  <si>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</si>
  <si>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</si>
  <si>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</si>
  <si>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</si>
  <si>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</si>
  <si>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</si>
  <si>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</si>
  <si>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</si>
  <si>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</si>
  <si>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</si>
  <si>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</si>
  <si>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</si>
  <si>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</si>
  <si>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</si>
  <si>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</si>
  <si>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</si>
  <si>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</si>
  <si>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</si>
  <si>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</si>
  <si>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</si>
  <si>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</si>
  <si>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</si>
  <si>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</si>
  <si>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</si>
  <si>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</si>
  <si>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</si>
  <si>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</si>
  <si>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</si>
  <si>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</si>
  <si>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</si>
  <si>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</si>
  <si>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</si>
  <si>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</si>
  <si>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</si>
  <si>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</si>
  <si>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</si>
  <si>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</si>
  <si>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</si>
  <si>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</si>
  <si>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</si>
  <si>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</si>
  <si>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</si>
  <si>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</si>
  <si>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</si>
  <si>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</si>
  <si>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</si>
  <si>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</si>
  <si>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</si>
  <si>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</si>
  <si>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</si>
  <si>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</si>
  <si>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</si>
  <si>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</si>
  <si>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</si>
  <si>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</si>
  <si>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</si>
  <si>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</si>
  <si>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</si>
  <si>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</si>
  <si>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</si>
  <si>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</si>
  <si>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</si>
  <si>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</si>
  <si>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</si>
  <si>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</si>
  <si>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</si>
  <si>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</si>
  <si>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</si>
  <si>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</si>
  <si>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</si>
  <si>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</si>
  <si>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</si>
  <si>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</si>
  <si>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</si>
  <si>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</si>
  <si>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</si>
  <si>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</si>
  <si>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</si>
  <si>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</si>
  <si>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</si>
  <si>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</si>
  <si>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</si>
  <si>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</si>
  <si>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</si>
  <si>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</si>
  <si>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</si>
  <si>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</si>
  <si>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</si>
  <si>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</si>
  <si>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</si>
  <si>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</si>
  <si>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</si>
  <si>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</si>
  <si>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</si>
  <si>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</si>
  <si>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</si>
  <si>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</si>
  <si>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</si>
  <si>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</si>
  <si>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</si>
  <si>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</si>
  <si>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</si>
  <si>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</si>
  <si>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</si>
  <si>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</si>
  <si>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</si>
  <si>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</si>
  <si>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</si>
  <si>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</si>
  <si>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</si>
  <si>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</si>
  <si>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</si>
  <si>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</si>
  <si>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</si>
  <si>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</si>
  <si>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</si>
  <si>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</si>
  <si>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</si>
  <si>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</si>
  <si>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</si>
  <si>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</si>
  <si>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</si>
  <si>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</si>
  <si>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</si>
  <si>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</si>
  <si>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</si>
  <si>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</si>
  <si>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</si>
  <si>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</si>
  <si>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</si>
  <si>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</si>
  <si>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</si>
  <si>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</si>
  <si>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</si>
  <si>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</si>
  <si>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</si>
  <si>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</si>
  <si>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</si>
  <si>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</si>
  <si>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</si>
  <si>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</si>
  <si>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</si>
  <si>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</si>
  <si>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</si>
  <si>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</si>
  <si>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</si>
  <si>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</si>
  <si>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</si>
  <si>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</si>
  <si>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</si>
  <si>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</si>
  <si>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</si>
  <si>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</si>
  <si>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</si>
  <si>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</si>
  <si>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</si>
  <si>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</si>
  <si>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</si>
  <si>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</si>
  <si>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</si>
  <si>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</si>
  <si>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</si>
  <si>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</si>
  <si>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</si>
  <si>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</si>
  <si>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</si>
  <si>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</si>
  <si>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</si>
  <si>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</si>
  <si>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</si>
  <si>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</si>
  <si>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</si>
  <si>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</si>
  <si>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</si>
  <si>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</si>
  <si>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</si>
  <si>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</si>
  <si>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</si>
  <si>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</si>
  <si>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</si>
  <si>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</si>
  <si>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</si>
  <si>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</si>
  <si>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</si>
  <si>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</si>
  <si>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</si>
  <si>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</si>
  <si>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</si>
  <si>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</si>
  <si>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</si>
  <si>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</si>
  <si>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</si>
  <si>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</si>
  <si>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</si>
  <si>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</si>
  <si>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</si>
  <si>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</si>
  <si>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</si>
  <si>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</si>
  <si>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</si>
  <si>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</si>
  <si>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</si>
  <si>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</si>
  <si>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</si>
  <si>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</si>
  <si>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</si>
  <si>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</si>
  <si>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</si>
  <si>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</si>
  <si>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</si>
  <si>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</si>
  <si>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</si>
  <si>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</si>
  <si>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</si>
  <si>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</si>
  <si>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</si>
  <si>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</si>
  <si>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</si>
  <si>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</si>
  <si>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</si>
  <si>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</si>
  <si>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</si>
  <si>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</si>
  <si>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</si>
  <si>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</si>
  <si>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</si>
  <si>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</si>
  <si>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</si>
  <si>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</si>
  <si>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</si>
  <si>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</si>
  <si>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</si>
  <si>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</si>
  <si>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</si>
  <si>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</si>
  <si>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</si>
  <si>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</si>
  <si>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</si>
  <si>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</si>
  <si>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</si>
  <si>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</si>
  <si>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</si>
  <si>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</si>
  <si>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</si>
  <si>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</si>
  <si>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</si>
  <si>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</si>
  <si>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</si>
  <si>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</si>
  <si>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</si>
  <si>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</si>
  <si>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</si>
  <si>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</si>
  <si>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</si>
  <si>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</si>
  <si>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</si>
  <si>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</si>
  <si>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</si>
  <si>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</si>
  <si>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</si>
  <si>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</si>
  <si>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</si>
  <si>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</si>
  <si>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</si>
  <si>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</si>
  <si>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</si>
  <si>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</si>
  <si>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</si>
  <si>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</si>
  <si>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</si>
  <si>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</si>
  <si>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</si>
  <si>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</si>
  <si>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</si>
  <si>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</si>
  <si>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</si>
  <si>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</si>
  <si>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</si>
  <si>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</si>
  <si>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</si>
  <si>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</si>
  <si>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</si>
  <si>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</si>
  <si>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</si>
  <si>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</si>
  <si>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</si>
  <si>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</si>
  <si>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</si>
  <si>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</si>
  <si>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</si>
  <si>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</si>
  <si>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</si>
  <si>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</si>
  <si>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</si>
  <si>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</si>
  <si>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</si>
  <si>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</si>
  <si>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</si>
  <si>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</si>
  <si>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</si>
  <si>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</si>
  <si>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</si>
  <si>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</si>
  <si>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</si>
  <si>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</si>
  <si>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</si>
  <si>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</si>
  <si>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</si>
  <si>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</si>
  <si>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</si>
  <si>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</si>
  <si>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</si>
  <si>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</si>
  <si>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</si>
  <si>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</si>
  <si>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</si>
  <si>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</si>
  <si>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</si>
  <si>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</si>
  <si>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</si>
  <si>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</si>
  <si>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</si>
  <si>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</si>
  <si>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</si>
  <si>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</si>
  <si>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</si>
  <si>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</si>
  <si>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</si>
  <si>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</si>
  <si>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</si>
  <si>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</si>
  <si>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</si>
  <si>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</si>
  <si>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</si>
  <si>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</si>
  <si>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</si>
  <si>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</si>
  <si>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</si>
  <si>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</si>
  <si>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</si>
  <si>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</si>
  <si>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</si>
  <si>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</si>
  <si>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</si>
  <si>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</si>
  <si>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</si>
  <si>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</si>
  <si>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</si>
  <si>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</si>
  <si>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</si>
  <si>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</si>
  <si>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</si>
  <si>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</si>
  <si>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</si>
  <si>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</si>
  <si>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</si>
  <si>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</si>
  <si>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</si>
  <si>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</si>
  <si>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</si>
  <si>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</si>
  <si>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</si>
  <si>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</si>
  <si>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</si>
  <si>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</si>
  <si>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</si>
  <si>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</si>
  <si>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</si>
  <si>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</si>
  <si>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</si>
  <si>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</si>
  <si>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</si>
  <si>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</si>
  <si>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</si>
  <si>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</si>
  <si>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</si>
  <si>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</si>
  <si>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</si>
  <si>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</si>
  <si>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</si>
  <si>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</si>
  <si>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</si>
  <si>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</si>
  <si>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</si>
  <si>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</si>
  <si>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</si>
  <si>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</si>
  <si>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</si>
  <si>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</si>
  <si>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</si>
  <si>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</si>
  <si>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</si>
  <si>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</si>
  <si>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</si>
  <si>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</si>
  <si>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</si>
  <si>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</si>
  <si>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</si>
  <si>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</si>
  <si>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</si>
  <si>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</si>
  <si>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</si>
  <si>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</si>
  <si>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</si>
  <si>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</si>
  <si>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</si>
  <si>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</si>
  <si>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</si>
  <si>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</si>
  <si>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</si>
  <si>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</si>
  <si>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</si>
  <si>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</si>
  <si>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</si>
  <si>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</si>
  <si>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</si>
  <si>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</si>
  <si>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</si>
  <si>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</si>
  <si>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</si>
  <si>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</si>
  <si>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</si>
  <si>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</si>
  <si>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</si>
  <si>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</si>
  <si>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</si>
  <si>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</si>
  <si>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</si>
  <si>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</si>
  <si>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</si>
  <si>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</si>
  <si>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</si>
  <si>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</si>
  <si>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</si>
  <si>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</si>
  <si>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</si>
  <si>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</si>
  <si>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</si>
  <si>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</si>
  <si>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</si>
  <si>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</si>
  <si>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</si>
  <si>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</si>
  <si>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</si>
  <si>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</si>
  <si>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</si>
  <si>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</si>
  <si>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</si>
  <si>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</si>
  <si>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</si>
  <si>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</si>
  <si>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</si>
  <si>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</si>
  <si>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</si>
  <si>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</si>
  <si>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</si>
  <si>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</si>
  <si>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</si>
  <si>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</si>
  <si>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</si>
  <si>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</si>
  <si>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</si>
  <si>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</si>
  <si>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</si>
  <si>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</si>
  <si>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</si>
  <si>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</si>
  <si>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</si>
  <si>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</si>
  <si>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</si>
  <si>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</si>
  <si>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</si>
  <si>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</si>
  <si>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</si>
  <si>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</si>
  <si>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</si>
  <si>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</si>
  <si>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</si>
  <si>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</si>
  <si>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</si>
  <si>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</si>
  <si>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</si>
  <si>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</si>
  <si>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</si>
  <si>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</si>
  <si>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</si>
  <si>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</si>
  <si>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</si>
  <si>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</si>
  <si>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</si>
  <si>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</si>
  <si>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</si>
  <si>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</si>
  <si>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</si>
  <si>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</si>
  <si>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</si>
  <si>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</si>
  <si>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</si>
  <si>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</si>
  <si>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</si>
  <si>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</si>
  <si>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</si>
  <si>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</si>
  <si>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</si>
  <si>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</si>
  <si>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</si>
  <si>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</si>
  <si>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</si>
  <si>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</si>
  <si>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</si>
  <si>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</si>
  <si>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</si>
  <si>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</si>
  <si>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</si>
  <si>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</si>
  <si>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</si>
  <si>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</si>
  <si>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</si>
  <si>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</si>
  <si>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</si>
  <si>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</si>
  <si>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</si>
  <si>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</si>
  <si>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</si>
  <si>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</si>
  <si>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</si>
  <si>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</si>
  <si>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</si>
  <si>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</si>
  <si>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</si>
  <si>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</si>
  <si>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</si>
  <si>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</si>
  <si>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</si>
  <si>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</si>
  <si>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</si>
  <si>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</si>
  <si>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</si>
  <si>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</si>
  <si>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</si>
  <si>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</si>
  <si>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</si>
  <si>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</si>
  <si>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</si>
  <si>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</si>
  <si>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</si>
  <si>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</si>
  <si>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</si>
  <si>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</si>
  <si>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</si>
  <si>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</si>
  <si>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</si>
  <si>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</si>
  <si>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</si>
  <si>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</si>
  <si>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</si>
  <si>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</si>
  <si>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</si>
  <si>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</si>
  <si>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</si>
  <si>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</si>
  <si>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</si>
  <si>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</si>
  <si>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</si>
  <si>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</si>
  <si>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</si>
  <si>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</si>
  <si>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</si>
  <si>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</si>
  <si>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</si>
  <si>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</si>
  <si>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</si>
  <si>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</si>
  <si>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</si>
  <si>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</si>
  <si>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</si>
  <si>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</si>
  <si>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</si>
  <si>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</si>
  <si>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</si>
  <si>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</si>
  <si>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</si>
  <si>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</si>
  <si>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</si>
  <si>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</si>
  <si>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</si>
  <si>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</si>
  <si>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</si>
  <si>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</si>
  <si>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</si>
  <si>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</si>
  <si>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</si>
  <si>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</si>
  <si>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</si>
  <si>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</si>
  <si>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</si>
  <si>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</si>
  <si>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</si>
  <si>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</si>
  <si>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</si>
  <si>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</si>
  <si>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</si>
  <si>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</si>
  <si>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</si>
  <si>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</si>
  <si>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</si>
  <si>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</si>
  <si>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</si>
  <si>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</si>
  <si>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</si>
  <si>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</si>
  <si>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</si>
  <si>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</si>
  <si>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</si>
  <si>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</si>
  <si>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</si>
  <si>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</si>
  <si>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</si>
  <si>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</si>
  <si>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</si>
  <si>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</si>
  <si>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</si>
  <si>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</si>
  <si>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</si>
  <si>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</si>
  <si>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</si>
  <si>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</si>
  <si>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</si>
  <si>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</si>
  <si>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</si>
  <si>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</si>
  <si>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</si>
  <si>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</si>
  <si>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</si>
  <si>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</si>
  <si>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</si>
  <si>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</si>
  <si>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</si>
  <si>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</si>
  <si>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</si>
  <si>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</si>
  <si>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</si>
  <si>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</si>
  <si>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</si>
  <si>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</si>
  <si>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</si>
  <si>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</si>
  <si>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</si>
  <si>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</si>
  <si>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</si>
  <si>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</si>
  <si>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</si>
  <si>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</si>
  <si>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</si>
  <si>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</si>
  <si>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</si>
  <si>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</si>
  <si>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</si>
  <si>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</si>
  <si>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</si>
  <si>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</si>
  <si>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</si>
  <si>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</si>
  <si>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</si>
  <si>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</si>
  <si>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</si>
  <si>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</si>
  <si>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</si>
  <si>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</si>
  <si>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</si>
  <si>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</si>
  <si>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</si>
  <si>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</si>
  <si>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</si>
  <si>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</si>
  <si>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</si>
  <si>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</si>
  <si>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</si>
  <si>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</si>
  <si>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</si>
  <si>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</si>
  <si>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</si>
  <si>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</si>
  <si>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</si>
  <si>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</si>
  <si>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</si>
  <si>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</si>
  <si>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</si>
  <si>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</si>
  <si>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</si>
  <si>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</si>
  <si>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</si>
  <si>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</si>
  <si>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</si>
  <si>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</si>
  <si>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</si>
  <si>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</si>
  <si>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</si>
  <si>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</si>
  <si>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</si>
  <si>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</si>
  <si>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</si>
  <si>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</si>
  <si>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</si>
  <si>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</si>
  <si>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</si>
  <si>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</si>
  <si>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</si>
  <si>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</si>
  <si>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</si>
  <si>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</si>
  <si>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</si>
  <si>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</si>
  <si>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</si>
  <si>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</si>
  <si>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</si>
  <si>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</si>
  <si>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</si>
  <si>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</si>
  <si>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</si>
  <si>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</si>
  <si>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</si>
  <si>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</si>
  <si>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</si>
  <si>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</si>
  <si>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</si>
  <si>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</si>
  <si>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</si>
  <si>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</si>
  <si>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</si>
  <si>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</si>
  <si>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</si>
  <si>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</si>
  <si>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</si>
  <si>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</si>
  <si>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</si>
  <si>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</si>
  <si>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</si>
  <si>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</si>
  <si>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</si>
  <si>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</si>
  <si>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</si>
  <si>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</si>
  <si>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</si>
  <si>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</si>
  <si>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</si>
  <si>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</si>
  <si>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</si>
  <si>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</si>
  <si>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</si>
  <si>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</si>
  <si>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</si>
  <si>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</si>
  <si>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</si>
  <si>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</si>
  <si>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</si>
  <si>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</si>
  <si>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</si>
  <si>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</si>
  <si>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</si>
  <si>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</si>
  <si>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</si>
  <si>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</si>
  <si>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</si>
  <si>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</si>
  <si>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</si>
  <si>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</si>
  <si>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</si>
  <si>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</si>
  <si>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</si>
  <si>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</si>
  <si>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</si>
  <si>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</si>
  <si>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</si>
  <si>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</si>
  <si>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</si>
  <si>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</si>
  <si>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</si>
  <si>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</si>
  <si>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</si>
  <si>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</si>
  <si>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</si>
  <si>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</si>
  <si>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</si>
  <si>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</si>
  <si>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</si>
  <si>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</si>
  <si>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</si>
  <si>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</si>
  <si>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</si>
  <si>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</si>
  <si>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</si>
  <si>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</si>
  <si>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</si>
  <si>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</si>
  <si>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</si>
  <si>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</si>
  <si>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</si>
  <si>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</si>
  <si>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</si>
  <si>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</si>
  <si>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</si>
  <si>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</si>
  <si>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</si>
  <si>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</si>
  <si>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</si>
  <si>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</si>
  <si>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</si>
  <si>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</si>
  <si>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</si>
  <si>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</si>
  <si>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</si>
  <si>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</si>
  <si>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</si>
  <si>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</si>
  <si>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</si>
  <si>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</si>
  <si>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</si>
  <si>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</si>
  <si>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</si>
  <si>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</si>
  <si>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</si>
  <si>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</si>
  <si>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</si>
  <si>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</si>
  <si>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</si>
  <si>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</si>
  <si>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</si>
  <si>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</si>
  <si>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</si>
  <si>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</si>
  <si>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</si>
  <si>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</si>
  <si>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</si>
  <si>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</si>
  <si>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</si>
  <si>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</si>
  <si>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</si>
  <si>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</si>
  <si>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</si>
  <si>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</si>
  <si>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</si>
  <si>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</si>
  <si>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</si>
  <si>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</si>
  <si>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</si>
  <si>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</si>
  <si>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</si>
  <si>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</si>
  <si>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</si>
  <si>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</si>
  <si>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</si>
  <si>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</si>
  <si>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</si>
  <si>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</si>
  <si>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</si>
  <si>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</si>
  <si>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</si>
  <si>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</si>
  <si>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</si>
  <si>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</si>
  <si>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</si>
  <si>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</si>
  <si>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</si>
  <si>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</si>
  <si>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</si>
  <si>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</si>
  <si>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</si>
  <si>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</si>
  <si>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</si>
  <si>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</si>
  <si>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</si>
  <si>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</si>
  <si>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</si>
  <si>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</si>
  <si>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</si>
  <si>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</si>
  <si>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</si>
  <si>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</si>
  <si>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</si>
  <si>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</si>
  <si>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</si>
  <si>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</si>
  <si>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</si>
  <si>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</si>
  <si>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</si>
  <si>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</si>
  <si>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</si>
  <si>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</si>
  <si>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</si>
  <si>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</si>
  <si>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</si>
  <si>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</si>
  <si>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</si>
  <si>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</si>
  <si>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</si>
  <si>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</si>
  <si>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</si>
  <si>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</si>
  <si>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</si>
  <si>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</si>
  <si>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</si>
  <si>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</si>
  <si>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</si>
  <si>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</si>
  <si>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</si>
  <si>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</si>
  <si>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</si>
  <si>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</si>
  <si>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</si>
  <si>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</si>
  <si>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</si>
  <si>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</si>
  <si>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</si>
  <si>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</si>
  <si>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</si>
  <si>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</si>
  <si>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</si>
  <si>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</si>
  <si>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</si>
  <si>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</si>
  <si>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</si>
  <si>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</si>
  <si>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</si>
  <si>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</si>
  <si>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</si>
  <si>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</si>
  <si>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</si>
  <si>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</si>
  <si>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</si>
  <si>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</si>
  <si>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</si>
  <si>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</si>
  <si>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</si>
  <si>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</si>
  <si>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</si>
  <si>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</si>
  <si>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</si>
  <si>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</si>
  <si>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</si>
  <si>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</si>
  <si>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</si>
  <si>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</si>
  <si>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</si>
  <si>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</si>
  <si>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</si>
  <si>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</si>
  <si>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</si>
  <si>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</si>
  <si>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</si>
  <si>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</si>
  <si>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</si>
  <si>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</si>
  <si>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</si>
  <si>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</si>
  <si>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</si>
  <si>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</si>
  <si>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</si>
  <si>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</si>
  <si>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</si>
  <si>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</si>
  <si>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</si>
  <si>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</si>
  <si>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</si>
  <si>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</si>
  <si>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</si>
  <si>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</si>
  <si>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</si>
  <si>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</si>
  <si>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</si>
  <si>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</si>
  <si>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</si>
  <si>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</si>
  <si>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</si>
  <si>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</si>
  <si>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</si>
  <si>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</si>
  <si>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</si>
  <si>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</si>
  <si>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</si>
  <si>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</si>
  <si>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</si>
  <si>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</si>
  <si>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</si>
  <si>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</si>
  <si>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</si>
  <si>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</si>
  <si>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</si>
  <si>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</si>
  <si>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</si>
  <si>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</si>
  <si>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</si>
  <si>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</si>
  <si>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</si>
  <si>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</si>
  <si>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</si>
  <si>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</si>
  <si>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</si>
  <si>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</si>
  <si>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</si>
  <si>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</si>
  <si>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</si>
  <si>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</si>
  <si>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</si>
  <si>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</si>
  <si>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</si>
  <si>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</si>
  <si>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</si>
  <si>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</si>
  <si>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</si>
  <si>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</si>
  <si>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</si>
  <si>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</si>
  <si>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</si>
  <si>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</si>
  <si>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</si>
  <si>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</si>
  <si>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</si>
  <si>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</si>
  <si>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</si>
  <si>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</si>
  <si>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</si>
  <si>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</si>
  <si>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</si>
  <si>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</si>
  <si>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</si>
  <si>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</si>
  <si>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</si>
  <si>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</si>
  <si>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</si>
  <si>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</si>
  <si>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</si>
  <si>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</si>
  <si>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</si>
  <si>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</si>
  <si>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</si>
  <si>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</si>
  <si>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</si>
  <si>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</si>
  <si>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</si>
  <si>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</si>
  <si>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</si>
  <si>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</si>
  <si>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</si>
  <si>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</si>
  <si>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</si>
  <si>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</si>
  <si>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</si>
  <si>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</si>
  <si>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</si>
  <si>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</si>
  <si>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</si>
  <si>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</si>
  <si>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</si>
  <si>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</si>
  <si>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</si>
  <si>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</si>
  <si>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</si>
  <si>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</si>
  <si>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</si>
  <si>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</si>
  <si>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</si>
  <si>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</si>
  <si>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</si>
  <si>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</si>
  <si>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</si>
  <si>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</si>
  <si>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</si>
  <si>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</si>
  <si>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</si>
  <si>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</si>
  <si>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</si>
  <si>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</si>
  <si>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</si>
  <si>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</si>
  <si>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</si>
  <si>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</si>
  <si>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</si>
  <si>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</si>
  <si>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</si>
  <si>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</si>
  <si>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</si>
  <si>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</si>
  <si>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</si>
  <si>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</si>
  <si>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</si>
  <si>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</si>
  <si>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</si>
  <si>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</si>
  <si>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</si>
  <si>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</si>
  <si>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</si>
  <si>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</si>
  <si>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</si>
  <si>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</si>
  <si>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</si>
  <si>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</si>
  <si>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</si>
  <si>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</si>
  <si>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</si>
  <si>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</si>
  <si>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</si>
  <si>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</si>
  <si>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</si>
  <si>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</si>
  <si>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</si>
  <si>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</si>
  <si>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</si>
  <si>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</si>
  <si>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</si>
  <si>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</si>
  <si>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</si>
  <si>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</si>
  <si>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</si>
  <si>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</si>
  <si>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</si>
  <si>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</si>
  <si>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</si>
  <si>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</si>
  <si>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</si>
  <si>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</si>
  <si>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</si>
  <si>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</si>
  <si>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</si>
  <si>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</si>
  <si>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</si>
  <si>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</si>
  <si>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</si>
  <si>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</si>
  <si>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</si>
  <si>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</si>
  <si>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</si>
  <si>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</si>
  <si>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</si>
  <si>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</si>
  <si>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</si>
  <si>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</si>
  <si>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</si>
  <si>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</si>
  <si>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</si>
  <si>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</si>
  <si>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</si>
  <si>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</si>
  <si>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</si>
  <si>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</si>
  <si>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</si>
  <si>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</si>
  <si>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</si>
  <si>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</si>
  <si>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</si>
  <si>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</si>
  <si>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</si>
  <si>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</si>
  <si>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</si>
  <si>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</si>
  <si>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</si>
  <si>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</si>
  <si>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</si>
  <si>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</si>
  <si>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</si>
  <si>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</si>
  <si>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</si>
  <si>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</si>
  <si>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</si>
  <si>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</si>
  <si>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</si>
  <si>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</si>
  <si>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</si>
  <si>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</si>
  <si>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</si>
  <si>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</si>
  <si>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</si>
  <si>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</si>
  <si>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</si>
  <si>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</si>
  <si>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</si>
  <si>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</si>
  <si>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</si>
  <si>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</si>
  <si>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</si>
  <si>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</si>
  <si>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</si>
  <si>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</si>
  <si>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</si>
  <si>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</si>
  <si>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</si>
  <si>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</si>
  <si>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</si>
  <si>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</si>
  <si>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</si>
  <si>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</si>
  <si>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</si>
  <si>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</si>
  <si>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</si>
  <si>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</si>
  <si>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</si>
  <si>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</si>
  <si>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</si>
  <si>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</si>
  <si>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</si>
  <si>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</si>
  <si>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</si>
  <si>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</si>
  <si>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</si>
  <si>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</si>
  <si>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</si>
  <si>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</si>
  <si>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</si>
  <si>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</si>
  <si>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</si>
  <si>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</si>
  <si>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</si>
  <si>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</si>
  <si>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</si>
  <si>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</si>
  <si>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</si>
  <si>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</si>
  <si>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</si>
  <si>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</si>
  <si>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</si>
  <si>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</si>
  <si>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</si>
  <si>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</si>
  <si>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</si>
  <si>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</si>
  <si>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</si>
  <si>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</si>
  <si>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</si>
  <si>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</si>
  <si>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</si>
  <si>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</si>
  <si>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</si>
  <si>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</si>
  <si>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</si>
  <si>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</si>
  <si>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</si>
  <si>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</si>
  <si>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</si>
  <si>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</si>
  <si>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</si>
  <si>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</si>
  <si>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</si>
  <si>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</si>
  <si>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</si>
  <si>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</si>
  <si>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</si>
  <si>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</si>
  <si>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</si>
  <si>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</si>
  <si>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</si>
  <si>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</si>
  <si>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</si>
  <si>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</si>
  <si>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</si>
  <si>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</si>
  <si>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</si>
  <si>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</si>
  <si>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</si>
  <si>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</si>
  <si>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</si>
  <si>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</si>
  <si>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</si>
  <si>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</si>
  <si>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</si>
  <si>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</si>
  <si>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</si>
  <si>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</si>
  <si>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</si>
  <si>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</si>
  <si>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</si>
  <si>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</si>
  <si>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</si>
  <si>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</si>
  <si>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</si>
  <si>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</si>
  <si>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</si>
  <si>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</si>
  <si>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</si>
  <si>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</si>
  <si>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</si>
  <si>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</si>
  <si>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</si>
  <si>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</si>
  <si>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</si>
  <si>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</si>
  <si>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</si>
  <si>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</si>
  <si>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</si>
  <si>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</si>
  <si>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</si>
  <si>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</si>
  <si>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</si>
  <si>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</si>
  <si>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</si>
  <si>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</si>
  <si>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</si>
  <si>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</si>
  <si>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</si>
  <si>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</si>
  <si>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</si>
  <si>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</si>
  <si>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</si>
  <si>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</si>
  <si>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</si>
  <si>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</si>
  <si>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</si>
  <si>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</si>
  <si>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</si>
  <si>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</si>
  <si>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</si>
  <si>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</si>
  <si>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</si>
  <si>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</si>
  <si>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</si>
  <si>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</si>
  <si>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</si>
  <si>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</si>
  <si>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</si>
  <si>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</si>
  <si>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</si>
  <si>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</si>
  <si>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</si>
  <si>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</si>
  <si>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</si>
  <si>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</si>
  <si>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</si>
  <si>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</si>
  <si>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</si>
  <si>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</si>
  <si>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</si>
  <si>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</si>
  <si>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</si>
  <si>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</si>
  <si>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</si>
  <si>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</si>
  <si>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</si>
  <si>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</si>
  <si>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</si>
  <si>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</si>
  <si>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</si>
  <si>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</si>
  <si>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</si>
  <si>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</si>
  <si>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</si>
  <si>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</si>
  <si>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</si>
  <si>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</si>
  <si>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</si>
  <si>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</si>
  <si>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</si>
  <si>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</si>
  <si>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</si>
  <si>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</si>
  <si>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</si>
  <si>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</si>
  <si>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</si>
  <si>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</si>
  <si>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</si>
  <si>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</si>
  <si>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</si>
  <si>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</si>
  <si>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</si>
  <si>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</si>
  <si>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</si>
  <si>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</si>
  <si>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</si>
  <si>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</si>
  <si>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</si>
  <si>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</si>
  <si>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</si>
  <si>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</si>
  <si>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</si>
  <si>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</si>
  <si>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</si>
  <si>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</si>
  <si>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</si>
  <si>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</si>
  <si>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</si>
  <si>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</si>
  <si>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</si>
  <si>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</si>
  <si>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</si>
  <si>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</si>
  <si>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</si>
  <si>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</si>
  <si>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</si>
  <si>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</si>
  <si>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</si>
  <si>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</si>
  <si>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</si>
  <si>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</si>
  <si>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</si>
  <si>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</si>
  <si>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</si>
  <si>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</si>
  <si>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</si>
  <si>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</si>
  <si>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</si>
  <si>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</si>
  <si>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</si>
  <si>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</si>
  <si>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</si>
  <si>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</si>
  <si>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</si>
  <si>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</si>
  <si>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</si>
  <si>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</si>
  <si>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</si>
  <si>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</si>
  <si>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</si>
  <si>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</si>
  <si>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</si>
  <si>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</si>
  <si>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</si>
  <si>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</si>
  <si>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</si>
  <si>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</si>
  <si>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</si>
  <si>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</si>
  <si>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</si>
  <si>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</si>
  <si>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</si>
  <si>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</si>
  <si>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</si>
  <si>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</si>
  <si>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</si>
  <si>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</si>
  <si>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</si>
  <si>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</si>
  <si>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</si>
  <si>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</si>
  <si>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</si>
  <si>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</si>
  <si>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</si>
  <si>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</si>
  <si>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</si>
  <si>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</si>
  <si>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</si>
  <si>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</si>
  <si>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</si>
  <si>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</si>
  <si>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</si>
  <si>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</si>
  <si>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</si>
  <si>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</si>
  <si>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</si>
  <si>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</si>
  <si>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</si>
  <si>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</si>
  <si>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</si>
  <si>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</si>
  <si>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</si>
  <si>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</si>
  <si>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</si>
  <si>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</si>
  <si>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</si>
  <si>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</si>
  <si>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</si>
  <si>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</si>
  <si>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</si>
  <si>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</si>
  <si>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</si>
  <si>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</si>
  <si>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</si>
  <si>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</si>
  <si>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</si>
  <si>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</si>
  <si>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</si>
  <si>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</si>
  <si>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</si>
  <si>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</si>
  <si>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</si>
  <si>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</si>
  <si>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</si>
  <si>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</si>
  <si>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</si>
  <si>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</si>
  <si>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</si>
  <si>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</si>
  <si>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</si>
  <si>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</si>
  <si>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</si>
  <si>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</si>
  <si>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</si>
  <si>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</si>
  <si>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</si>
  <si>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</si>
  <si>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</si>
  <si>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</si>
  <si>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</si>
  <si>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</si>
  <si>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</si>
  <si>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</si>
  <si>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</si>
  <si>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</si>
  <si>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</si>
  <si>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</si>
  <si>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</si>
  <si>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</si>
  <si>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</si>
  <si>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</si>
  <si>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</si>
  <si>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</si>
  <si>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</si>
  <si>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</si>
  <si>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</si>
  <si>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</si>
  <si>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</si>
  <si>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</si>
  <si>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</si>
  <si>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</si>
  <si>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</si>
  <si>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</si>
  <si>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</si>
  <si>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</si>
  <si>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</si>
  <si>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</si>
  <si>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</si>
  <si>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</si>
  <si>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</si>
  <si>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</si>
  <si>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</si>
  <si>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</si>
  <si>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</si>
  <si>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</si>
  <si>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</si>
  <si>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</si>
  <si>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</si>
  <si>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</si>
  <si>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</si>
  <si>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</si>
  <si>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</si>
  <si>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</si>
  <si>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</si>
  <si>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</si>
  <si>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</si>
  <si>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</si>
  <si>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</si>
  <si>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</si>
  <si>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</si>
  <si>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</si>
  <si>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</si>
  <si>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</si>
  <si>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</si>
  <si>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</si>
  <si>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</si>
  <si>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</si>
  <si>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</si>
  <si>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</si>
  <si>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</si>
  <si>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</si>
  <si>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</si>
  <si>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</si>
  <si>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</si>
  <si>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</si>
  <si>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</si>
  <si>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</si>
  <si>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</si>
  <si>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</si>
  <si>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</si>
  <si>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</si>
  <si>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</si>
  <si>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</si>
  <si>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</si>
  <si>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</si>
  <si>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</si>
  <si>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</si>
  <si>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</si>
  <si>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</si>
  <si>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</si>
  <si>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</si>
  <si>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</si>
  <si>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</si>
  <si>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</si>
  <si>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</si>
  <si>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</si>
  <si>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</si>
  <si>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</si>
  <si>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</si>
  <si>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</si>
  <si>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</si>
  <si>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</si>
  <si>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</si>
  <si>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</si>
  <si>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</si>
  <si>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</si>
  <si>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</si>
  <si>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</si>
  <si>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</si>
  <si>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</si>
  <si>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</si>
  <si>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</si>
  <si>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</si>
  <si>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</si>
  <si>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</si>
  <si>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</si>
  <si>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</si>
  <si>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</si>
  <si>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</si>
  <si>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</si>
  <si>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</si>
  <si>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</si>
  <si>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</si>
  <si>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</si>
  <si>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</si>
  <si>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</si>
  <si>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</si>
  <si>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</si>
  <si>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</si>
  <si>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</si>
  <si>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</si>
  <si>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</si>
  <si>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</si>
  <si>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</si>
  <si>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</si>
  <si>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</si>
  <si>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</si>
  <si>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</si>
  <si>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</si>
  <si>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</si>
  <si>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</si>
  <si>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</si>
  <si>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</si>
  <si>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</si>
  <si>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</si>
  <si>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</si>
  <si>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</si>
  <si>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</si>
  <si>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</si>
  <si>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</si>
  <si>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</si>
  <si>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</si>
  <si>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</si>
  <si>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</si>
  <si>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</si>
  <si>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</si>
  <si>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</si>
  <si>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</si>
  <si>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</si>
  <si>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</si>
  <si>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</si>
  <si>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</si>
  <si>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</si>
  <si>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</si>
  <si>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</si>
  <si>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</si>
  <si>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</si>
  <si>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</si>
  <si>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</si>
  <si>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</si>
  <si>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</si>
  <si>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</si>
  <si>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</si>
  <si>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</si>
  <si>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</si>
  <si>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</si>
  <si>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</si>
  <si>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</si>
  <si>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</si>
  <si>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</si>
  <si>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</si>
  <si>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</si>
  <si>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</si>
  <si>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</si>
  <si>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</si>
  <si>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</si>
  <si>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</si>
  <si>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</si>
  <si>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</si>
  <si>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</si>
  <si>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</si>
  <si>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</si>
  <si>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</si>
  <si>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</si>
  <si>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</si>
  <si>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</si>
  <si>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</si>
  <si>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</si>
  <si>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</si>
  <si>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</si>
  <si>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</si>
  <si>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</si>
  <si>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</si>
  <si>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</si>
  <si>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</si>
  <si>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</si>
  <si>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</si>
  <si>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</si>
  <si>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</si>
  <si>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</si>
  <si>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</si>
  <si>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</si>
  <si>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</si>
  <si>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</si>
  <si>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</si>
  <si>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</si>
  <si>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</si>
  <si>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</si>
  <si>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</si>
  <si>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</si>
  <si>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</si>
  <si>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</si>
  <si>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</si>
  <si>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</si>
  <si>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</si>
  <si>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</si>
  <si>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</si>
  <si>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</si>
  <si>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</si>
  <si>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</si>
  <si>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</si>
  <si>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</si>
  <si>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</si>
  <si>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</si>
  <si>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</si>
  <si>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</si>
  <si>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</si>
  <si>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</si>
  <si>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</si>
  <si>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</si>
  <si>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</si>
  <si>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</si>
  <si>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</si>
  <si>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</si>
  <si>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</si>
  <si>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</si>
  <si>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</si>
  <si>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</si>
  <si>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</si>
  <si>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</si>
  <si>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</si>
  <si>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</si>
  <si>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</si>
  <si>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</si>
  <si>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</si>
  <si>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</si>
  <si>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</si>
  <si>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</si>
  <si>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</si>
  <si>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</si>
  <si>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</si>
  <si>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</si>
  <si>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</si>
  <si>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</si>
  <si>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</si>
  <si>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</si>
  <si>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</si>
  <si>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</si>
  <si>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</si>
  <si>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</si>
  <si>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</si>
  <si>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</si>
  <si>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</si>
  <si>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</si>
  <si>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</si>
  <si>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</si>
  <si>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</si>
  <si>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</si>
  <si>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</si>
  <si>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</si>
  <si>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</si>
  <si>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</si>
  <si>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</si>
  <si>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</si>
  <si>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</si>
  <si>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</si>
  <si>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</si>
  <si>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</si>
  <si>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</si>
  <si>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</si>
  <si>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</si>
  <si>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</si>
  <si>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</si>
  <si>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</si>
  <si>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</si>
  <si>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</si>
  <si>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</si>
  <si>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</si>
  <si>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</si>
  <si>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</si>
  <si>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</si>
  <si>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</si>
  <si>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</si>
  <si>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</si>
  <si>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</si>
  <si>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</si>
  <si>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</si>
  <si>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</si>
  <si>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</si>
  <si>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</si>
  <si>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</si>
  <si>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</si>
  <si>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</si>
  <si>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</si>
  <si>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</si>
  <si>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</si>
  <si>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</si>
  <si>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</si>
  <si>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</si>
  <si>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</si>
  <si>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</si>
  <si>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</si>
  <si>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</si>
  <si>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</si>
  <si>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</si>
  <si>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</si>
  <si>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</si>
  <si>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</si>
  <si>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</si>
  <si>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</si>
  <si>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</si>
  <si>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</si>
  <si>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</si>
  <si>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</si>
  <si>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</si>
  <si>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</si>
  <si>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</si>
  <si>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</si>
  <si>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</si>
  <si>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</si>
  <si>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</si>
  <si>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</si>
  <si>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</si>
  <si>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</si>
  <si>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</si>
  <si>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</si>
  <si>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</si>
  <si>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</si>
  <si>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</si>
  <si>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</si>
  <si>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</si>
  <si>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</si>
  <si>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</si>
  <si>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</si>
  <si>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</si>
  <si>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</si>
  <si>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</si>
  <si>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</si>
  <si>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</si>
  <si>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</si>
  <si>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</si>
  <si>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</si>
  <si>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</si>
  <si>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</si>
  <si>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</si>
  <si>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</si>
  <si>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</si>
  <si>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</si>
  <si>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</si>
  <si>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</si>
  <si>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</si>
  <si>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</si>
  <si>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</si>
  <si>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</si>
  <si>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</si>
  <si>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</si>
  <si>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</si>
  <si>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</si>
  <si>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</si>
  <si>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</si>
  <si>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</si>
  <si>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</si>
  <si>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</si>
  <si>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</si>
  <si>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</si>
  <si>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</si>
  <si>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</si>
  <si>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</si>
  <si>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</si>
  <si>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</si>
  <si>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</si>
  <si>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</si>
  <si>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</si>
  <si>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</si>
  <si>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</si>
  <si>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</si>
  <si>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</si>
  <si>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</si>
  <si>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</si>
  <si>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</si>
  <si>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</si>
  <si>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</si>
  <si>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</si>
  <si>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</si>
  <si>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</si>
  <si>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</si>
  <si>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</si>
  <si>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</si>
  <si>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</si>
  <si>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</si>
  <si>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</si>
  <si>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</si>
  <si>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</si>
  <si>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</si>
  <si>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</si>
  <si>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</si>
  <si>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</si>
  <si>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</si>
  <si>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</si>
  <si>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</si>
  <si>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</si>
  <si>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</si>
  <si>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</si>
  <si>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</si>
  <si>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</si>
  <si>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</si>
  <si>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</si>
  <si>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</si>
  <si>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</si>
  <si>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</si>
  <si>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</si>
  <si>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</si>
  <si>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</si>
  <si>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</si>
  <si>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</si>
  <si>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</si>
  <si>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</si>
  <si>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</si>
  <si>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</si>
  <si>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</si>
  <si>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</si>
  <si>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</si>
  <si>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</si>
  <si>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</si>
  <si>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</si>
  <si>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</si>
  <si>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</si>
  <si>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</si>
  <si>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</si>
  <si>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</si>
  <si>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</si>
  <si>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</si>
  <si>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</si>
  <si>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</si>
  <si>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</si>
  <si>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</si>
  <si>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</si>
  <si>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</si>
  <si>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</si>
  <si>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</si>
  <si>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</si>
  <si>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</si>
  <si>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</si>
  <si>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</si>
  <si>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</si>
  <si>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</si>
  <si>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</si>
  <si>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</si>
  <si>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</si>
  <si>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</si>
  <si>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</si>
  <si>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</si>
  <si>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</si>
  <si>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</si>
  <si>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</si>
  <si>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</si>
  <si>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</si>
  <si>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</si>
  <si>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</si>
  <si>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</si>
  <si>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</si>
  <si>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</si>
  <si>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</si>
  <si>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</si>
  <si>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</si>
  <si>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</si>
  <si>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</si>
  <si>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</si>
  <si>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</si>
  <si>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</si>
  <si>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</si>
  <si>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</si>
  <si>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</si>
  <si>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</si>
  <si>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</si>
  <si>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</si>
  <si>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</si>
  <si>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</si>
  <si>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</si>
  <si>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</si>
  <si>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</si>
  <si>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</si>
  <si>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</si>
  <si>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</si>
  <si>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</si>
  <si>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</si>
  <si>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</si>
  <si>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</si>
  <si>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</si>
  <si>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</si>
  <si>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</si>
  <si>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</si>
  <si>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</si>
  <si>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</si>
  <si>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</si>
  <si>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</si>
  <si>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</si>
  <si>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</si>
  <si>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</si>
  <si>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</si>
  <si>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</si>
  <si>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</si>
  <si>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</si>
  <si>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</si>
  <si>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</si>
  <si>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</si>
  <si>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</si>
  <si>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</si>
  <si>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</si>
  <si>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</si>
  <si>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</si>
  <si>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</si>
  <si>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</si>
  <si>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</si>
  <si>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</si>
  <si>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</si>
  <si>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</si>
  <si>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</si>
  <si>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</si>
  <si>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</si>
  <si>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</si>
  <si>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</si>
  <si>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</si>
  <si>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</si>
  <si>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</si>
  <si>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</si>
  <si>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</si>
  <si>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</si>
  <si>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</si>
  <si>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</si>
  <si>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</si>
  <si>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</si>
  <si>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</si>
  <si>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</si>
  <si>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</si>
  <si>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</si>
  <si>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</si>
  <si>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</si>
  <si>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</si>
  <si>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</si>
  <si>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</si>
  <si>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</si>
  <si>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</si>
  <si>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</si>
  <si>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</si>
  <si>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</si>
  <si>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</si>
  <si>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</si>
  <si>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</si>
  <si>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</si>
  <si>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</si>
  <si>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</si>
  <si>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</si>
  <si>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</si>
  <si>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</si>
  <si>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</si>
  <si>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</si>
  <si>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</si>
  <si>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</si>
  <si>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</si>
  <si>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</si>
  <si>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</si>
  <si>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</si>
  <si>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</si>
  <si>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</si>
  <si>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</si>
  <si>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</si>
  <si>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</si>
  <si>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</si>
  <si>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</si>
  <si>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</si>
  <si>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</si>
  <si>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</si>
  <si>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</si>
  <si>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</si>
  <si>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</si>
  <si>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</si>
  <si>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</si>
  <si>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</si>
  <si>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</si>
  <si>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</si>
  <si>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</si>
  <si>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</si>
  <si>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</si>
  <si>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</si>
  <si>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</si>
  <si>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</si>
  <si>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</si>
  <si>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</si>
  <si>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</si>
  <si>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</si>
  <si>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</si>
  <si>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</si>
  <si>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</si>
  <si>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</si>
  <si>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</si>
  <si>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</si>
  <si>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</si>
  <si>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</si>
  <si>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</si>
  <si>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</si>
  <si>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</si>
  <si>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</si>
  <si>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</si>
  <si>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</si>
  <si>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</si>
  <si>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</si>
  <si>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</si>
  <si>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</si>
  <si>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</si>
  <si>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</si>
  <si>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</si>
  <si>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</si>
  <si>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</si>
  <si>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</si>
  <si>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</si>
  <si>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</si>
  <si>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</si>
  <si>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</si>
  <si>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</si>
  <si>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</si>
  <si>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</si>
  <si>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</si>
  <si>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</si>
  <si>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</si>
  <si>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</si>
  <si>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</si>
  <si>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</si>
  <si>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</si>
  <si>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</si>
  <si>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</si>
  <si>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</si>
  <si>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</si>
  <si>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</si>
  <si>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</si>
  <si>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</si>
  <si>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</si>
  <si>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</si>
  <si>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</si>
  <si>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</si>
  <si>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</si>
  <si>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</si>
  <si>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</si>
  <si>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</si>
  <si>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</si>
  <si>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</si>
  <si>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</si>
  <si>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</si>
  <si>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</si>
  <si>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</si>
  <si>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</si>
  <si>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t>http://blog.sina.com.cn/s/blog_56e9618a0101eroa.html</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</si>
  <si>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</si>
  <si>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1层面积</t>
    <phoneticPr fontId="140" type="noConversion"/>
  </si>
  <si>
    <t>2层面积</t>
  </si>
  <si>
    <t>3层面积</t>
  </si>
  <si>
    <t>地下1层面积</t>
    <phoneticPr fontId="140" type="noConversion"/>
  </si>
  <si>
    <t>车位数</t>
    <phoneticPr fontId="140" type="noConversion"/>
  </si>
  <si>
    <t>4层及以上</t>
    <phoneticPr fontId="140" type="noConversion"/>
  </si>
  <si>
    <t>总土地面积</t>
    <phoneticPr fontId="140" type="noConversion"/>
  </si>
  <si>
    <t>总建筑面积</t>
    <phoneticPr fontId="140" type="noConversion"/>
  </si>
  <si>
    <t>分摊土地面积</t>
    <phoneticPr fontId="140" type="noConversion"/>
  </si>
  <si>
    <t>地上</t>
  </si>
  <si>
    <t>是</t>
  </si>
  <si>
    <t>地下</t>
  </si>
  <si>
    <t>车库</t>
  </si>
  <si>
    <t>商业</t>
    <phoneticPr fontId="7" type="noConversion"/>
  </si>
  <si>
    <t>车库</t>
    <phoneticPr fontId="7" type="noConversion"/>
  </si>
  <si>
    <t>收益法 (元)</t>
  </si>
  <si>
    <t>自定义</t>
  </si>
  <si>
    <t>按租金收入计税</t>
  </si>
  <si>
    <t>钢混</t>
  </si>
  <si>
    <t>非生产用房</t>
  </si>
  <si>
    <t>否</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</si>
  <si>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</si>
  <si>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</si>
  <si>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</si>
  <si>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</si>
  <si>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</si>
  <si>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</si>
  <si>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</si>
  <si>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</si>
  <si>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</si>
  <si>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</si>
  <si>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</si>
  <si>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</si>
  <si>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</si>
  <si>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成交地面价</t>
  </si>
  <si>
    <t>溢价率</t>
  </si>
  <si>
    <t>受让单位</t>
  </si>
  <si>
    <t>土地星级</t>
  </si>
  <si>
    <t>建华大街东、槐北路366号。</t>
  </si>
  <si>
    <t>石家庄市</t>
  </si>
  <si>
    <t>商业/办公用地</t>
  </si>
  <si>
    <t>≤3.76</t>
  </si>
  <si>
    <t>挂牌</t>
  </si>
  <si>
    <t>商服</t>
  </si>
  <si>
    <t>2020-10-30</t>
  </si>
  <si>
    <t>人保投资控股有限公司</t>
  </si>
  <si>
    <t>5星</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</si>
  <si>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</si>
  <si>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</si>
  <si>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</si>
  <si>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</si>
  <si>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</si>
  <si>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</si>
  <si>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</si>
  <si>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</si>
  <si>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</si>
  <si>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</si>
  <si>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</si>
  <si>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亚太大酒店南、青园街219号</t>
  </si>
  <si>
    <t>≤5.5</t>
  </si>
  <si>
    <t>商服用地</t>
  </si>
  <si>
    <t>2019-12-27</t>
  </si>
  <si>
    <t>河北合和房地产开发有限公司</t>
  </si>
  <si>
    <t>仓丰路南、建华大街西</t>
  </si>
  <si>
    <t>东地块:≤4.5,西地块:≤4.16</t>
  </si>
  <si>
    <t>2019-11-15</t>
  </si>
  <si>
    <t>河北卓凯房地产开发有限公司</t>
  </si>
  <si>
    <t>富强大街西、槐安路南</t>
  </si>
  <si>
    <t>2019-10-18</t>
  </si>
  <si>
    <t>河北怀特集团股份有限公司</t>
  </si>
  <si>
    <t>建设大街东、槐北路南、规划路北</t>
  </si>
  <si>
    <t>≤6</t>
  </si>
  <si>
    <t>其他商服用地</t>
  </si>
  <si>
    <t>2019-02-12</t>
  </si>
  <si>
    <t>河北鑫界房地产开发有限责任公司</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</si>
  <si>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</si>
  <si>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</si>
  <si>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</si>
  <si>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</si>
  <si>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</si>
  <si>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</si>
  <si>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</si>
  <si>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</si>
  <si>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</si>
  <si>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</si>
  <si>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</si>
  <si>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</si>
  <si>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东至黄山街、西至国有储备地、南至珠江大道绿化地、北至华远路</t>
  </si>
  <si>
    <t>≤0.3</t>
  </si>
  <si>
    <t>批发零售用地</t>
  </si>
  <si>
    <t>2018-09-18</t>
  </si>
  <si>
    <t>石家庄高新区方亿投资有限公司</t>
  </si>
  <si>
    <t>友谊大街西、新石北路南</t>
  </si>
  <si>
    <t>＞1且≤5.52</t>
  </si>
  <si>
    <t>2018-07-02</t>
  </si>
  <si>
    <t>河北朔邦房地产开发有限公司</t>
  </si>
  <si>
    <t>东至国有储备地、西至霖鑫制冷公司、南至黄河大道、北至汾河道</t>
  </si>
  <si>
    <t>≤4.0</t>
  </si>
  <si>
    <t>2017-03-31</t>
  </si>
  <si>
    <t>石家庄德源房地产开发有限公司</t>
  </si>
  <si>
    <t>东至国有储备地及东方建筑工程公司、西至国有储备地、南至黄河大道、北至汾河道</t>
  </si>
  <si>
    <t>青园街西、东岗路北</t>
  </si>
  <si>
    <t>≤3.3</t>
  </si>
  <si>
    <t>2017-02-14</t>
  </si>
  <si>
    <t>石家庄市聚合置地房地产开发有限公司</t>
  </si>
  <si>
    <t>合计</t>
    <phoneticPr fontId="3" type="noConversion"/>
  </si>
  <si>
    <t>租金</t>
    <phoneticPr fontId="3" type="noConversion"/>
  </si>
  <si>
    <t>收益法</t>
  </si>
  <si>
    <t>押一</t>
  </si>
  <si>
    <t>售价</t>
  </si>
  <si>
    <t>正常</t>
  </si>
  <si>
    <t>住宅</t>
  </si>
  <si>
    <t>车库—商业</t>
  </si>
  <si>
    <t>其他省市系数</t>
  </si>
  <si>
    <t>未包含在土地购买价格中</t>
  </si>
  <si>
    <t>全部缴纳</t>
  </si>
  <si>
    <t>已包含在土地取得成本中</t>
  </si>
  <si>
    <t>总价</t>
  </si>
  <si>
    <t>商业</t>
    <phoneticPr fontId="31" type="noConversion"/>
  </si>
  <si>
    <t>同祥城</t>
    <phoneticPr fontId="3" type="noConversion"/>
  </si>
  <si>
    <t>盛益广场</t>
    <phoneticPr fontId="3" type="noConversion"/>
  </si>
  <si>
    <t>30-40（含）</t>
  </si>
  <si>
    <t>博雅盛世</t>
    <phoneticPr fontId="3" type="noConversion"/>
  </si>
  <si>
    <t>较好</t>
  </si>
  <si>
    <t>一般</t>
  </si>
  <si>
    <t>七通</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</si>
  <si>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</si>
  <si>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</si>
  <si>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</si>
  <si>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</si>
  <si>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</si>
  <si>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</si>
  <si>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</si>
  <si>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</si>
  <si>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商业街商铺</t>
    <phoneticPr fontId="31" type="noConversion"/>
  </si>
  <si>
    <t>商业综合体</t>
    <phoneticPr fontId="31" type="noConversion"/>
  </si>
  <si>
    <t>办公配套商业</t>
  </si>
  <si>
    <t>办公配套商业</t>
    <phoneticPr fontId="31" type="noConversion"/>
  </si>
  <si>
    <t>住宅配套商业</t>
  </si>
  <si>
    <t>住宅配套商业</t>
    <phoneticPr fontId="31" type="noConversion"/>
  </si>
  <si>
    <t>钢混</t>
    <phoneticPr fontId="31" type="noConversion"/>
  </si>
  <si>
    <t>六通</t>
    <phoneticPr fontId="31" type="noConversion"/>
  </si>
  <si>
    <t>五通</t>
    <phoneticPr fontId="31" type="noConversion"/>
  </si>
  <si>
    <t>可餐饮</t>
  </si>
  <si>
    <t>可餐饮</t>
    <phoneticPr fontId="31" type="noConversion"/>
  </si>
  <si>
    <t>不可餐饮</t>
    <phoneticPr fontId="31" type="noConversion"/>
  </si>
  <si>
    <t>精装</t>
  </si>
  <si>
    <t>精装</t>
    <phoneticPr fontId="31" type="noConversion"/>
  </si>
  <si>
    <t>普装</t>
  </si>
  <si>
    <t>简装</t>
    <phoneticPr fontId="31" type="noConversion"/>
  </si>
  <si>
    <t>毛坯</t>
    <phoneticPr fontId="31" type="noConversion"/>
  </si>
  <si>
    <t>豪装</t>
    <phoneticPr fontId="31" type="noConversion"/>
  </si>
  <si>
    <t>普装</t>
    <phoneticPr fontId="31" type="noConversion"/>
  </si>
  <si>
    <t>超高层高</t>
  </si>
  <si>
    <t>超高层高</t>
    <phoneticPr fontId="31" type="noConversion"/>
  </si>
  <si>
    <t>标准层高</t>
  </si>
  <si>
    <t>标准层高</t>
    <phoneticPr fontId="31" type="noConversion"/>
  </si>
  <si>
    <t>元/车位</t>
  </si>
  <si>
    <t>办公</t>
    <phoneticPr fontId="32" type="noConversion"/>
  </si>
  <si>
    <t>住宅</t>
    <phoneticPr fontId="32" type="noConversion"/>
  </si>
  <si>
    <t>典型户型修正</t>
  </si>
  <si>
    <t>比较法-车位</t>
  </si>
  <si>
    <t>2020年鑫科国际广场商铺招商台账</t>
  </si>
  <si>
    <t>序号</t>
  </si>
  <si>
    <t>楼层</t>
  </si>
  <si>
    <t>铺位号</t>
  </si>
  <si>
    <t>对方单位</t>
  </si>
  <si>
    <t>签约面积</t>
  </si>
  <si>
    <t>租金单价</t>
  </si>
  <si>
    <t>合同周期</t>
  </si>
  <si>
    <t>签约日期</t>
  </si>
  <si>
    <t>租赁期间</t>
  </si>
  <si>
    <t>合同金额</t>
  </si>
  <si>
    <t>月租金</t>
  </si>
  <si>
    <t>季度租金</t>
  </si>
  <si>
    <t>押金</t>
  </si>
  <si>
    <t>年租金</t>
  </si>
  <si>
    <t>合同要点</t>
  </si>
  <si>
    <t>备注</t>
  </si>
  <si>
    <t>一层</t>
  </si>
  <si>
    <t>1-01A</t>
  </si>
  <si>
    <t>王缸钵</t>
  </si>
  <si>
    <t>2018.6.8</t>
  </si>
  <si>
    <t>2018.6.8-2024.6.7</t>
  </si>
  <si>
    <t>合同总额6230253元，前三年不变，第四年（含）起每年递增8%。。</t>
    <phoneticPr fontId="3" type="noConversion"/>
  </si>
  <si>
    <t>1-01C</t>
  </si>
  <si>
    <t>肉夹馍</t>
  </si>
  <si>
    <t>2016.11.08</t>
  </si>
  <si>
    <t>2017.6.14-2020.6.13</t>
  </si>
  <si>
    <t>1-02A</t>
  </si>
  <si>
    <t>秦唐烟酒</t>
  </si>
  <si>
    <t>2016.10.20</t>
  </si>
  <si>
    <t>2019.12.01-2020.11.30</t>
  </si>
  <si>
    <t>1-04</t>
  </si>
  <si>
    <t>驴肉火烧</t>
  </si>
  <si>
    <t>2019.04.01</t>
  </si>
  <si>
    <t>2019.05.01-2022.04.30</t>
  </si>
  <si>
    <t>1-02B</t>
  </si>
  <si>
    <t>食美汇城市食堂</t>
  </si>
  <si>
    <t>2019.05.15</t>
  </si>
  <si>
    <t>2019.06.15-2025.06.14</t>
  </si>
  <si>
    <t>前三年不变，第四年起每年递增8%</t>
    <phoneticPr fontId="3" type="noConversion"/>
  </si>
  <si>
    <t>1-03</t>
  </si>
  <si>
    <t>华为</t>
  </si>
  <si>
    <t>2019.08.01</t>
  </si>
  <si>
    <t>2019.10.01-2022.09.30</t>
  </si>
  <si>
    <t>1-05</t>
  </si>
  <si>
    <t>1-06</t>
  </si>
  <si>
    <t>原宿本格烧肉</t>
  </si>
  <si>
    <t>2019.11.10</t>
  </si>
  <si>
    <t>2019.12.11-2022.12.10</t>
  </si>
  <si>
    <t>1-07</t>
  </si>
  <si>
    <t>撩鱼</t>
  </si>
  <si>
    <t>2019.3.7</t>
  </si>
  <si>
    <t>2019.3.7-2021.3.6</t>
  </si>
  <si>
    <t>1-08</t>
  </si>
  <si>
    <t>爸爸糖</t>
  </si>
  <si>
    <t>2019.3.8</t>
  </si>
  <si>
    <t>2019.3.18-2022.3.17</t>
  </si>
  <si>
    <t>1-09</t>
  </si>
  <si>
    <t>联通营
业厅</t>
  </si>
  <si>
    <t>2016.05.15</t>
  </si>
  <si>
    <t>2020.6.15-2021.6.14</t>
  </si>
  <si>
    <t>已签约，租金年付，无押金</t>
    <phoneticPr fontId="3" type="noConversion"/>
  </si>
  <si>
    <t>1-11A</t>
  </si>
  <si>
    <t>燃食轻卡</t>
  </si>
  <si>
    <t>2020.7.13</t>
  </si>
  <si>
    <t>2020.7.20-2021.7.19</t>
  </si>
  <si>
    <t>1-10</t>
  </si>
  <si>
    <t>热麦初茶</t>
  </si>
  <si>
    <t>2019.8.11</t>
  </si>
  <si>
    <t>2019.9.12-2022.9.11</t>
  </si>
  <si>
    <t>1-11B</t>
  </si>
  <si>
    <t>香鸣客麻辣烫</t>
  </si>
  <si>
    <t>2019.8.28</t>
  </si>
  <si>
    <t>2020.8.28-2022.8.27</t>
    <phoneticPr fontId="140" type="noConversion"/>
  </si>
  <si>
    <t>1-12</t>
  </si>
  <si>
    <t>锦盛烟酒超市</t>
  </si>
  <si>
    <t>2019.3.27</t>
  </si>
  <si>
    <t>2019.3.1-2021.2.28</t>
  </si>
  <si>
    <t>1-13</t>
  </si>
  <si>
    <t>美食广场</t>
  </si>
  <si>
    <t>2019.8.5</t>
  </si>
  <si>
    <t>2019.9.5-2022.9.4</t>
  </si>
  <si>
    <t>1-14/15/16</t>
  </si>
  <si>
    <t>1-17</t>
  </si>
  <si>
    <t>美容美发</t>
  </si>
  <si>
    <t>2019.9.25</t>
  </si>
  <si>
    <t>2019.10.30-2022.10.29</t>
  </si>
  <si>
    <t>1-18</t>
  </si>
  <si>
    <t>2016.4.20</t>
  </si>
  <si>
    <t>2019.5.20-2022.5.19</t>
  </si>
  <si>
    <t>1-19</t>
  </si>
  <si>
    <t>图文社</t>
  </si>
  <si>
    <t>2018.12.7</t>
  </si>
  <si>
    <t>2018.12.7-2021.12.6</t>
  </si>
  <si>
    <t>1-20</t>
  </si>
  <si>
    <t>天伊美</t>
  </si>
  <si>
    <t>2016.12.19</t>
  </si>
  <si>
    <t>2016.11.1-2026.10.30</t>
  </si>
  <si>
    <t>租期10年，租金按季交，前三年不递增，第四年起每三年递增11%。</t>
    <phoneticPr fontId="3" type="noConversion"/>
  </si>
  <si>
    <t>二楼</t>
  </si>
  <si>
    <t>2-01/02</t>
  </si>
  <si>
    <t>花香满境</t>
  </si>
  <si>
    <t>2017.1.16</t>
  </si>
  <si>
    <t>2017.4.1-2023.3.31</t>
  </si>
  <si>
    <t>合同总价6595637元.第一年按月度缴纳，第二年按季度缴纳，前三年不变，第四年递增8%</t>
    <phoneticPr fontId="3" type="noConversion"/>
  </si>
  <si>
    <t>2-03</t>
  </si>
  <si>
    <t>大金烤串</t>
  </si>
  <si>
    <t>2016.4.5</t>
  </si>
  <si>
    <t>2016.4.1-2022.3.31</t>
  </si>
  <si>
    <t>合同总价7274093元，按季缴纳，前三年不变，第四年（含）起每年递增8%</t>
    <phoneticPr fontId="3" type="noConversion"/>
  </si>
  <si>
    <t>2-05</t>
  </si>
  <si>
    <t>优加英语</t>
  </si>
  <si>
    <t>2019.2.25</t>
  </si>
  <si>
    <t>2019.2.25-2028.2.24</t>
  </si>
  <si>
    <t>2-06</t>
  </si>
  <si>
    <t>新武门</t>
  </si>
  <si>
    <t>2020.3.7-2021.3.6</t>
    <phoneticPr fontId="140" type="noConversion"/>
  </si>
  <si>
    <t>2-07</t>
  </si>
  <si>
    <t>遇健健身</t>
  </si>
  <si>
    <t>2016.12.24</t>
  </si>
  <si>
    <t>2017.3.10-2020.3.9</t>
  </si>
  <si>
    <t>2-08</t>
  </si>
  <si>
    <t>三楼</t>
  </si>
  <si>
    <t>3-01B</t>
  </si>
  <si>
    <t>澳丰商贸</t>
  </si>
  <si>
    <t>2018.5.16</t>
  </si>
  <si>
    <t>2018.5.16-2024.5.17</t>
  </si>
  <si>
    <t>前三年不变，第四年（含）起每年递增8%。</t>
    <phoneticPr fontId="3" type="noConversion"/>
  </si>
  <si>
    <t>3-01</t>
  </si>
  <si>
    <t>机器人教育</t>
  </si>
  <si>
    <t>2019.5.20</t>
  </si>
  <si>
    <t>2019.6.20-2022.6.19</t>
  </si>
  <si>
    <t>3-02</t>
  </si>
  <si>
    <t>红黄蓝亲子园</t>
  </si>
  <si>
    <t>2016.3.1-2022.2.28</t>
  </si>
  <si>
    <t>合同总价6476184元，前三年不变，第四年（含）起每年递增8%；第一年季度缴纳，第二年起半年缴纳。</t>
    <phoneticPr fontId="3" type="noConversion"/>
  </si>
  <si>
    <t>3-03</t>
  </si>
  <si>
    <t>优胜教育</t>
  </si>
  <si>
    <t>2020.5.25</t>
  </si>
  <si>
    <t>2020.8.1-2021.7.31</t>
    <phoneticPr fontId="140" type="noConversion"/>
  </si>
  <si>
    <t>租金前三年不变自第四年器每年递增8%</t>
  </si>
  <si>
    <t>3-05</t>
  </si>
  <si>
    <t>天艺舞蹈</t>
  </si>
  <si>
    <t>2018.1.5</t>
  </si>
  <si>
    <t>2018.3.5-2021.3.4</t>
  </si>
  <si>
    <t>3-06</t>
  </si>
  <si>
    <t>95英语</t>
  </si>
  <si>
    <t>2019.3.2</t>
  </si>
  <si>
    <t>3-07</t>
  </si>
  <si>
    <t>合   计</t>
    <phoneticPr fontId="3" type="noConversion"/>
  </si>
  <si>
    <t>国际广场租金收入</t>
    <phoneticPr fontId="3" type="noConversion"/>
  </si>
  <si>
    <t>年份</t>
    <phoneticPr fontId="3" type="noConversion"/>
  </si>
  <si>
    <t>租金（元）</t>
    <phoneticPr fontId="3" type="noConversion"/>
  </si>
  <si>
    <r>
      <t>2</t>
    </r>
    <r>
      <rPr>
        <sz val="12"/>
        <rFont val="宋体"/>
        <family val="3"/>
        <charset val="134"/>
      </rPr>
      <t>018年</t>
    </r>
    <phoneticPr fontId="3" type="noConversion"/>
  </si>
  <si>
    <r>
      <t>2</t>
    </r>
    <r>
      <rPr>
        <sz val="12"/>
        <rFont val="宋体"/>
        <family val="3"/>
        <charset val="134"/>
      </rPr>
      <t>019年</t>
    </r>
    <phoneticPr fontId="3" type="noConversion"/>
  </si>
  <si>
    <t>2020年1月-9月</t>
    <phoneticPr fontId="3"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</si>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</sst>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8"/>
      <name val="宋体"/>
      <family val="3"/>
      <charset val="134"/>
    </font>
    <font>
      <b/>
      <sz val="9"/>
      <name val="宋体"/>
      <family val="3"/>
      <charset val="134"/>
    </font>
    <font>
      <sz val="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43" fontId="37" fillId="0" borderId="0" applyFont="0" applyFill="0" applyBorder="0" applyAlignment="0" applyProtection="0">
      <alignment vertical="center"/>
    </xf>
  </cellStyleXfs>
  <cellXfs count="34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5"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98" fillId="0" borderId="0" xfId="0" applyFont="1">
      <alignment vertical="center"/>
    </xf>
    <xf numFmtId="178" fontId="79" fillId="0" borderId="1" xfId="1" applyNumberFormat="1" applyFont="1" applyFill="1" applyBorder="1" applyAlignment="1" applyProtection="1">
      <alignment vertical="center"/>
      <protection locked="0" hidden="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55" fillId="0" borderId="0" xfId="17" applyAlignment="1">
      <alignment horizontal="left"/>
    </xf>
    <xf numFmtId="0" fontId="19" fillId="0" borderId="0" xfId="17" applyFont="1" applyAlignment="1">
      <alignment horizontal="left"/>
    </xf>
    <xf numFmtId="0" fontId="55" fillId="9" borderId="0" xfId="17" applyFill="1" applyAlignment="1">
      <alignment horizontal="left"/>
    </xf>
    <xf numFmtId="0" fontId="79" fillId="13" borderId="0" xfId="0" applyFont="1" applyFill="1" applyAlignment="1" applyProtection="1">
      <alignment horizontal="right" vertical="center"/>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7" borderId="0" xfId="12" applyFont="1" applyFill="1" applyAlignment="1">
      <alignment horizontal="center" vertical="center" wrapText="1"/>
    </xf>
    <xf numFmtId="0" fontId="255" fillId="7" borderId="1" xfId="12" applyFont="1" applyFill="1" applyBorder="1" applyAlignment="1">
      <alignment horizontal="center" vertical="center" wrapText="1"/>
    </xf>
    <xf numFmtId="49" fontId="255" fillId="7" borderId="1" xfId="12" applyNumberFormat="1" applyFont="1" applyFill="1" applyBorder="1" applyAlignment="1">
      <alignment horizontal="center" vertical="center" wrapText="1"/>
    </xf>
    <xf numFmtId="178" fontId="255" fillId="7" borderId="1" xfId="12" applyNumberFormat="1" applyFont="1" applyFill="1" applyBorder="1" applyAlignment="1">
      <alignment horizontal="center" vertical="center" wrapText="1"/>
    </xf>
    <xf numFmtId="0" fontId="3" fillId="7" borderId="1" xfId="12" applyFont="1" applyFill="1" applyBorder="1" applyAlignment="1">
      <alignment horizontal="center" vertical="center" wrapText="1"/>
    </xf>
    <xf numFmtId="0" fontId="3" fillId="7" borderId="0" xfId="12" applyFont="1" applyFill="1" applyAlignment="1">
      <alignment horizontal="center" vertical="center" wrapText="1"/>
    </xf>
    <xf numFmtId="49" fontId="3" fillId="7" borderId="1" xfId="12" applyNumberFormat="1" applyFont="1" applyFill="1" applyBorder="1" applyAlignment="1">
      <alignment horizontal="center" vertical="center" wrapText="1"/>
    </xf>
    <xf numFmtId="178" fontId="3" fillId="7" borderId="1" xfId="12" applyNumberFormat="1" applyFont="1" applyFill="1" applyBorder="1" applyAlignment="1">
      <alignment horizontal="center" vertical="center" wrapText="1"/>
    </xf>
    <xf numFmtId="178" fontId="3" fillId="7" borderId="1" xfId="12" applyNumberFormat="1" applyFont="1" applyFill="1" applyBorder="1" applyAlignment="1">
      <alignment horizontal="left" vertical="center" wrapText="1"/>
    </xf>
    <xf numFmtId="0" fontId="256" fillId="7" borderId="0" xfId="12" applyFont="1" applyFill="1" applyAlignment="1">
      <alignment horizontal="center" vertical="center" wrapText="1"/>
    </xf>
    <xf numFmtId="0" fontId="3" fillId="7" borderId="1" xfId="12" applyFont="1" applyFill="1" applyBorder="1" applyAlignment="1">
      <alignment horizontal="justify" vertical="center"/>
    </xf>
    <xf numFmtId="178" fontId="3" fillId="7" borderId="1" xfId="18" applyNumberFormat="1" applyFont="1" applyFill="1" applyBorder="1" applyAlignment="1">
      <alignment horizontal="center" vertical="center"/>
    </xf>
    <xf numFmtId="178" fontId="3" fillId="7" borderId="1" xfId="12" applyNumberFormat="1" applyFont="1" applyFill="1" applyBorder="1" applyAlignment="1">
      <alignment horizontal="center" vertical="center"/>
    </xf>
    <xf numFmtId="0" fontId="3" fillId="7" borderId="1" xfId="12" applyFont="1" applyFill="1" applyBorder="1" applyAlignment="1">
      <alignment horizontal="left" vertical="center" wrapText="1"/>
    </xf>
    <xf numFmtId="0" fontId="3" fillId="7" borderId="1" xfId="12" applyFont="1" applyFill="1" applyBorder="1" applyAlignment="1">
      <alignment horizontal="center" vertical="center"/>
    </xf>
    <xf numFmtId="0" fontId="3" fillId="7" borderId="1" xfId="12" applyFont="1" applyFill="1" applyBorder="1" applyAlignment="1">
      <alignment horizontal="left" vertical="top" wrapText="1"/>
    </xf>
    <xf numFmtId="178" fontId="3" fillId="7" borderId="1" xfId="12" applyNumberFormat="1" applyFont="1" applyFill="1" applyBorder="1" applyAlignment="1">
      <alignment horizontal="left" vertical="top" wrapText="1"/>
    </xf>
    <xf numFmtId="180" fontId="255" fillId="7" borderId="1" xfId="12" applyNumberFormat="1" applyFont="1" applyFill="1" applyBorder="1" applyAlignment="1">
      <alignment vertical="center" wrapText="1"/>
    </xf>
    <xf numFmtId="0" fontId="255" fillId="7" borderId="1" xfId="12" applyFont="1" applyFill="1" applyBorder="1" applyAlignment="1">
      <alignment vertical="center" wrapText="1"/>
    </xf>
    <xf numFmtId="180" fontId="3" fillId="7" borderId="1" xfId="12" applyNumberFormat="1" applyFont="1" applyFill="1" applyBorder="1" applyAlignment="1">
      <alignment horizontal="center" vertical="center" wrapText="1"/>
    </xf>
    <xf numFmtId="178" fontId="255" fillId="7" borderId="1" xfId="12" applyNumberFormat="1" applyFont="1" applyFill="1" applyBorder="1" applyAlignment="1">
      <alignment horizontal="center" vertical="center"/>
    </xf>
    <xf numFmtId="49" fontId="97" fillId="7" borderId="0" xfId="12" applyNumberFormat="1" applyFont="1" applyFill="1" applyAlignment="1">
      <alignment horizontal="center" vertical="center" wrapText="1"/>
    </xf>
    <xf numFmtId="0" fontId="37" fillId="7" borderId="0" xfId="12" applyFont="1" applyFill="1" applyAlignment="1">
      <alignment horizontal="center" vertical="center" wrapText="1"/>
    </xf>
    <xf numFmtId="31" fontId="37" fillId="7" borderId="0" xfId="12" applyNumberFormat="1" applyFont="1" applyFill="1" applyAlignment="1">
      <alignment horizontal="center" vertical="center" wrapText="1"/>
    </xf>
    <xf numFmtId="0" fontId="167" fillId="0" borderId="0" xfId="12"/>
    <xf numFmtId="0" fontId="37" fillId="0" borderId="1" xfId="12" applyFont="1" applyBorder="1" applyAlignment="1">
      <alignment horizontal="center"/>
    </xf>
    <xf numFmtId="0" fontId="167" fillId="0" borderId="1" xfId="12" applyBorder="1" applyAlignment="1">
      <alignment horizontal="center"/>
    </xf>
    <xf numFmtId="43" fontId="167" fillId="0" borderId="1" xfId="12" applyNumberFormat="1" applyBorder="1" applyAlignment="1">
      <alignment horizontal="center"/>
    </xf>
    <xf numFmtId="176" fontId="167" fillId="0" borderId="0" xfId="12" applyNumberFormat="1"/>
    <xf numFmtId="0" fontId="37" fillId="0" borderId="1" xfId="12" applyFont="1" applyBorder="1" applyAlignment="1"/>
    <xf numFmtId="0" fontId="3" fillId="8" borderId="1" xfId="12" applyFont="1" applyFill="1" applyBorder="1" applyAlignment="1">
      <alignment horizontal="center" vertical="center" wrapText="1"/>
    </xf>
    <xf numFmtId="49" fontId="3" fillId="8" borderId="1" xfId="12" applyNumberFormat="1" applyFont="1" applyFill="1" applyBorder="1" applyAlignment="1">
      <alignment horizontal="center" vertical="center" wrapText="1"/>
    </xf>
    <xf numFmtId="178" fontId="3" fillId="8" borderId="1" xfId="12" applyNumberFormat="1" applyFont="1" applyFill="1" applyBorder="1" applyAlignment="1">
      <alignment horizontal="center" vertical="center" wrapText="1"/>
    </xf>
    <xf numFmtId="178" fontId="3" fillId="8" borderId="1" xfId="12" applyNumberFormat="1" applyFont="1" applyFill="1" applyBorder="1" applyAlignment="1">
      <alignment vertical="center" wrapText="1"/>
    </xf>
    <xf numFmtId="0" fontId="256" fillId="8" borderId="0" xfId="12" applyFont="1" applyFill="1" applyAlignment="1">
      <alignment horizontal="center" vertical="center" wrapText="1"/>
    </xf>
    <xf numFmtId="0" fontId="97" fillId="8" borderId="0" xfId="12" applyFont="1" applyFill="1" applyAlignment="1">
      <alignment horizontal="center" vertical="center" wrapText="1"/>
    </xf>
    <xf numFmtId="178" fontId="3" fillId="8" borderId="1" xfId="18" applyNumberFormat="1" applyFont="1" applyFill="1" applyBorder="1" applyAlignment="1">
      <alignment horizontal="center" vertical="center"/>
    </xf>
    <xf numFmtId="178" fontId="3" fillId="8" borderId="1" xfId="12" applyNumberFormat="1" applyFont="1" applyFill="1" applyBorder="1" applyAlignment="1">
      <alignment horizontal="center" vertical="center"/>
    </xf>
    <xf numFmtId="178" fontId="3" fillId="8" borderId="1" xfId="12" applyNumberFormat="1" applyFont="1" applyFill="1" applyBorder="1" applyAlignment="1">
      <alignment horizontal="left" vertical="center" wrapText="1"/>
    </xf>
    <xf numFmtId="0" fontId="167" fillId="8" borderId="0" xfId="12" applyFill="1" applyAlignment="1">
      <alignment vertical="center"/>
    </xf>
    <xf numFmtId="0" fontId="3" fillId="8" borderId="1" xfId="12" applyFont="1" applyFill="1" applyBorder="1" applyAlignment="1">
      <alignment horizontal="left" vertical="center" wrapText="1"/>
    </xf>
    <xf numFmtId="179" fontId="3" fillId="8" borderId="1" xfId="18" applyNumberFormat="1" applyFont="1" applyFill="1" applyBorder="1" applyAlignment="1">
      <alignment horizontal="center" vertical="center"/>
    </xf>
    <xf numFmtId="178" fontId="3" fillId="7" borderId="0" xfId="12" applyNumberFormat="1" applyFont="1" applyFill="1" applyAlignment="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5" fillId="7" borderId="1" xfId="12" applyFont="1" applyFill="1" applyBorder="1" applyAlignment="1">
      <alignment horizontal="center" vertical="center" wrapText="1"/>
    </xf>
    <xf numFmtId="178" fontId="3" fillId="7" borderId="13" xfId="12" applyNumberFormat="1" applyFont="1" applyFill="1" applyBorder="1" applyAlignment="1">
      <alignment horizontal="center" vertical="center" wrapText="1"/>
    </xf>
    <xf numFmtId="178" fontId="3" fillId="7" borderId="2" xfId="12" applyNumberFormat="1" applyFont="1" applyFill="1" applyBorder="1" applyAlignment="1">
      <alignment horizontal="center" vertical="center" wrapText="1"/>
    </xf>
    <xf numFmtId="0" fontId="3" fillId="7" borderId="13" xfId="12" applyFont="1" applyFill="1" applyBorder="1" applyAlignment="1">
      <alignment horizontal="center" vertical="center" wrapText="1"/>
    </xf>
    <xf numFmtId="0" fontId="3" fillId="7" borderId="2" xfId="12" applyFont="1" applyFill="1" applyBorder="1" applyAlignment="1">
      <alignment horizontal="center" vertical="center" wrapText="1"/>
    </xf>
    <xf numFmtId="0" fontId="3" fillId="7" borderId="1" xfId="12" applyFont="1" applyFill="1" applyBorder="1" applyAlignment="1">
      <alignment horizontal="center" vertical="center" wrapText="1"/>
    </xf>
    <xf numFmtId="0" fontId="254" fillId="7" borderId="60" xfId="12" applyFont="1" applyFill="1" applyBorder="1" applyAlignment="1">
      <alignment horizontal="center" vertical="center" wrapText="1"/>
    </xf>
    <xf numFmtId="0" fontId="141" fillId="0" borderId="60" xfId="12" applyFont="1" applyBorder="1" applyAlignment="1">
      <alignment horizontal="center"/>
    </xf>
    <xf numFmtId="0" fontId="175" fillId="0" borderId="22"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46" fillId="9" borderId="1" xfId="0" applyNumberFormat="1" applyFont="1" applyFill="1" applyBorder="1" applyAlignment="1" applyProtection="1">
      <alignment horizontal="center" vertical="center"/>
      <protection locked="0"/>
    </xf>
    <xf numFmtId="0" fontId="55" fillId="9" borderId="49" xfId="1" applyNumberFormat="1" applyFont="1" applyFill="1" applyBorder="1" applyAlignment="1" applyProtection="1">
      <alignment horizontal="center" vertical="center"/>
      <protection locked="0"/>
    </xf>
    <xf numFmtId="178" fontId="55" fillId="9" borderId="1" xfId="1" applyNumberFormat="1" applyFont="1" applyFill="1" applyBorder="1" applyAlignment="1" applyProtection="1">
      <alignment horizontal="center"/>
    </xf>
    <xf numFmtId="0" fontId="46" fillId="9" borderId="5" xfId="0" applyFont="1" applyFill="1" applyBorder="1" applyAlignment="1" applyProtection="1">
      <alignment horizontal="center" vertical="center" wrapText="1"/>
    </xf>
    <xf numFmtId="0" fontId="52" fillId="9" borderId="16" xfId="0" applyFont="1" applyFill="1" applyBorder="1" applyAlignment="1" applyProtection="1">
      <alignment vertical="center" wrapText="1"/>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千位分隔_Sheet2" xfId="18" xr:uid="{00000000-0005-0000-0000-000012000000}"/>
  </cellStyles>
  <dxfs count="24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xdr:row>
      <xdr:rowOff>57150</xdr:rowOff>
    </xdr:from>
    <xdr:to>
      <xdr:col>16</xdr:col>
      <xdr:colOff>522464</xdr:colOff>
      <xdr:row>34</xdr:row>
      <xdr:rowOff>18348</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00025" y="228600"/>
          <a:ext cx="11295239" cy="5619048"/>
        </a:xfrm>
        <a:prstGeom prst="rect">
          <a:avLst/>
        </a:prstGeom>
      </xdr:spPr>
    </xdr:pic>
    <xdr:clientData/>
  </xdr:twoCellAnchor>
  <xdr:twoCellAnchor editAs="oneCell">
    <xdr:from>
      <xdr:col>0</xdr:col>
      <xdr:colOff>466725</xdr:colOff>
      <xdr:row>35</xdr:row>
      <xdr:rowOff>95250</xdr:rowOff>
    </xdr:from>
    <xdr:to>
      <xdr:col>12</xdr:col>
      <xdr:colOff>332364</xdr:colOff>
      <xdr:row>77</xdr:row>
      <xdr:rowOff>151493</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466725" y="6096000"/>
          <a:ext cx="8095239" cy="7257143"/>
        </a:xfrm>
        <a:prstGeom prst="rect">
          <a:avLst/>
        </a:prstGeom>
      </xdr:spPr>
    </xdr:pic>
    <xdr:clientData/>
  </xdr:twoCellAnchor>
  <xdr:twoCellAnchor editAs="oneCell">
    <xdr:from>
      <xdr:col>0</xdr:col>
      <xdr:colOff>352425</xdr:colOff>
      <xdr:row>79</xdr:row>
      <xdr:rowOff>66675</xdr:rowOff>
    </xdr:from>
    <xdr:to>
      <xdr:col>17</xdr:col>
      <xdr:colOff>65254</xdr:colOff>
      <xdr:row>112</xdr:row>
      <xdr:rowOff>37397</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352425" y="13611225"/>
          <a:ext cx="11371429" cy="5628572"/>
        </a:xfrm>
        <a:prstGeom prst="rect">
          <a:avLst/>
        </a:prstGeom>
      </xdr:spPr>
    </xdr:pic>
    <xdr:clientData/>
  </xdr:twoCellAnchor>
  <xdr:twoCellAnchor editAs="oneCell">
    <xdr:from>
      <xdr:col>0</xdr:col>
      <xdr:colOff>571500</xdr:colOff>
      <xdr:row>113</xdr:row>
      <xdr:rowOff>76200</xdr:rowOff>
    </xdr:from>
    <xdr:to>
      <xdr:col>12</xdr:col>
      <xdr:colOff>399043</xdr:colOff>
      <xdr:row>158</xdr:row>
      <xdr:rowOff>160951</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571500" y="19450050"/>
          <a:ext cx="8057143" cy="7800001"/>
        </a:xfrm>
        <a:prstGeom prst="rect">
          <a:avLst/>
        </a:prstGeom>
      </xdr:spPr>
    </xdr:pic>
    <xdr:clientData/>
  </xdr:twoCellAnchor>
  <xdr:twoCellAnchor editAs="oneCell">
    <xdr:from>
      <xdr:col>0</xdr:col>
      <xdr:colOff>209550</xdr:colOff>
      <xdr:row>159</xdr:row>
      <xdr:rowOff>123825</xdr:rowOff>
    </xdr:from>
    <xdr:to>
      <xdr:col>17</xdr:col>
      <xdr:colOff>84284</xdr:colOff>
      <xdr:row>191</xdr:row>
      <xdr:rowOff>151711</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209550" y="27384375"/>
          <a:ext cx="11533334" cy="5514286"/>
        </a:xfrm>
        <a:prstGeom prst="rect">
          <a:avLst/>
        </a:prstGeom>
      </xdr:spPr>
    </xdr:pic>
    <xdr:clientData/>
  </xdr:twoCellAnchor>
  <xdr:twoCellAnchor editAs="oneCell">
    <xdr:from>
      <xdr:col>0</xdr:col>
      <xdr:colOff>285750</xdr:colOff>
      <xdr:row>193</xdr:row>
      <xdr:rowOff>85725</xdr:rowOff>
    </xdr:from>
    <xdr:to>
      <xdr:col>13</xdr:col>
      <xdr:colOff>379874</xdr:colOff>
      <xdr:row>234</xdr:row>
      <xdr:rowOff>84847</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285750" y="33175575"/>
          <a:ext cx="9009524" cy="7028572"/>
        </a:xfrm>
        <a:prstGeom prst="rect">
          <a:avLst/>
        </a:prstGeom>
      </xdr:spPr>
    </xdr:pic>
    <xdr:clientData/>
  </xdr:twoCellAnchor>
  <xdr:twoCellAnchor editAs="oneCell">
    <xdr:from>
      <xdr:col>0</xdr:col>
      <xdr:colOff>95250</xdr:colOff>
      <xdr:row>0</xdr:row>
      <xdr:rowOff>104775</xdr:rowOff>
    </xdr:from>
    <xdr:to>
      <xdr:col>12</xdr:col>
      <xdr:colOff>646603</xdr:colOff>
      <xdr:row>38</xdr:row>
      <xdr:rowOff>142056</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95250" y="104775"/>
          <a:ext cx="8780953" cy="6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575310</xdr:colOff>
      <xdr:row>3</xdr:row>
      <xdr:rowOff>142875</xdr:rowOff>
    </xdr:from>
    <xdr:to>
      <xdr:col>13</xdr:col>
      <xdr:colOff>111143</xdr:colOff>
      <xdr:row>10</xdr:row>
      <xdr:rowOff>108692</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75310" y="657225"/>
          <a:ext cx="8451233" cy="1165967"/>
        </a:xfrm>
        <a:prstGeom prst="rect">
          <a:avLst/>
        </a:prstGeom>
      </xdr:spPr>
    </xdr:pic>
    <xdr:clientData/>
  </xdr:twoCellAnchor>
  <xdr:twoCellAnchor editAs="oneCell">
    <xdr:from>
      <xdr:col>0</xdr:col>
      <xdr:colOff>217170</xdr:colOff>
      <xdr:row>11</xdr:row>
      <xdr:rowOff>139065</xdr:rowOff>
    </xdr:from>
    <xdr:to>
      <xdr:col>15</xdr:col>
      <xdr:colOff>492306</xdr:colOff>
      <xdr:row>36</xdr:row>
      <xdr:rowOff>59443</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17170" y="2025015"/>
          <a:ext cx="10562136" cy="4206628"/>
        </a:xfrm>
        <a:prstGeom prst="rect">
          <a:avLst/>
        </a:prstGeom>
      </xdr:spPr>
    </xdr:pic>
    <xdr:clientData/>
  </xdr:twoCellAnchor>
  <xdr:twoCellAnchor editAs="oneCell">
    <xdr:from>
      <xdr:col>1</xdr:col>
      <xdr:colOff>182880</xdr:colOff>
      <xdr:row>36</xdr:row>
      <xdr:rowOff>152400</xdr:rowOff>
    </xdr:from>
    <xdr:to>
      <xdr:col>13</xdr:col>
      <xdr:colOff>457858</xdr:colOff>
      <xdr:row>43</xdr:row>
      <xdr:rowOff>152511</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792480" y="6736080"/>
          <a:ext cx="7590178" cy="1280271"/>
        </a:xfrm>
        <a:prstGeom prst="rect">
          <a:avLst/>
        </a:prstGeom>
      </xdr:spPr>
    </xdr:pic>
    <xdr:clientData/>
  </xdr:twoCellAnchor>
  <xdr:twoCellAnchor editAs="oneCell">
    <xdr:from>
      <xdr:col>1</xdr:col>
      <xdr:colOff>220980</xdr:colOff>
      <xdr:row>45</xdr:row>
      <xdr:rowOff>83820</xdr:rowOff>
    </xdr:from>
    <xdr:to>
      <xdr:col>16</xdr:col>
      <xdr:colOff>244634</xdr:colOff>
      <xdr:row>69</xdr:row>
      <xdr:rowOff>145166</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30580" y="8313420"/>
          <a:ext cx="9167654" cy="4450466"/>
        </a:xfrm>
        <a:prstGeom prst="rect">
          <a:avLst/>
        </a:prstGeom>
      </xdr:spPr>
    </xdr:pic>
    <xdr:clientData/>
  </xdr:twoCellAnchor>
  <xdr:twoCellAnchor editAs="oneCell">
    <xdr:from>
      <xdr:col>1</xdr:col>
      <xdr:colOff>304800</xdr:colOff>
      <xdr:row>71</xdr:row>
      <xdr:rowOff>121920</xdr:rowOff>
    </xdr:from>
    <xdr:to>
      <xdr:col>13</xdr:col>
      <xdr:colOff>404503</xdr:colOff>
      <xdr:row>93</xdr:row>
      <xdr:rowOff>152751</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914400" y="13106400"/>
          <a:ext cx="7414903" cy="4054191"/>
        </a:xfrm>
        <a:prstGeom prst="rect">
          <a:avLst/>
        </a:prstGeom>
      </xdr:spPr>
    </xdr:pic>
    <xdr:clientData/>
  </xdr:twoCellAnchor>
  <xdr:twoCellAnchor editAs="oneCell">
    <xdr:from>
      <xdr:col>16</xdr:col>
      <xdr:colOff>358140</xdr:colOff>
      <xdr:row>11</xdr:row>
      <xdr:rowOff>0</xdr:rowOff>
    </xdr:from>
    <xdr:to>
      <xdr:col>29</xdr:col>
      <xdr:colOff>15897</xdr:colOff>
      <xdr:row>32</xdr:row>
      <xdr:rowOff>46057</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10111740" y="2011680"/>
          <a:ext cx="7582557" cy="3886537"/>
        </a:xfrm>
        <a:prstGeom prst="rect">
          <a:avLst/>
        </a:prstGeom>
      </xdr:spPr>
    </xdr:pic>
    <xdr:clientData/>
  </xdr:twoCellAnchor>
  <xdr:twoCellAnchor editAs="oneCell">
    <xdr:from>
      <xdr:col>2</xdr:col>
      <xdr:colOff>15240</xdr:colOff>
      <xdr:row>96</xdr:row>
      <xdr:rowOff>7620</xdr:rowOff>
    </xdr:from>
    <xdr:to>
      <xdr:col>14</xdr:col>
      <xdr:colOff>351183</xdr:colOff>
      <xdr:row>103</xdr:row>
      <xdr:rowOff>83938</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234440" y="17564100"/>
          <a:ext cx="7651143" cy="1356478"/>
        </a:xfrm>
        <a:prstGeom prst="rect">
          <a:avLst/>
        </a:prstGeom>
      </xdr:spPr>
    </xdr:pic>
    <xdr:clientData/>
  </xdr:twoCellAnchor>
  <xdr:twoCellAnchor editAs="oneCell">
    <xdr:from>
      <xdr:col>2</xdr:col>
      <xdr:colOff>91440</xdr:colOff>
      <xdr:row>104</xdr:row>
      <xdr:rowOff>167640</xdr:rowOff>
    </xdr:from>
    <xdr:to>
      <xdr:col>17</xdr:col>
      <xdr:colOff>145577</xdr:colOff>
      <xdr:row>129</xdr:row>
      <xdr:rowOff>46106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1310640" y="19187160"/>
          <a:ext cx="9198137" cy="4450466"/>
        </a:xfrm>
        <a:prstGeom prst="rect">
          <a:avLst/>
        </a:prstGeom>
      </xdr:spPr>
    </xdr:pic>
    <xdr:clientData/>
  </xdr:twoCellAnchor>
  <xdr:twoCellAnchor editAs="oneCell">
    <xdr:from>
      <xdr:col>2</xdr:col>
      <xdr:colOff>129540</xdr:colOff>
      <xdr:row>130</xdr:row>
      <xdr:rowOff>83820</xdr:rowOff>
    </xdr:from>
    <xdr:to>
      <xdr:col>13</xdr:col>
      <xdr:colOff>313017</xdr:colOff>
      <xdr:row>162</xdr:row>
      <xdr:rowOff>23362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1348740" y="23858220"/>
          <a:ext cx="6889077" cy="5791702"/>
        </a:xfrm>
        <a:prstGeom prst="rect">
          <a:avLst/>
        </a:prstGeom>
      </xdr:spPr>
    </xdr:pic>
    <xdr:clientData/>
  </xdr:twoCellAnchor>
  <xdr:twoCellAnchor editAs="oneCell">
    <xdr:from>
      <xdr:col>2</xdr:col>
      <xdr:colOff>91440</xdr:colOff>
      <xdr:row>163</xdr:row>
      <xdr:rowOff>160020</xdr:rowOff>
    </xdr:from>
    <xdr:to>
      <xdr:col>14</xdr:col>
      <xdr:colOff>480728</xdr:colOff>
      <xdr:row>171</xdr:row>
      <xdr:rowOff>38216</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1310640" y="29969460"/>
          <a:ext cx="7704488" cy="1341236"/>
        </a:xfrm>
        <a:prstGeom prst="rect">
          <a:avLst/>
        </a:prstGeom>
      </xdr:spPr>
    </xdr:pic>
    <xdr:clientData/>
  </xdr:twoCellAnchor>
  <xdr:twoCellAnchor editAs="oneCell">
    <xdr:from>
      <xdr:col>2</xdr:col>
      <xdr:colOff>114300</xdr:colOff>
      <xdr:row>172</xdr:row>
      <xdr:rowOff>53340</xdr:rowOff>
    </xdr:from>
    <xdr:to>
      <xdr:col>17</xdr:col>
      <xdr:colOff>366574</xdr:colOff>
      <xdr:row>196</xdr:row>
      <xdr:rowOff>38479</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1333500" y="31508700"/>
          <a:ext cx="9396274" cy="4374259"/>
        </a:xfrm>
        <a:prstGeom prst="rect">
          <a:avLst/>
        </a:prstGeom>
      </xdr:spPr>
    </xdr:pic>
    <xdr:clientData/>
  </xdr:twoCellAnchor>
  <xdr:twoCellAnchor editAs="oneCell">
    <xdr:from>
      <xdr:col>2</xdr:col>
      <xdr:colOff>167640</xdr:colOff>
      <xdr:row>197</xdr:row>
      <xdr:rowOff>99060</xdr:rowOff>
    </xdr:from>
    <xdr:to>
      <xdr:col>12</xdr:col>
      <xdr:colOff>511098</xdr:colOff>
      <xdr:row>215</xdr:row>
      <xdr:rowOff>30759</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2"/>
        <a:stretch>
          <a:fillRect/>
        </a:stretch>
      </xdr:blipFill>
      <xdr:spPr>
        <a:xfrm>
          <a:off x="1386840" y="36126420"/>
          <a:ext cx="6439458" cy="3223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400050</xdr:colOff>
      <xdr:row>27</xdr:row>
      <xdr:rowOff>114300</xdr:rowOff>
    </xdr:from>
    <xdr:to>
      <xdr:col>15</xdr:col>
      <xdr:colOff>513650</xdr:colOff>
      <xdr:row>64</xdr:row>
      <xdr:rowOff>27793</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5200650" y="4743450"/>
          <a:ext cx="5600000" cy="6257143"/>
        </a:xfrm>
        <a:prstGeom prst="rect">
          <a:avLst/>
        </a:prstGeom>
      </xdr:spPr>
    </xdr:pic>
    <xdr:clientData/>
  </xdr:twoCellAnchor>
  <xdr:twoCellAnchor editAs="oneCell">
    <xdr:from>
      <xdr:col>2</xdr:col>
      <xdr:colOff>66675</xdr:colOff>
      <xdr:row>26</xdr:row>
      <xdr:rowOff>161925</xdr:rowOff>
    </xdr:from>
    <xdr:to>
      <xdr:col>9</xdr:col>
      <xdr:colOff>675599</xdr:colOff>
      <xdr:row>53</xdr:row>
      <xdr:rowOff>94680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438275" y="4619625"/>
          <a:ext cx="5409524" cy="4561905"/>
        </a:xfrm>
        <a:prstGeom prst="rect">
          <a:avLst/>
        </a:prstGeom>
      </xdr:spPr>
    </xdr:pic>
    <xdr:clientData/>
  </xdr:twoCellAnchor>
  <xdr:twoCellAnchor editAs="oneCell">
    <xdr:from>
      <xdr:col>0</xdr:col>
      <xdr:colOff>0</xdr:colOff>
      <xdr:row>0</xdr:row>
      <xdr:rowOff>0</xdr:rowOff>
    </xdr:from>
    <xdr:to>
      <xdr:col>7</xdr:col>
      <xdr:colOff>532734</xdr:colOff>
      <xdr:row>31</xdr:row>
      <xdr:rowOff>27908</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0"/>
          <a:ext cx="5333334" cy="5342858"/>
        </a:xfrm>
        <a:prstGeom prst="rect">
          <a:avLst/>
        </a:prstGeom>
      </xdr:spPr>
    </xdr:pic>
    <xdr:clientData/>
  </xdr:twoCellAnchor>
  <xdr:twoCellAnchor editAs="oneCell">
    <xdr:from>
      <xdr:col>9</xdr:col>
      <xdr:colOff>304800</xdr:colOff>
      <xdr:row>0</xdr:row>
      <xdr:rowOff>0</xdr:rowOff>
    </xdr:from>
    <xdr:to>
      <xdr:col>17</xdr:col>
      <xdr:colOff>656496</xdr:colOff>
      <xdr:row>31</xdr:row>
      <xdr:rowOff>104098</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6477000" y="0"/>
          <a:ext cx="5838096" cy="54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426720</xdr:colOff>
      <xdr:row>17</xdr:row>
      <xdr:rowOff>114300</xdr:rowOff>
    </xdr:from>
    <xdr:to>
      <xdr:col>5</xdr:col>
      <xdr:colOff>739140</xdr:colOff>
      <xdr:row>44</xdr:row>
      <xdr:rowOff>137160</xdr:rowOff>
    </xdr:to>
    <xdr:pic>
      <xdr:nvPicPr>
        <xdr:cNvPr id="2" name="图片 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 y="2964180"/>
          <a:ext cx="6111240" cy="454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502920</xdr:colOff>
      <xdr:row>33</xdr:row>
      <xdr:rowOff>22860</xdr:rowOff>
    </xdr:from>
    <xdr:to>
      <xdr:col>3</xdr:col>
      <xdr:colOff>30480</xdr:colOff>
      <xdr:row>34</xdr:row>
      <xdr:rowOff>144780</xdr:rowOff>
    </xdr:to>
    <xdr:sp macro="" textlink="">
      <xdr:nvSpPr>
        <xdr:cNvPr id="3" name="文本框 2">
          <a:extLst>
            <a:ext uri="{FF2B5EF4-FFF2-40B4-BE49-F238E27FC236}">
              <a16:creationId xmlns:a16="http://schemas.microsoft.com/office/drawing/2014/main" id="{00000000-0008-0000-3300-000003000000}"/>
            </a:ext>
          </a:extLst>
        </xdr:cNvPr>
        <xdr:cNvSpPr txBox="1"/>
      </xdr:nvSpPr>
      <xdr:spPr>
        <a:xfrm>
          <a:off x="2590800" y="5554980"/>
          <a:ext cx="1059180" cy="289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2018-5.8-3306</a:t>
          </a:r>
        </a:p>
      </xdr:txBody>
    </xdr:sp>
    <xdr:clientData/>
  </xdr:twoCellAnchor>
  <xdr:twoCellAnchor>
    <xdr:from>
      <xdr:col>2</xdr:col>
      <xdr:colOff>754380</xdr:colOff>
      <xdr:row>26</xdr:row>
      <xdr:rowOff>30480</xdr:rowOff>
    </xdr:from>
    <xdr:to>
      <xdr:col>3</xdr:col>
      <xdr:colOff>967740</xdr:colOff>
      <xdr:row>27</xdr:row>
      <xdr:rowOff>91440</xdr:rowOff>
    </xdr:to>
    <xdr:sp macro="" textlink="">
      <xdr:nvSpPr>
        <xdr:cNvPr id="4" name="文本框 4">
          <a:extLst>
            <a:ext uri="{FF2B5EF4-FFF2-40B4-BE49-F238E27FC236}">
              <a16:creationId xmlns:a16="http://schemas.microsoft.com/office/drawing/2014/main" id="{00000000-0008-0000-3300-000004000000}"/>
            </a:ext>
          </a:extLst>
        </xdr:cNvPr>
        <xdr:cNvSpPr txBox="1"/>
      </xdr:nvSpPr>
      <xdr:spPr>
        <a:xfrm>
          <a:off x="3459480" y="4389120"/>
          <a:ext cx="11277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2019-6-3265</a:t>
          </a:r>
        </a:p>
      </xdr:txBody>
    </xdr:sp>
    <xdr:clientData/>
  </xdr:twoCellAnchor>
  <xdr:twoCellAnchor>
    <xdr:from>
      <xdr:col>0</xdr:col>
      <xdr:colOff>1303020</xdr:colOff>
      <xdr:row>31</xdr:row>
      <xdr:rowOff>7620</xdr:rowOff>
    </xdr:from>
    <xdr:to>
      <xdr:col>1</xdr:col>
      <xdr:colOff>351155</xdr:colOff>
      <xdr:row>32</xdr:row>
      <xdr:rowOff>106680</xdr:rowOff>
    </xdr:to>
    <xdr:sp macro="" textlink="">
      <xdr:nvSpPr>
        <xdr:cNvPr id="5" name="文本框 5">
          <a:extLst>
            <a:ext uri="{FF2B5EF4-FFF2-40B4-BE49-F238E27FC236}">
              <a16:creationId xmlns:a16="http://schemas.microsoft.com/office/drawing/2014/main" id="{00000000-0008-0000-3300-000005000000}"/>
            </a:ext>
          </a:extLst>
        </xdr:cNvPr>
        <xdr:cNvSpPr txBox="1"/>
      </xdr:nvSpPr>
      <xdr:spPr>
        <a:xfrm>
          <a:off x="1303020" y="5204460"/>
          <a:ext cx="113601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2019-5.43-3702</a:t>
          </a:r>
        </a:p>
      </xdr:txBody>
    </xdr:sp>
    <xdr:clientData/>
  </xdr:twoCellAnchor>
  <xdr:twoCellAnchor>
    <xdr:from>
      <xdr:col>0</xdr:col>
      <xdr:colOff>1813560</xdr:colOff>
      <xdr:row>26</xdr:row>
      <xdr:rowOff>83820</xdr:rowOff>
    </xdr:from>
    <xdr:to>
      <xdr:col>2</xdr:col>
      <xdr:colOff>312420</xdr:colOff>
      <xdr:row>28</xdr:row>
      <xdr:rowOff>15240</xdr:rowOff>
    </xdr:to>
    <xdr:sp macro="" textlink="">
      <xdr:nvSpPr>
        <xdr:cNvPr id="6" name="文本框 6">
          <a:extLst>
            <a:ext uri="{FF2B5EF4-FFF2-40B4-BE49-F238E27FC236}">
              <a16:creationId xmlns:a16="http://schemas.microsoft.com/office/drawing/2014/main" id="{00000000-0008-0000-3300-000006000000}"/>
            </a:ext>
          </a:extLst>
        </xdr:cNvPr>
        <xdr:cNvSpPr txBox="1"/>
      </xdr:nvSpPr>
      <xdr:spPr>
        <a:xfrm>
          <a:off x="1813560" y="4442460"/>
          <a:ext cx="120396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2019-5.5-4057.44</a:t>
          </a:r>
        </a:p>
      </xdr:txBody>
    </xdr:sp>
    <xdr:clientData/>
  </xdr:twoCellAnchor>
  <xdr:twoCellAnchor>
    <xdr:from>
      <xdr:col>2</xdr:col>
      <xdr:colOff>586740</xdr:colOff>
      <xdr:row>41</xdr:row>
      <xdr:rowOff>45720</xdr:rowOff>
    </xdr:from>
    <xdr:to>
      <xdr:col>3</xdr:col>
      <xdr:colOff>701040</xdr:colOff>
      <xdr:row>42</xdr:row>
      <xdr:rowOff>114300</xdr:rowOff>
    </xdr:to>
    <xdr:sp macro="" textlink="">
      <xdr:nvSpPr>
        <xdr:cNvPr id="7" name="文本框 7">
          <a:extLst>
            <a:ext uri="{FF2B5EF4-FFF2-40B4-BE49-F238E27FC236}">
              <a16:creationId xmlns:a16="http://schemas.microsoft.com/office/drawing/2014/main" id="{00000000-0008-0000-3300-000007000000}"/>
            </a:ext>
          </a:extLst>
        </xdr:cNvPr>
        <xdr:cNvSpPr txBox="1"/>
      </xdr:nvSpPr>
      <xdr:spPr>
        <a:xfrm>
          <a:off x="3291840" y="6918960"/>
          <a:ext cx="102870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2019-4.5-2688</a:t>
          </a:r>
        </a:p>
      </xdr:txBody>
    </xdr:sp>
    <xdr:clientData/>
  </xdr:twoCellAnchor>
  <xdr:twoCellAnchor>
    <xdr:from>
      <xdr:col>2</xdr:col>
      <xdr:colOff>274320</xdr:colOff>
      <xdr:row>23</xdr:row>
      <xdr:rowOff>106680</xdr:rowOff>
    </xdr:from>
    <xdr:to>
      <xdr:col>3</xdr:col>
      <xdr:colOff>601980</xdr:colOff>
      <xdr:row>25</xdr:row>
      <xdr:rowOff>7620</xdr:rowOff>
    </xdr:to>
    <xdr:sp macro="" textlink="">
      <xdr:nvSpPr>
        <xdr:cNvPr id="8" name="文本框 8">
          <a:extLst>
            <a:ext uri="{FF2B5EF4-FFF2-40B4-BE49-F238E27FC236}">
              <a16:creationId xmlns:a16="http://schemas.microsoft.com/office/drawing/2014/main" id="{00000000-0008-0000-3300-000008000000}"/>
            </a:ext>
          </a:extLst>
        </xdr:cNvPr>
        <xdr:cNvSpPr txBox="1"/>
      </xdr:nvSpPr>
      <xdr:spPr>
        <a:xfrm>
          <a:off x="2979420" y="3962400"/>
          <a:ext cx="12420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2020-3.76-7169</a:t>
          </a:r>
        </a:p>
      </xdr:txBody>
    </xdr:sp>
    <xdr:clientData/>
  </xdr:twoCellAnchor>
  <xdr:twoCellAnchor editAs="oneCell">
    <xdr:from>
      <xdr:col>0</xdr:col>
      <xdr:colOff>137160</xdr:colOff>
      <xdr:row>46</xdr:row>
      <xdr:rowOff>121920</xdr:rowOff>
    </xdr:from>
    <xdr:to>
      <xdr:col>11</xdr:col>
      <xdr:colOff>678180</xdr:colOff>
      <xdr:row>82</xdr:row>
      <xdr:rowOff>68580</xdr:rowOff>
    </xdr:to>
    <xdr:pic>
      <xdr:nvPicPr>
        <xdr:cNvPr id="9" name="图片 9">
          <a:extLst>
            <a:ext uri="{FF2B5EF4-FFF2-40B4-BE49-F238E27FC236}">
              <a16:creationId xmlns:a16="http://schemas.microsoft.com/office/drawing/2014/main" id="{00000000-0008-0000-3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7833360"/>
          <a:ext cx="11574780" cy="598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49</xdr:row>
      <xdr:rowOff>0</xdr:rowOff>
    </xdr:from>
    <xdr:to>
      <xdr:col>16</xdr:col>
      <xdr:colOff>480060</xdr:colOff>
      <xdr:row>69</xdr:row>
      <xdr:rowOff>45720</xdr:rowOff>
    </xdr:to>
    <xdr:pic>
      <xdr:nvPicPr>
        <xdr:cNvPr id="10" name="图片 10">
          <a:extLst>
            <a:ext uri="{FF2B5EF4-FFF2-40B4-BE49-F238E27FC236}">
              <a16:creationId xmlns:a16="http://schemas.microsoft.com/office/drawing/2014/main" id="{00000000-0008-0000-3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64340" y="8214360"/>
          <a:ext cx="5516880" cy="339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320040</xdr:colOff>
      <xdr:row>84</xdr:row>
      <xdr:rowOff>106680</xdr:rowOff>
    </xdr:from>
    <xdr:to>
      <xdr:col>10</xdr:col>
      <xdr:colOff>7620</xdr:colOff>
      <xdr:row>121</xdr:row>
      <xdr:rowOff>91440</xdr:rowOff>
    </xdr:to>
    <xdr:pic>
      <xdr:nvPicPr>
        <xdr:cNvPr id="11" name="图片 11">
          <a:extLst>
            <a:ext uri="{FF2B5EF4-FFF2-40B4-BE49-F238E27FC236}">
              <a16:creationId xmlns:a16="http://schemas.microsoft.com/office/drawing/2014/main" id="{00000000-0008-0000-33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0040" y="14188440"/>
          <a:ext cx="9890760" cy="6187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87</xdr:row>
      <xdr:rowOff>0</xdr:rowOff>
    </xdr:from>
    <xdr:to>
      <xdr:col>16</xdr:col>
      <xdr:colOff>480060</xdr:colOff>
      <xdr:row>107</xdr:row>
      <xdr:rowOff>76200</xdr:rowOff>
    </xdr:to>
    <xdr:pic>
      <xdr:nvPicPr>
        <xdr:cNvPr id="12" name="图片 12">
          <a:extLst>
            <a:ext uri="{FF2B5EF4-FFF2-40B4-BE49-F238E27FC236}">
              <a16:creationId xmlns:a16="http://schemas.microsoft.com/office/drawing/2014/main" id="{00000000-0008-0000-33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33760" y="14584680"/>
          <a:ext cx="634746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123</xdr:row>
      <xdr:rowOff>91440</xdr:rowOff>
    </xdr:from>
    <xdr:to>
      <xdr:col>8</xdr:col>
      <xdr:colOff>632460</xdr:colOff>
      <xdr:row>160</xdr:row>
      <xdr:rowOff>144780</xdr:rowOff>
    </xdr:to>
    <xdr:pic>
      <xdr:nvPicPr>
        <xdr:cNvPr id="13" name="图片 13">
          <a:extLst>
            <a:ext uri="{FF2B5EF4-FFF2-40B4-BE49-F238E27FC236}">
              <a16:creationId xmlns:a16="http://schemas.microsoft.com/office/drawing/2014/main" id="{00000000-0008-0000-33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9560" y="20711160"/>
          <a:ext cx="9144000" cy="625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126</xdr:row>
      <xdr:rowOff>0</xdr:rowOff>
    </xdr:from>
    <xdr:to>
      <xdr:col>15</xdr:col>
      <xdr:colOff>617220</xdr:colOff>
      <xdr:row>146</xdr:row>
      <xdr:rowOff>91440</xdr:rowOff>
    </xdr:to>
    <xdr:pic>
      <xdr:nvPicPr>
        <xdr:cNvPr id="14" name="图片 14">
          <a:extLst>
            <a:ext uri="{FF2B5EF4-FFF2-40B4-BE49-F238E27FC236}">
              <a16:creationId xmlns:a16="http://schemas.microsoft.com/office/drawing/2014/main" id="{00000000-0008-0000-33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03180" y="21122640"/>
          <a:ext cx="5006340" cy="3444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162</xdr:row>
      <xdr:rowOff>106680</xdr:rowOff>
    </xdr:from>
    <xdr:to>
      <xdr:col>9</xdr:col>
      <xdr:colOff>586740</xdr:colOff>
      <xdr:row>201</xdr:row>
      <xdr:rowOff>91440</xdr:rowOff>
    </xdr:to>
    <xdr:pic>
      <xdr:nvPicPr>
        <xdr:cNvPr id="15" name="图片 15">
          <a:extLst>
            <a:ext uri="{FF2B5EF4-FFF2-40B4-BE49-F238E27FC236}">
              <a16:creationId xmlns:a16="http://schemas.microsoft.com/office/drawing/2014/main" id="{00000000-0008-0000-33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27264360"/>
          <a:ext cx="9944100" cy="652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166</xdr:row>
      <xdr:rowOff>0</xdr:rowOff>
    </xdr:from>
    <xdr:to>
      <xdr:col>19</xdr:col>
      <xdr:colOff>83820</xdr:colOff>
      <xdr:row>187</xdr:row>
      <xdr:rowOff>15240</xdr:rowOff>
    </xdr:to>
    <xdr:pic>
      <xdr:nvPicPr>
        <xdr:cNvPr id="16" name="图片 16">
          <a:extLst>
            <a:ext uri="{FF2B5EF4-FFF2-40B4-BE49-F238E27FC236}">
              <a16:creationId xmlns:a16="http://schemas.microsoft.com/office/drawing/2014/main" id="{00000000-0008-0000-3300-00001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33760" y="27828240"/>
          <a:ext cx="7787640" cy="353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 ca="1">'预评函-封皮'!B46</f>
        <v>王鹏（注册号：1120050019)、郑燚（注册号：1120070131)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估价对象为房地产，为所有。根据《国有土地使用证》[]，估价对象（分摊）出让国有建设用地使用权面积为2782.06平方米，建筑面积为23006.27平方米。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估价对象为房地产,属开发建设的，该项目尚在开发建设中。根据《国有土地使用证》[]，估价对象（分摊）出让国有建设用地使用权面积为2782.06平方米，规划建筑面积为23006.27平方米。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27651</v>
      </c>
    </row>
    <row r="21" spans="1:2" s="1362" customFormat="1">
      <c r="A21" s="1360" t="s">
        <v>1202</v>
      </c>
      <c r="B21" s="1361">
        <f ca="1">'预评函-2'!D7</f>
        <v>18292</v>
      </c>
    </row>
    <row r="22" spans="1:2" s="1362" customFormat="1">
      <c r="A22" s="1360" t="s">
        <v>1203</v>
      </c>
      <c r="B22" s="1361" t="str">
        <f ca="1">'预评函-2'!D6</f>
        <v>贰亿柒仟陆佰伍拾壹万元整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27651</v>
      </c>
    </row>
    <row r="31" spans="1:2" s="1362" customFormat="1">
      <c r="A31" s="1360" t="s">
        <v>1241</v>
      </c>
      <c r="B31" s="1361">
        <f ca="1">'预评函-2'!D15</f>
        <v>12019</v>
      </c>
    </row>
    <row r="32" spans="1:2" s="1362" customFormat="1">
      <c r="A32" s="1360" t="s">
        <v>1208</v>
      </c>
      <c r="B32" s="1361" t="str">
        <f ca="1">'预评函-2'!D14</f>
        <v>贰亿柒仟陆佰伍拾壹万元整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23006.27</v>
      </c>
    </row>
    <row r="44" spans="1:2" s="1362" customFormat="1">
      <c r="A44" s="1360" t="s">
        <v>1240</v>
      </c>
      <c r="B44" s="1361" t="str">
        <f>'预评函-3'!C2</f>
        <v>(分摊)土地面积</v>
      </c>
    </row>
    <row r="45" spans="1:2" s="1362" customFormat="1">
      <c r="A45" s="1360" t="s">
        <v>1212</v>
      </c>
      <c r="B45" s="1361">
        <f>'预评函-3'!C4</f>
        <v>2782.06</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王鹏</v>
      </c>
    </row>
    <row r="71" spans="1:2">
      <c r="A71" s="1360" t="s">
        <v>1228</v>
      </c>
      <c r="B71" s="1361">
        <f ca="1">'预评函-4'!B4</f>
        <v>1120050019</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3040</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5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38" t="s">
        <v>832</v>
      </c>
      <c r="C54" s="1735" t="s">
        <v>1248</v>
      </c>
    </row>
    <row r="55" spans="1:4">
      <c r="A55" s="3157"/>
      <c r="B55" s="1738" t="s">
        <v>833</v>
      </c>
      <c r="C55" s="1735" t="s">
        <v>1249</v>
      </c>
    </row>
    <row r="56" spans="1:4">
      <c r="A56" s="3157"/>
      <c r="B56" s="1738" t="s">
        <v>834</v>
      </c>
      <c r="C56" s="1735" t="s">
        <v>1253</v>
      </c>
    </row>
    <row r="57" spans="1:4">
      <c r="A57" s="315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13" sqref="G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2915</v>
      </c>
      <c r="B1" s="3158" t="str">
        <f>IF(B10="北京市","北京市",C10)&amp;F10&amp;IF(结果表!G1="在建","出让国有建设用地使用权及在建建筑物",IF(结果表!G1="土地","出让国有建设用地使用权",))&amp;B9&amp;"预评估"</f>
        <v>房地产抵押价值预评估</v>
      </c>
      <c r="C1" s="3159"/>
      <c r="D1" s="3159"/>
      <c r="E1" s="3159"/>
      <c r="F1" s="3159"/>
      <c r="G1" s="3159"/>
      <c r="H1" s="3159"/>
      <c r="I1" s="3160"/>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2916</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6" t="s">
        <v>2917</v>
      </c>
      <c r="B3" s="2596">
        <v>44131</v>
      </c>
      <c r="C3" s="2597" t="s">
        <v>2918</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2919</v>
      </c>
      <c r="B4" s="2598" t="s">
        <v>3390</v>
      </c>
      <c r="C4" s="2599">
        <f ca="1">SUMIF(注册房地产估价师,B4,估价师及机构信息!B3:B24)</f>
        <v>1120050019</v>
      </c>
      <c r="D4" s="2598" t="s">
        <v>3391</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王鹏（注册号：1120050019)、郑燚（注册号：1120070131)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2920</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2921</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2922</v>
      </c>
      <c r="B7" s="2610"/>
      <c r="C7" s="2608"/>
      <c r="D7" s="2609"/>
      <c r="E7" s="2888"/>
      <c r="F7" s="2890"/>
      <c r="G7" s="2890"/>
      <c r="H7" s="2890"/>
      <c r="I7" s="2890"/>
      <c r="J7" s="2664"/>
      <c r="K7" s="2841"/>
      <c r="L7" s="2838"/>
      <c r="M7" s="2838"/>
      <c r="N7" s="2664"/>
      <c r="O7" s="2675"/>
      <c r="P7" s="2664"/>
      <c r="Q7" s="2664"/>
      <c r="R7" s="2664"/>
    </row>
    <row r="8" spans="1:28">
      <c r="A8" s="2611" t="s">
        <v>2923</v>
      </c>
      <c r="B8" s="2612" t="s">
        <v>3062</v>
      </c>
      <c r="C8" s="2613"/>
      <c r="D8" s="3161" t="s">
        <v>2924</v>
      </c>
      <c r="E8" s="2614" t="s">
        <v>3063</v>
      </c>
      <c r="F8" s="2615"/>
      <c r="G8" s="2889"/>
      <c r="H8" s="2889"/>
      <c r="I8" s="2889"/>
      <c r="J8" s="2664"/>
      <c r="K8" s="2839"/>
      <c r="L8" s="2838"/>
      <c r="M8" s="2838"/>
      <c r="N8" s="2664"/>
      <c r="O8" s="2675"/>
      <c r="P8" s="2664"/>
      <c r="Q8" s="2664"/>
      <c r="R8" s="2664"/>
    </row>
    <row r="9" spans="1:28" ht="13.5" thickBot="1">
      <c r="A9" s="2616" t="s">
        <v>2925</v>
      </c>
      <c r="B9" s="2617" t="s">
        <v>3063</v>
      </c>
      <c r="C9" s="2618"/>
      <c r="D9" s="3162"/>
      <c r="E9" s="2617"/>
      <c r="F9" s="2619"/>
      <c r="G9" s="2891"/>
      <c r="H9" s="2891"/>
      <c r="I9" s="2891"/>
      <c r="J9" s="2664"/>
      <c r="K9" s="2841"/>
      <c r="L9" s="2838"/>
      <c r="M9" s="2838"/>
      <c r="N9" s="2664"/>
      <c r="O9" s="2675"/>
      <c r="P9" s="2664"/>
      <c r="Q9" s="2664"/>
      <c r="R9" s="2664"/>
    </row>
    <row r="10" spans="1:28" ht="13.5" thickTop="1">
      <c r="A10" s="2620" t="s">
        <v>2926</v>
      </c>
      <c r="B10" s="2621" t="s">
        <v>3064</v>
      </c>
      <c r="C10" s="2622"/>
      <c r="D10" s="2605"/>
      <c r="E10" s="2623" t="s">
        <v>2927</v>
      </c>
      <c r="F10" s="2892"/>
      <c r="G10" s="2893"/>
      <c r="H10" s="2894"/>
      <c r="I10" s="2895"/>
      <c r="J10" s="2664"/>
      <c r="K10" s="2841"/>
      <c r="L10" s="2838"/>
      <c r="M10" s="2838"/>
      <c r="N10" s="2664"/>
      <c r="O10" s="2675"/>
      <c r="P10" s="2664"/>
      <c r="Q10" s="2664"/>
      <c r="R10" s="2664"/>
    </row>
    <row r="11" spans="1:28">
      <c r="A11" s="2624" t="s">
        <v>2928</v>
      </c>
      <c r="B11" s="2625" t="s">
        <v>3065</v>
      </c>
      <c r="C11" s="2626"/>
      <c r="D11" s="2627"/>
      <c r="E11" s="2593"/>
      <c r="F11" s="2593"/>
      <c r="G11" s="2593"/>
      <c r="H11" s="2593"/>
      <c r="I11" s="2593"/>
      <c r="J11" s="2664"/>
      <c r="K11" s="2841"/>
      <c r="L11" s="2838"/>
      <c r="M11" s="2838"/>
      <c r="N11" s="2664"/>
      <c r="O11" s="2675"/>
      <c r="P11" s="2664"/>
      <c r="Q11" s="2664"/>
      <c r="R11" s="2664"/>
    </row>
    <row r="12" spans="1:28">
      <c r="A12" s="2628" t="s">
        <v>2929</v>
      </c>
      <c r="B12" s="2625" t="s">
        <v>3066</v>
      </c>
      <c r="C12" s="327" t="s">
        <v>2930</v>
      </c>
      <c r="D12" s="2629" t="s">
        <v>2931</v>
      </c>
      <c r="E12" s="2629" t="s">
        <v>2932</v>
      </c>
      <c r="F12" s="2629" t="s">
        <v>2933</v>
      </c>
      <c r="G12" s="2629" t="s">
        <v>2934</v>
      </c>
      <c r="H12" s="2629" t="s">
        <v>2935</v>
      </c>
      <c r="I12" s="2629" t="s">
        <v>2936</v>
      </c>
      <c r="J12" s="2664"/>
      <c r="K12" s="2841"/>
      <c r="L12" s="2838"/>
      <c r="M12" s="2838"/>
      <c r="N12" s="2664"/>
      <c r="O12" s="2675"/>
      <c r="P12" s="2664"/>
      <c r="Q12" s="2664"/>
      <c r="R12" s="2664"/>
    </row>
    <row r="13" spans="1:28">
      <c r="A13" s="1238"/>
      <c r="B13" s="2630"/>
      <c r="C13" s="2631" t="s">
        <v>2937</v>
      </c>
      <c r="D13" s="962"/>
      <c r="E13" s="3042">
        <v>56856</v>
      </c>
      <c r="F13" s="962"/>
      <c r="G13" s="962">
        <v>56856</v>
      </c>
      <c r="H13" s="962"/>
      <c r="I13" s="962"/>
      <c r="J13" s="2664"/>
      <c r="K13" s="2841"/>
      <c r="L13" s="2838"/>
      <c r="M13" s="2838"/>
      <c r="N13" s="2664"/>
      <c r="O13" s="2675"/>
      <c r="P13" s="2664"/>
      <c r="Q13" s="2664"/>
      <c r="R13" s="2664"/>
    </row>
    <row r="14" spans="1:28">
      <c r="A14" s="1238"/>
      <c r="B14" s="2630"/>
      <c r="C14" s="2631" t="s">
        <v>2938</v>
      </c>
      <c r="D14" s="2632"/>
      <c r="E14" s="2632">
        <v>40</v>
      </c>
      <c r="F14" s="2632"/>
      <c r="G14" s="2632">
        <v>40</v>
      </c>
      <c r="H14" s="2632"/>
      <c r="I14" s="2632"/>
      <c r="J14" s="2664"/>
      <c r="K14" s="2842"/>
      <c r="L14" s="2838"/>
      <c r="M14" s="2838"/>
      <c r="N14" s="2664"/>
      <c r="O14" s="2675"/>
      <c r="P14" s="2664"/>
      <c r="Q14" s="2664"/>
      <c r="R14" s="2664"/>
    </row>
    <row r="15" spans="1:28">
      <c r="A15" s="324"/>
      <c r="B15" s="2633"/>
      <c r="C15" s="2634" t="s">
        <v>2939</v>
      </c>
      <c r="D15" s="2635" t="str">
        <f>IF(B12="出让",IF(D13="","",ROUNDDOWN(MIN((D13-$D$3)/365,D14),2)),D14)</f>
        <v/>
      </c>
      <c r="E15" s="2635">
        <f>IF(B12="出让",IF(E13="","",ROUNDDOWN(MIN((E13-$D$3)/365,E14),2)),E14)</f>
        <v>34.86</v>
      </c>
      <c r="F15" s="2635" t="str">
        <f>IF(B12="出让",IF(F13="","",ROUNDDOWN(MIN((F13-$D$3)/365,F14),2)),F14)</f>
        <v/>
      </c>
      <c r="G15" s="2635">
        <f>IF(B12="出让",IF(G13="","",ROUNDDOWN(MIN((G13-$D$3)/365,G14),2)),G14)</f>
        <v>34.86</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2940</v>
      </c>
      <c r="B16" s="3168"/>
      <c r="C16" s="3169"/>
      <c r="D16" s="3170"/>
      <c r="E16" s="2638" t="s">
        <v>2941</v>
      </c>
      <c r="F16" s="3171"/>
      <c r="G16" s="3172"/>
      <c r="H16" s="3172"/>
      <c r="I16" s="3173"/>
      <c r="J16" s="2664"/>
      <c r="K16" s="2843"/>
      <c r="L16" s="2676"/>
      <c r="M16" s="2676"/>
      <c r="N16" s="2734"/>
      <c r="O16" s="2676"/>
      <c r="P16" s="2734"/>
      <c r="Q16" s="2664"/>
      <c r="R16" s="2664"/>
    </row>
    <row r="17" spans="1:28">
      <c r="A17" s="317" t="s">
        <v>2942</v>
      </c>
      <c r="B17" s="306" t="s">
        <v>2943</v>
      </c>
      <c r="C17" s="11">
        <f>'数据-汇总表'!E3</f>
        <v>23006.27</v>
      </c>
      <c r="D17" s="2544" t="s">
        <v>2944</v>
      </c>
      <c r="E17" s="3174" t="s">
        <v>2945</v>
      </c>
      <c r="F17" s="3175"/>
      <c r="G17" s="3175"/>
      <c r="H17" s="3175"/>
      <c r="I17" s="3176"/>
      <c r="J17" s="2664"/>
      <c r="K17" s="2844"/>
      <c r="L17" s="2676"/>
      <c r="M17" s="2676"/>
      <c r="N17" s="2734"/>
      <c r="O17" s="2676"/>
      <c r="P17" s="2734"/>
      <c r="Q17" s="2664"/>
      <c r="R17" s="2664"/>
      <c r="S17" s="2664"/>
      <c r="T17" s="2664"/>
      <c r="U17" s="2664"/>
      <c r="V17" s="2664"/>
    </row>
    <row r="18" spans="1:28" ht="24.75" thickBot="1">
      <c r="A18" s="2639" t="s">
        <v>2946</v>
      </c>
      <c r="B18" s="1247" t="s">
        <v>2947</v>
      </c>
      <c r="C18" s="2640">
        <f>'数据-汇总表'!D3</f>
        <v>2782.06</v>
      </c>
      <c r="D18" s="1249" t="s">
        <v>2948</v>
      </c>
      <c r="E18" s="3177" t="s">
        <v>2949</v>
      </c>
      <c r="F18" s="3178"/>
      <c r="G18" s="3178"/>
      <c r="H18" s="3178"/>
      <c r="I18" s="3179"/>
      <c r="J18" s="2664"/>
      <c r="K18" s="2844"/>
      <c r="L18" s="2676"/>
      <c r="M18" s="2676"/>
      <c r="N18" s="2734"/>
      <c r="O18" s="2676"/>
      <c r="P18" s="2734"/>
      <c r="Q18" s="2664"/>
      <c r="R18" s="2664"/>
      <c r="S18" s="2664"/>
      <c r="T18" s="2664"/>
      <c r="U18" s="2664"/>
      <c r="V18" s="2664"/>
    </row>
    <row r="19" spans="1:28" ht="37.5" thickTop="1" thickBot="1">
      <c r="A19" s="331" t="s">
        <v>1741</v>
      </c>
      <c r="B19" s="311" t="s">
        <v>2950</v>
      </c>
      <c r="C19" s="1747"/>
      <c r="D19" s="1748" t="s">
        <v>2951</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2952</v>
      </c>
      <c r="B20" s="3164" t="s">
        <v>2953</v>
      </c>
      <c r="C20" s="3165"/>
      <c r="D20" s="3166" t="s">
        <v>2954</v>
      </c>
      <c r="E20" s="3167"/>
      <c r="F20" s="2873" t="s">
        <v>1742</v>
      </c>
      <c r="G20" s="2890"/>
      <c r="H20" s="2890"/>
      <c r="I20" s="2890"/>
      <c r="J20" s="2664"/>
      <c r="K20" s="3163" t="s">
        <v>2955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2956</v>
      </c>
      <c r="C21" s="2860" t="s">
        <v>1743</v>
      </c>
      <c r="D21" s="1752" t="s">
        <v>2957</v>
      </c>
      <c r="E21" s="2861" t="s">
        <v>1743</v>
      </c>
      <c r="F21" s="2874"/>
      <c r="G21" s="2890"/>
      <c r="H21" s="2890"/>
      <c r="I21" s="2890"/>
      <c r="J21" s="2664"/>
      <c r="K21" s="316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2958</v>
      </c>
      <c r="C22" s="2860" t="s">
        <v>1744</v>
      </c>
      <c r="D22" s="2889"/>
      <c r="E22" s="2889"/>
      <c r="F22" s="2889"/>
      <c r="G22" s="2890"/>
      <c r="H22" s="2890"/>
      <c r="I22" s="2890"/>
      <c r="J22" s="2664"/>
      <c r="K22" s="316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2959</v>
      </c>
      <c r="B23" s="2727" t="s">
        <v>2960</v>
      </c>
      <c r="C23" s="2864"/>
      <c r="D23" s="2865" t="s">
        <v>2960</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81" t="s">
        <v>2961</v>
      </c>
      <c r="B27" s="324" t="s">
        <v>2962</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81"/>
      <c r="B28" s="306" t="s">
        <v>2963</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81"/>
      <c r="B29" s="306" t="s">
        <v>2964</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82"/>
      <c r="B30" s="306" t="s">
        <v>2965</v>
      </c>
      <c r="C30" s="3183"/>
      <c r="D30" s="3184"/>
      <c r="E30" s="2890"/>
      <c r="F30" s="2890"/>
      <c r="G30" s="2890"/>
      <c r="H30" s="2890"/>
      <c r="I30" s="2890"/>
      <c r="J30" s="2664"/>
      <c r="K30" s="2841"/>
      <c r="L30" s="2838"/>
      <c r="M30" s="2838"/>
      <c r="N30" s="2664"/>
      <c r="O30" s="2675"/>
      <c r="P30" s="2664"/>
      <c r="Q30" s="2664"/>
      <c r="R30" s="2664"/>
      <c r="S30" s="2664"/>
      <c r="T30" s="2664"/>
      <c r="U30" s="2664"/>
      <c r="V30" s="2664"/>
    </row>
    <row r="31" spans="1:28">
      <c r="A31" s="3185" t="s">
        <v>2966</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86"/>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86"/>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6" t="s">
        <v>2967</v>
      </c>
      <c r="B34" s="2213"/>
      <c r="C34" s="2213"/>
      <c r="D34" s="2213"/>
      <c r="E34" s="2213"/>
      <c r="F34" s="2213"/>
      <c r="G34" s="2213"/>
      <c r="H34" s="2213"/>
      <c r="I34" s="2890"/>
      <c r="J34" s="2664"/>
      <c r="K34" s="2652">
        <f>COUNTIF(B34:H34,"——")</f>
        <v>0</v>
      </c>
      <c r="L34" s="327" t="s">
        <v>2968</v>
      </c>
      <c r="M34" s="327" t="s">
        <v>2969</v>
      </c>
      <c r="N34" s="327" t="s">
        <v>2970</v>
      </c>
      <c r="O34" s="327" t="s">
        <v>2971</v>
      </c>
      <c r="P34" s="327" t="s">
        <v>2972</v>
      </c>
      <c r="Q34" s="327" t="s">
        <v>2973</v>
      </c>
      <c r="R34" s="327" t="s">
        <v>2974</v>
      </c>
      <c r="S34" s="3180" t="s">
        <v>2975</v>
      </c>
      <c r="T34" s="2653" t="str">
        <f>NUMBERSTRING(7-K34,1)&amp;"通"</f>
        <v>七通</v>
      </c>
      <c r="U34" s="2664"/>
      <c r="V34" s="2664"/>
    </row>
    <row r="35" spans="1:30">
      <c r="A35" s="2654"/>
      <c r="B35" s="3187" t="s">
        <v>2976</v>
      </c>
      <c r="C35" s="3187"/>
      <c r="D35" s="3187"/>
      <c r="E35" s="3187"/>
      <c r="F35" s="670">
        <f>C10</f>
        <v>0</v>
      </c>
      <c r="G35" s="2890"/>
      <c r="H35" s="2890"/>
      <c r="I35" s="2890"/>
      <c r="J35" s="2664"/>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80"/>
      <c r="T35" s="333" t="str">
        <f>IF(T34="一通",L35,IF(T34="二通",M35,IF(T34="三通",N35,IF(T34="四通",O35,IF(T34="五通",P35,IF(T34="六通",Q35,R35))))))</f>
        <v>、、、、、、</v>
      </c>
      <c r="U35" s="2664"/>
      <c r="V35" s="2664"/>
    </row>
    <row r="36" spans="1:30">
      <c r="A36" s="2655"/>
      <c r="B36" s="670" t="s">
        <v>2932</v>
      </c>
      <c r="C36" s="670" t="s">
        <v>2933</v>
      </c>
      <c r="D36" s="670" t="s">
        <v>2931</v>
      </c>
      <c r="E36" s="670" t="s">
        <v>2936</v>
      </c>
      <c r="F36" s="2896"/>
      <c r="G36" s="2890"/>
      <c r="H36" s="2890"/>
      <c r="I36" s="2890"/>
      <c r="J36" s="2664"/>
      <c r="K36" s="2841"/>
      <c r="L36" s="2838"/>
      <c r="M36" s="2838"/>
      <c r="N36" s="2664"/>
      <c r="O36" s="2675"/>
      <c r="P36" s="2664"/>
      <c r="Q36" s="2664"/>
      <c r="R36" s="2664"/>
      <c r="S36" s="2664"/>
      <c r="T36" s="2664"/>
      <c r="U36" s="2664"/>
      <c r="V36" s="2664"/>
    </row>
    <row r="37" spans="1:30">
      <c r="A37" s="2856" t="s">
        <v>2977</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2978</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2979</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2980</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7" t="s">
        <v>2981</v>
      </c>
      <c r="B42" s="11" t="s">
        <v>2982</v>
      </c>
      <c r="C42" s="11" t="s">
        <v>2983</v>
      </c>
      <c r="D42" s="11" t="s">
        <v>2984</v>
      </c>
      <c r="E42" s="11" t="s">
        <v>2985</v>
      </c>
      <c r="F42" s="11" t="s">
        <v>2986</v>
      </c>
      <c r="G42" s="11" t="s">
        <v>2987</v>
      </c>
      <c r="H42" s="11" t="s">
        <v>2988</v>
      </c>
      <c r="I42" s="11" t="s">
        <v>2989</v>
      </c>
      <c r="J42" s="2852" t="s">
        <v>2990</v>
      </c>
      <c r="K42" s="2853" t="s">
        <v>2991</v>
      </c>
      <c r="L42" s="2853" t="s">
        <v>2992</v>
      </c>
      <c r="M42" s="2853" t="s">
        <v>2993</v>
      </c>
      <c r="N42" s="2846" t="s">
        <v>2994</v>
      </c>
      <c r="O42" s="2846" t="s">
        <v>2995</v>
      </c>
      <c r="P42" s="2846" t="s">
        <v>2996</v>
      </c>
      <c r="Q42" s="2847" t="s">
        <v>2997</v>
      </c>
      <c r="R42" s="2847" t="s">
        <v>2998</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面积表!E12</f>
        <v>2782.06</v>
      </c>
      <c r="B3" s="14">
        <f>IF(C3="否",G5-AT5,G5)</f>
        <v>23006.27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23006.27</v>
      </c>
      <c r="H5" s="16">
        <f t="shared" ref="H5:AT5" si="0">SUM(H13:H656)</f>
        <v>23006.27</v>
      </c>
      <c r="I5" s="16">
        <f t="shared" si="0"/>
        <v>15116.56</v>
      </c>
      <c r="J5" s="16">
        <f t="shared" si="0"/>
        <v>0</v>
      </c>
      <c r="K5" s="16">
        <f t="shared" si="0"/>
        <v>7889.71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23006.27</v>
      </c>
      <c r="BA5" s="18">
        <f t="shared" si="1"/>
        <v>23006.27</v>
      </c>
      <c r="BB5" s="18">
        <f t="shared" si="1"/>
        <v>15116.56</v>
      </c>
      <c r="BC5" s="18">
        <f t="shared" si="1"/>
        <v>7889.71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2782.06</v>
      </c>
      <c r="F6" s="16" t="s">
        <v>1</v>
      </c>
      <c r="G6" s="16" t="s">
        <v>2</v>
      </c>
      <c r="H6" s="20">
        <f>SUMIF(I$12:AB$12,"总值",I6:AB6)</f>
        <v>2782.06</v>
      </c>
      <c r="I6" s="16">
        <f t="shared" ref="I6:AB6" si="2">ROUND($A$3*I5/$B$3,2)</f>
        <v>1827.99</v>
      </c>
      <c r="J6" s="16">
        <f t="shared" si="2"/>
        <v>0</v>
      </c>
      <c r="K6" s="16">
        <f t="shared" si="2"/>
        <v>954.07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2782.06</v>
      </c>
      <c r="AZ6" s="16" t="s">
        <v>3</v>
      </c>
      <c r="BA6" s="16">
        <f>ROUND($AY$6*BA5/$AZ$5,2)</f>
        <v>2782.06</v>
      </c>
      <c r="BB6" s="16">
        <f>ROUND($AY$6*BB5/$AZ$5,2)</f>
        <v>1827.99</v>
      </c>
      <c r="BC6" s="16">
        <f t="shared" ref="BC6:BH6" si="4">ROUND($AY$6*BC5/$AZ$5,2)</f>
        <v>954.07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1777</v>
      </c>
      <c r="I9" s="1787" t="s">
        <v>3081</v>
      </c>
      <c r="J9" s="915"/>
      <c r="K9" s="1787" t="s">
        <v>3083</v>
      </c>
      <c r="L9" s="915"/>
      <c r="M9" s="1787"/>
      <c r="N9" s="915"/>
      <c r="O9" s="1787"/>
      <c r="P9" s="915"/>
      <c r="Q9" s="1787"/>
      <c r="R9" s="915"/>
      <c r="S9" s="1787"/>
      <c r="T9" s="915"/>
      <c r="U9" s="1787"/>
      <c r="V9" s="915"/>
      <c r="W9" s="1787"/>
      <c r="X9" s="1788"/>
      <c r="Y9" s="1787"/>
      <c r="Z9" s="915"/>
      <c r="AA9" s="1787"/>
      <c r="AB9" s="915"/>
      <c r="AC9" s="1779"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9"/>
      <c r="AT9" s="1778"/>
      <c r="AU9" s="1778" t="s">
        <v>1780</v>
      </c>
      <c r="AV9" s="1199"/>
      <c r="AW9" s="1761"/>
      <c r="AX9" s="1199"/>
      <c r="AY9" s="28"/>
      <c r="AZ9" s="28" t="s">
        <v>1770</v>
      </c>
      <c r="BA9" s="1790" t="s">
        <v>1781</v>
      </c>
      <c r="BB9" s="1791"/>
      <c r="BC9" s="1245"/>
      <c r="BD9" s="1245"/>
      <c r="BE9" s="1245"/>
      <c r="BF9" s="1245"/>
      <c r="BG9" s="1245"/>
      <c r="BH9" s="1245"/>
      <c r="BI9" s="1245"/>
      <c r="BJ9" s="1245"/>
      <c r="BK9" s="1792"/>
      <c r="BL9" s="15" t="s">
        <v>1782</v>
      </c>
      <c r="BM9" s="1543"/>
      <c r="BN9" s="1781"/>
      <c r="BO9" s="1543"/>
      <c r="BP9" s="1543"/>
      <c r="BQ9" s="1543"/>
      <c r="BR9" s="1543"/>
      <c r="BS9" s="1543"/>
      <c r="BT9" s="26"/>
    </row>
    <row r="10" spans="1:72" s="1785" customFormat="1" ht="12.75">
      <c r="A10" s="1778"/>
      <c r="B10" s="1778"/>
      <c r="C10" s="1778"/>
      <c r="D10" s="1778"/>
      <c r="E10" s="1778"/>
      <c r="F10" s="1778"/>
      <c r="G10" s="1199"/>
      <c r="H10" s="28"/>
      <c r="I10" s="1787" t="s">
        <v>1343</v>
      </c>
      <c r="J10" s="915"/>
      <c r="K10" s="1793" t="s">
        <v>3184</v>
      </c>
      <c r="L10" s="915"/>
      <c r="M10" s="1793"/>
      <c r="N10" s="915"/>
      <c r="O10" s="1793"/>
      <c r="P10" s="915"/>
      <c r="Q10" s="1793"/>
      <c r="R10" s="915"/>
      <c r="S10" s="1793"/>
      <c r="T10" s="915"/>
      <c r="U10" s="1793"/>
      <c r="V10" s="915"/>
      <c r="W10" s="1793"/>
      <c r="X10" s="915"/>
      <c r="Y10" s="1793"/>
      <c r="Z10" s="915"/>
      <c r="AA10" s="1793"/>
      <c r="AB10" s="915"/>
      <c r="AC10" s="1199"/>
      <c r="AD10" s="15" t="s">
        <v>1783</v>
      </c>
      <c r="AE10" s="1794"/>
      <c r="AF10" s="15" t="s">
        <v>1783</v>
      </c>
      <c r="AG10" s="1794"/>
      <c r="AH10" s="15" t="s">
        <v>1784</v>
      </c>
      <c r="AI10" s="1794"/>
      <c r="AJ10" s="15" t="s">
        <v>1784</v>
      </c>
      <c r="AK10" s="1794"/>
      <c r="AL10" s="15" t="s">
        <v>1785</v>
      </c>
      <c r="AM10" s="1205"/>
      <c r="AN10" s="15" t="s">
        <v>1785</v>
      </c>
      <c r="AO10" s="1205"/>
      <c r="AP10" s="15" t="s">
        <v>1786</v>
      </c>
      <c r="AQ10" s="1205"/>
      <c r="AR10" s="15" t="s">
        <v>1786</v>
      </c>
      <c r="AS10" s="1205"/>
      <c r="AT10" s="1778"/>
      <c r="AU10" s="1778"/>
      <c r="AV10" s="1199"/>
      <c r="AW10" s="1761"/>
      <c r="AX10" s="1199"/>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8"/>
      <c r="AZ11" s="28"/>
      <c r="BA11" s="28"/>
      <c r="BB11" s="1783" t="str">
        <f>I10</f>
        <v>商业</v>
      </c>
      <c r="BC11" s="1783" t="str">
        <f>K10</f>
        <v>车库—商业</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3082</v>
      </c>
      <c r="E13" s="16">
        <f>IF($C$3="是",ROUND($A$3*G13/$B$3,2),ROUND($A$3*(G13-AT13)/$B$3,2))</f>
        <v>2782.06</v>
      </c>
      <c r="F13" s="32"/>
      <c r="G13" s="33">
        <f>H13+AC13+AT13</f>
        <v>23006.27</v>
      </c>
      <c r="H13" s="20">
        <f>SUMIF(I$12:AB$12,"总值",I13:AB13)</f>
        <v>23006.27</v>
      </c>
      <c r="I13" s="1810">
        <f>面积表!E10</f>
        <v>15116.56</v>
      </c>
      <c r="J13" s="1810"/>
      <c r="K13" s="1810">
        <f>面积表!E4</f>
        <v>7889.71</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2782.06</v>
      </c>
      <c r="AZ13" s="16">
        <f>BA13+BL13</f>
        <v>23006.27</v>
      </c>
      <c r="BA13" s="16">
        <f>SUM(BB13:BK13)</f>
        <v>23006.27</v>
      </c>
      <c r="BB13" s="16">
        <f>IF($D13="是",I13-J13,0)</f>
        <v>15116.56</v>
      </c>
      <c r="BC13" s="16">
        <f>IF($D13="是",K13-L13,0)</f>
        <v>7889.71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4:G12"/>
  <sheetViews>
    <sheetView workbookViewId="0">
      <selection activeCell="G4" sqref="G4"/>
    </sheetView>
  </sheetViews>
  <sheetFormatPr defaultRowHeight="13.5"/>
  <cols>
    <col min="4" max="4" width="14.25" customWidth="1"/>
    <col min="5" max="5" width="11.75" customWidth="1"/>
  </cols>
  <sheetData>
    <row r="4" spans="4:7">
      <c r="D4" s="3045" t="s">
        <v>3075</v>
      </c>
      <c r="E4">
        <v>7889.71</v>
      </c>
      <c r="F4" s="3045" t="s">
        <v>3076</v>
      </c>
      <c r="G4">
        <v>194</v>
      </c>
    </row>
    <row r="5" spans="4:7">
      <c r="D5" s="3045" t="s">
        <v>3072</v>
      </c>
      <c r="E5">
        <v>5303.27</v>
      </c>
    </row>
    <row r="6" spans="4:7">
      <c r="D6" s="3045" t="s">
        <v>3073</v>
      </c>
      <c r="E6">
        <v>5310.54</v>
      </c>
    </row>
    <row r="7" spans="4:7">
      <c r="D7" s="3045" t="s">
        <v>3074</v>
      </c>
      <c r="E7">
        <v>4502.75</v>
      </c>
    </row>
    <row r="8" spans="4:7">
      <c r="D8" s="3045" t="s">
        <v>3077</v>
      </c>
      <c r="E8">
        <v>77183.88</v>
      </c>
    </row>
    <row r="9" spans="4:7">
      <c r="D9" s="3045" t="s">
        <v>3079</v>
      </c>
      <c r="E9">
        <f>E4+E5+E6+E7+E8</f>
        <v>100190.15000000001</v>
      </c>
    </row>
    <row r="10" spans="4:7">
      <c r="E10">
        <v>15116.56</v>
      </c>
    </row>
    <row r="11" spans="4:7">
      <c r="D11" s="3045" t="s">
        <v>3078</v>
      </c>
      <c r="E11">
        <v>12115.6</v>
      </c>
    </row>
    <row r="12" spans="4:7">
      <c r="D12" s="3045" t="s">
        <v>3080</v>
      </c>
      <c r="E12">
        <f>ROUND((E10+E4)/E9*E11,2)</f>
        <v>2782.06</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99" t="s">
        <v>1817</v>
      </c>
      <c r="B2" s="3199"/>
      <c r="C2" s="3199"/>
      <c r="D2" s="901" t="s">
        <v>1793</v>
      </c>
      <c r="E2" s="1823" t="s">
        <v>1794</v>
      </c>
      <c r="F2" s="2885"/>
      <c r="G2" s="2876"/>
      <c r="H2" s="2877"/>
      <c r="I2" s="2547" t="s">
        <v>1818</v>
      </c>
      <c r="J2" s="2885"/>
      <c r="K2" s="2885"/>
      <c r="L2" s="2885"/>
      <c r="M2" s="2885"/>
      <c r="N2" s="2887"/>
      <c r="O2" s="2885"/>
      <c r="P2" s="2885"/>
    </row>
    <row r="3" spans="1:16" ht="15.75" thickBot="1">
      <c r="A3" s="3200" t="s">
        <v>1791</v>
      </c>
      <c r="B3" s="3200"/>
      <c r="C3" s="3200"/>
      <c r="D3" s="46">
        <f>'数据-基础表'!AY6</f>
        <v>2782.06</v>
      </c>
      <c r="E3" s="46">
        <f>'数据-基础表'!AZ5</f>
        <v>23006.27</v>
      </c>
      <c r="F3" s="2885"/>
      <c r="G3" s="1304"/>
      <c r="H3" s="1154" t="s">
        <v>1792</v>
      </c>
      <c r="I3" s="961">
        <f>ROUND('数据-基础表'!B3/'数据-基础表'!A3,2)</f>
        <v>8.27</v>
      </c>
      <c r="J3" s="2885"/>
      <c r="K3" s="2885"/>
      <c r="L3" s="2885"/>
      <c r="M3" s="2885"/>
      <c r="N3" s="2887"/>
      <c r="O3" s="2885"/>
      <c r="P3" s="2885"/>
    </row>
    <row r="4" spans="1:16" ht="15">
      <c r="A4" s="3201"/>
      <c r="B4" s="3202"/>
      <c r="C4" s="3203"/>
      <c r="D4" s="1825" t="s">
        <v>1793</v>
      </c>
      <c r="E4" s="1826" t="s">
        <v>1794</v>
      </c>
      <c r="F4" s="2885"/>
      <c r="G4" s="2878" t="s">
        <v>1819</v>
      </c>
      <c r="H4" s="1154" t="s">
        <v>1799</v>
      </c>
      <c r="I4" s="961">
        <f>ROUND(SUMIF('数据-基础表'!I9:AS9,"地上",'数据-基础表'!I5:AS5)/'数据-基础表'!A3,2)</f>
        <v>5.43</v>
      </c>
      <c r="J4" s="2885"/>
      <c r="K4" s="2885"/>
      <c r="L4" s="2885"/>
      <c r="M4" s="2885"/>
      <c r="N4" s="2887"/>
      <c r="O4" s="2885"/>
      <c r="P4" s="2885"/>
    </row>
    <row r="5" spans="1:16">
      <c r="A5" s="47" t="s">
        <v>1795</v>
      </c>
      <c r="B5" s="3204" t="s">
        <v>1796</v>
      </c>
      <c r="C5" s="3204"/>
      <c r="D5" s="48">
        <f>ROUND($D$3*E5/$E$3,2)</f>
        <v>0</v>
      </c>
      <c r="E5" s="49">
        <f>SUMIF('数据-基础表'!$11:$11,"住宅",'数据-基础表'!$5:$5)</f>
        <v>0</v>
      </c>
      <c r="F5" s="2885"/>
      <c r="G5" s="1304"/>
      <c r="H5" s="1154" t="s">
        <v>1792</v>
      </c>
      <c r="I5" s="961">
        <f>ROUND(E31/D31,2)</f>
        <v>8.27</v>
      </c>
      <c r="J5" s="2885"/>
      <c r="K5" s="2885"/>
      <c r="L5" s="2885"/>
      <c r="M5" s="2885"/>
      <c r="N5" s="2885"/>
      <c r="O5" s="2885"/>
      <c r="P5" s="2885"/>
    </row>
    <row r="6" spans="1:16" ht="15" thickBot="1">
      <c r="A6" s="1828"/>
      <c r="B6" s="3204" t="s">
        <v>1797</v>
      </c>
      <c r="C6" s="3204"/>
      <c r="D6" s="48">
        <f>ROUND($D$3*E6/$E$3,2)</f>
        <v>2782.06</v>
      </c>
      <c r="E6" s="49">
        <f>E3-E5</f>
        <v>23006.27</v>
      </c>
      <c r="F6" s="2885"/>
      <c r="G6" s="2879" t="s">
        <v>1798</v>
      </c>
      <c r="H6" s="1305" t="s">
        <v>1799</v>
      </c>
      <c r="I6" s="2880">
        <f>ROUND(F31/D31,2)</f>
        <v>5.43</v>
      </c>
      <c r="J6" s="2885"/>
      <c r="K6" s="2885"/>
      <c r="L6" s="2885"/>
      <c r="M6" s="2885"/>
      <c r="N6" s="2885"/>
      <c r="O6" s="2885"/>
      <c r="P6" s="2885"/>
    </row>
    <row r="7" spans="1:16" ht="15.75" thickBot="1">
      <c r="A7" s="3196"/>
      <c r="B7" s="3197"/>
      <c r="C7" s="3198"/>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1827.99</v>
      </c>
      <c r="E8" s="51">
        <f>SUMIF('数据-基础表'!BB10:BK10,"地上",'数据-基础表'!BB5:BK5)</f>
        <v>15116.56</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954.07</v>
      </c>
      <c r="E14" s="51">
        <f>SUMPRODUCT(('数据-基础表'!BB10:BK10="地下")*('数据-基础表'!BB11:BK11="车库—商业")*('数据-基础表'!BB5:BK5))</f>
        <v>7889.71</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2782.06</v>
      </c>
      <c r="E16" s="53">
        <f>SUM(E8:E15)</f>
        <v>23006.27</v>
      </c>
      <c r="F16" s="2885"/>
      <c r="G16" s="2886"/>
      <c r="H16" s="1832" t="s">
        <v>1821</v>
      </c>
      <c r="I16" s="1833"/>
      <c r="J16" s="1298"/>
      <c r="K16" s="3193" t="s">
        <v>1821</v>
      </c>
      <c r="L16" s="3194"/>
      <c r="M16" s="3194"/>
      <c r="N16" s="3194"/>
      <c r="O16" s="3194"/>
      <c r="P16" s="3195"/>
    </row>
    <row r="17" spans="1:19" ht="15">
      <c r="A17" s="1834" t="s">
        <v>1822</v>
      </c>
      <c r="B17" s="1835" t="s">
        <v>1823</v>
      </c>
      <c r="C17" s="1836" t="s">
        <v>1824</v>
      </c>
      <c r="D17" s="1837" t="s">
        <v>1812</v>
      </c>
      <c r="E17" s="1838" t="s">
        <v>1813</v>
      </c>
      <c r="F17" s="1839"/>
      <c r="G17" s="1840"/>
      <c r="H17" s="1841" t="s">
        <v>1825</v>
      </c>
      <c r="I17" s="1842" t="s">
        <v>1810</v>
      </c>
      <c r="J17" s="1298"/>
      <c r="K17" s="3190" t="s">
        <v>1826</v>
      </c>
      <c r="L17" s="3191"/>
      <c r="M17" s="3192"/>
      <c r="N17" s="3190" t="s">
        <v>1827</v>
      </c>
      <c r="O17" s="3191"/>
      <c r="P17" s="3192"/>
      <c r="R17" s="1824" t="s">
        <v>1828</v>
      </c>
      <c r="S17" s="60"/>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50" t="s">
        <v>1811</v>
      </c>
      <c r="C19" s="3046" t="s">
        <v>3085</v>
      </c>
      <c r="D19" s="48">
        <f>ROUND($D$3*E19/$E$3,2)</f>
        <v>1827.99</v>
      </c>
      <c r="E19" s="56">
        <f t="shared" ref="E19:E26" si="1">SUM(F19:G19)</f>
        <v>15116.56</v>
      </c>
      <c r="F19" s="3025">
        <f>'数据-基础表'!I13</f>
        <v>15116.56</v>
      </c>
      <c r="G19" s="3026"/>
      <c r="H19" s="676">
        <f>ROUND($D$3*I19/$E$3,2)</f>
        <v>0</v>
      </c>
      <c r="I19" s="51">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1827.99</v>
      </c>
      <c r="S19" s="1155">
        <f t="shared" si="5"/>
        <v>15116.56</v>
      </c>
    </row>
    <row r="20" spans="1:19">
      <c r="A20" s="1855"/>
      <c r="B20" s="50" t="s">
        <v>1839</v>
      </c>
      <c r="C20" s="3046" t="s">
        <v>3086</v>
      </c>
      <c r="D20" s="48">
        <f t="shared" ref="D20:D26" si="6">ROUND($D$3*E20/$E$3,2)</f>
        <v>954.07</v>
      </c>
      <c r="E20" s="56">
        <f t="shared" si="1"/>
        <v>7889.71</v>
      </c>
      <c r="F20" s="3025"/>
      <c r="G20" s="3026">
        <f>'数据-基础表'!K13</f>
        <v>7889.71</v>
      </c>
      <c r="H20" s="676">
        <f t="shared" ref="H20:H26" si="7">ROUND($D$3*I20/$E$3,2)</f>
        <v>0</v>
      </c>
      <c r="I20" s="51">
        <f t="shared" si="2"/>
        <v>0</v>
      </c>
      <c r="J20" s="1298"/>
      <c r="K20" s="1297">
        <f t="shared" si="3"/>
        <v>0</v>
      </c>
      <c r="L20" s="1154">
        <f t="shared" si="4"/>
        <v>0</v>
      </c>
      <c r="M20" s="1309">
        <f t="shared" ref="M20:M26" si="8">K20+L20</f>
        <v>0</v>
      </c>
      <c r="N20" s="1853"/>
      <c r="O20" s="1854"/>
      <c r="P20" s="1309">
        <f t="shared" ref="P20:P26" si="9">N20+O20</f>
        <v>0</v>
      </c>
      <c r="R20" s="1154">
        <f t="shared" si="5"/>
        <v>954.07</v>
      </c>
      <c r="S20" s="1155">
        <f t="shared" si="5"/>
        <v>7889.71</v>
      </c>
    </row>
    <row r="21" spans="1:19">
      <c r="A21" s="1855"/>
      <c r="B21" s="50" t="s">
        <v>1839</v>
      </c>
      <c r="C21" s="1852"/>
      <c r="D21" s="48">
        <f t="shared" si="6"/>
        <v>0</v>
      </c>
      <c r="E21" s="56">
        <f t="shared" si="1"/>
        <v>0</v>
      </c>
      <c r="F21" s="3025"/>
      <c r="G21" s="3026"/>
      <c r="H21" s="676">
        <f t="shared" si="7"/>
        <v>0</v>
      </c>
      <c r="I21" s="51">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50" t="s">
        <v>1839</v>
      </c>
      <c r="C22" s="58"/>
      <c r="D22" s="48">
        <f t="shared" si="6"/>
        <v>0</v>
      </c>
      <c r="E22" s="56">
        <f t="shared" si="1"/>
        <v>0</v>
      </c>
      <c r="F22" s="3027"/>
      <c r="G22" s="3028"/>
      <c r="H22" s="676">
        <f t="shared" si="7"/>
        <v>0</v>
      </c>
      <c r="I22" s="51">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50" t="s">
        <v>1839</v>
      </c>
      <c r="C23" s="58"/>
      <c r="D23" s="48">
        <f>ROUND($D$3*E23/$E$3,2)</f>
        <v>0</v>
      </c>
      <c r="E23" s="56">
        <f>SUM(F23:G23)</f>
        <v>0</v>
      </c>
      <c r="F23" s="3027"/>
      <c r="G23" s="3028"/>
      <c r="H23" s="676">
        <f>ROUND($D$3*I23/$E$3,2)</f>
        <v>0</v>
      </c>
      <c r="I23" s="51">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50" t="s">
        <v>1839</v>
      </c>
      <c r="C24" s="58"/>
      <c r="D24" s="48">
        <f>ROUND($D$3*E24/$E$3,2)</f>
        <v>0</v>
      </c>
      <c r="E24" s="56">
        <f>SUM(F24:G24)</f>
        <v>0</v>
      </c>
      <c r="F24" s="3027"/>
      <c r="G24" s="3028"/>
      <c r="H24" s="676">
        <f>ROUND($D$3*I24/$E$3,2)</f>
        <v>0</v>
      </c>
      <c r="I24" s="51">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50" t="s">
        <v>1839</v>
      </c>
      <c r="C25" s="58"/>
      <c r="D25" s="48">
        <f t="shared" si="6"/>
        <v>0</v>
      </c>
      <c r="E25" s="56">
        <f t="shared" si="1"/>
        <v>0</v>
      </c>
      <c r="F25" s="3027"/>
      <c r="G25" s="3028"/>
      <c r="H25" s="47">
        <f t="shared" si="7"/>
        <v>0</v>
      </c>
      <c r="I25" s="51">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50" t="s">
        <v>1839</v>
      </c>
      <c r="C26" s="59"/>
      <c r="D26" s="48">
        <f t="shared" si="6"/>
        <v>0</v>
      </c>
      <c r="E26" s="56">
        <f t="shared" si="1"/>
        <v>0</v>
      </c>
      <c r="F26" s="3027"/>
      <c r="G26" s="3028"/>
      <c r="H26" s="47">
        <f t="shared" si="7"/>
        <v>0</v>
      </c>
      <c r="I26" s="51">
        <f t="shared" si="2"/>
        <v>0</v>
      </c>
      <c r="J26" s="1298"/>
      <c r="K26" s="1304">
        <f t="shared" si="3"/>
        <v>0</v>
      </c>
      <c r="L26" s="1305">
        <f t="shared" si="4"/>
        <v>0</v>
      </c>
      <c r="M26" s="63">
        <f t="shared" si="8"/>
        <v>0</v>
      </c>
      <c r="N26" s="1856"/>
      <c r="O26" s="1857"/>
      <c r="P26" s="63">
        <f t="shared" si="9"/>
        <v>0</v>
      </c>
      <c r="R26" s="1154">
        <f t="shared" si="5"/>
        <v>0</v>
      </c>
      <c r="S26" s="1155">
        <f t="shared" si="5"/>
        <v>0</v>
      </c>
    </row>
    <row r="27" spans="1:19" ht="15.75" thickBot="1">
      <c r="A27" s="1855"/>
      <c r="B27" s="48"/>
      <c r="C27" s="1858" t="s">
        <v>1840</v>
      </c>
      <c r="D27" s="1299">
        <f>SUM(D19:D26)</f>
        <v>2782.06</v>
      </c>
      <c r="E27" s="1300">
        <f>IF(SUM(E19:E26)='数据-基础表'!BA5,SUM(E19:E26),IF(F27="地上面积有误","面积有误","地下面积有误"))</f>
        <v>23006.27</v>
      </c>
      <c r="F27" s="1299">
        <f>IF(SUM(F19:F26)=E8,SUM(F19:F26),"地上面积有误")</f>
        <v>15116.56</v>
      </c>
      <c r="G27" s="1301">
        <f>SUM(G19:G26)</f>
        <v>7889.71</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2782.06</v>
      </c>
      <c r="S27" s="1154">
        <f>IF(SUM(S19:S26)=$E$3,SUM(S19:S26),SUM(S19:S26)&amp;"误差"&amp;ROUND(SUM(S19:S26)-E3,2))</f>
        <v>23006.27</v>
      </c>
    </row>
    <row r="28" spans="1:19">
      <c r="A28" s="1855"/>
      <c r="B28" s="50" t="s">
        <v>1841</v>
      </c>
      <c r="C28" s="1166"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2782.06</v>
      </c>
      <c r="E31" s="682">
        <f>E27+E30</f>
        <v>23006.27</v>
      </c>
      <c r="F31" s="683">
        <f>F27+F30</f>
        <v>15116.56</v>
      </c>
      <c r="G31" s="684">
        <f>G27+G30</f>
        <v>7889.71</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9"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10.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3067</v>
      </c>
      <c r="O5" s="1887" t="s">
        <v>1867</v>
      </c>
      <c r="P5" s="1890" t="s">
        <v>1868</v>
      </c>
      <c r="Q5" s="65" t="s">
        <v>1869</v>
      </c>
      <c r="R5" s="1891" t="s">
        <v>1870</v>
      </c>
      <c r="S5" s="1892" t="s">
        <v>1871</v>
      </c>
      <c r="T5" s="1893" t="s">
        <v>1872</v>
      </c>
      <c r="U5" s="1174" t="s">
        <v>1873</v>
      </c>
      <c r="V5" s="1175" t="s">
        <v>1874</v>
      </c>
      <c r="W5" s="1175" t="s">
        <v>1875</v>
      </c>
      <c r="X5" s="67"/>
      <c r="Y5" s="66" t="s">
        <v>1876</v>
      </c>
      <c r="Z5" s="1894" t="s">
        <v>1873</v>
      </c>
      <c r="AA5" s="1175" t="s">
        <v>1874</v>
      </c>
      <c r="AB5" s="1175" t="s">
        <v>1875</v>
      </c>
      <c r="AC5" s="67"/>
      <c r="AD5" s="67" t="s">
        <v>1876</v>
      </c>
      <c r="AE5" s="1174" t="s">
        <v>1877</v>
      </c>
      <c r="AF5" s="1175" t="s">
        <v>1878</v>
      </c>
      <c r="AG5" s="66" t="s">
        <v>1879</v>
      </c>
      <c r="AH5" s="1174" t="s">
        <v>1880</v>
      </c>
      <c r="AI5" s="1894" t="s">
        <v>1881</v>
      </c>
      <c r="AJ5" s="1894" t="s">
        <v>1882</v>
      </c>
      <c r="AK5" s="1175" t="s">
        <v>1883</v>
      </c>
      <c r="AL5" s="1175" t="s">
        <v>1884</v>
      </c>
      <c r="AM5" s="66"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56856</v>
      </c>
      <c r="F6" s="68">
        <f>SUMIF(项目基本情况!D$12:I$12,C6,项目基本情况!D$15:I$15)</f>
        <v>34.86</v>
      </c>
      <c r="G6" s="69">
        <f>IF(ISERROR(ROUND(POWER(1+H6,D6-F6)*(POWER(1+H6,F6)-1)/(POWER(1+H6,D6)-1),3)),0,ROUND(POWER(1+H6,D6-F6)*(POWER(1+H6,F6)-1)/(POWER(1+H6,D6)-1),3))</f>
        <v>0.95799999999999996</v>
      </c>
      <c r="H6" s="738">
        <v>5.5E-2</v>
      </c>
      <c r="I6" s="738">
        <v>0.06</v>
      </c>
      <c r="J6" s="70">
        <v>0.08</v>
      </c>
      <c r="K6" s="1158">
        <f>SUMIF('数据-汇总表'!C$19:C$33,A6,'数据-汇总表'!E$19:E$33)</f>
        <v>15116.56</v>
      </c>
      <c r="L6" s="739">
        <v>3000</v>
      </c>
      <c r="M6" s="71">
        <f t="shared" ref="M6:M14" si="0">ROUND(K6*L6/10000,0)</f>
        <v>4535</v>
      </c>
      <c r="N6" s="737">
        <f>N19</f>
        <v>0.97</v>
      </c>
      <c r="O6" s="71" t="str">
        <f>IF($N$5="成新度","——",ROUND(M6*N6,0))</f>
        <v>——</v>
      </c>
      <c r="P6" s="72" t="str">
        <f>IF($N$5="成新度","——",M6-O6)</f>
        <v>——</v>
      </c>
      <c r="Q6" s="740">
        <v>0.15</v>
      </c>
      <c r="R6" s="73">
        <f ca="1">SUMIF('数据-汇总表'!C$19:C$33,A6,'数据-汇总表'!R$19:R$27)</f>
        <v>1827.99</v>
      </c>
      <c r="S6" s="54">
        <f>IF('数据-汇总表'!$I$17="按面积比例",SUMIF('数据-汇总表'!C$19:C$33,A6,'数据-汇总表'!K$19:K$33),SUMIF('数据-汇总表'!C$19:C$33,A6,'数据-汇总表'!N$19:N$33))</f>
        <v>0</v>
      </c>
      <c r="T6" s="1331">
        <f>ROUND($L$14*S6/10000,0)</f>
        <v>0</v>
      </c>
      <c r="U6" s="74">
        <v>3.1</v>
      </c>
      <c r="V6" s="75">
        <v>0.03</v>
      </c>
      <c r="W6" s="75">
        <v>0.15</v>
      </c>
      <c r="X6" s="1168"/>
      <c r="Y6" s="76">
        <f>N6</f>
        <v>0.97</v>
      </c>
      <c r="Z6" s="77"/>
      <c r="AA6" s="70"/>
      <c r="AB6" s="70"/>
      <c r="AC6" s="1168"/>
      <c r="AD6" s="78"/>
      <c r="AE6" s="1169">
        <f ca="1">IF(AN6="",0,SUMIF(INDIRECT("'"&amp;AN6&amp;"'"&amp;"!E:E"),$AE$5,INDIRECT("'"&amp;AN6&amp;"'"&amp;"!F:F")))</f>
        <v>34.86</v>
      </c>
      <c r="AF6" s="1531"/>
      <c r="AG6" s="141">
        <f>IF(AF6="",0,AE6-AF6)</f>
        <v>0</v>
      </c>
      <c r="AH6" s="79"/>
      <c r="AI6" s="81">
        <v>365</v>
      </c>
      <c r="AJ6" s="82"/>
      <c r="AK6" s="83">
        <v>1.4999999999999999E-2</v>
      </c>
      <c r="AL6" s="84">
        <v>1.5E-3</v>
      </c>
      <c r="AM6" s="85">
        <v>1.4999999999999999E-2</v>
      </c>
      <c r="AN6" s="1900" t="s">
        <v>3179</v>
      </c>
      <c r="AO6" s="55">
        <f ca="1">SUMIF(INDIRECT("'"&amp;AN6&amp;"'"&amp;"!A:A"),"总价",INDIRECT("'"&amp;AN6&amp;"'"&amp;"!B:B"))</f>
        <v>22837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车库</v>
      </c>
      <c r="B7" s="1898" t="str">
        <f t="shared" ref="B7:B13" si="1">IF(A7=0,"","经营性")</f>
        <v>经营性</v>
      </c>
      <c r="C7" s="1899" t="s">
        <v>3084</v>
      </c>
      <c r="D7" s="964">
        <f>SUMIF(项目基本情况!D$12:I$12,C7,项目基本情况!D$14:I$14)</f>
        <v>40</v>
      </c>
      <c r="E7" s="963">
        <f>IF(B7="","",SUMIF(项目基本情况!D$12:I$12,C7,项目基本情况!D$13:I$13))</f>
        <v>56856</v>
      </c>
      <c r="F7" s="68">
        <f>SUMIF(项目基本情况!D$12:I$12,C7,项目基本情况!D$15:I$15)</f>
        <v>34.86</v>
      </c>
      <c r="G7" s="69">
        <f t="shared" ref="G7:G11" si="2">IF(ISERROR(ROUND(POWER(1+H7,D7-F7)*(POWER(1+H7,F7)-1)/(POWER(1+H7,D7)-1),3)),0,ROUND(POWER(1+H7,D7-F7)*(POWER(1+H7,F7)-1)/(POWER(1+H7,D7)-1),3))</f>
        <v>0.94699999999999995</v>
      </c>
      <c r="H7" s="738">
        <v>4.4999999999999998E-2</v>
      </c>
      <c r="I7" s="738">
        <v>0.05</v>
      </c>
      <c r="J7" s="70">
        <v>0.08</v>
      </c>
      <c r="K7" s="1158">
        <f>SUMIF('数据-汇总表'!C$19:C$33,A7,'数据-汇总表'!E$19:E$33)</f>
        <v>7889.71</v>
      </c>
      <c r="L7" s="739">
        <v>2200</v>
      </c>
      <c r="M7" s="71">
        <f t="shared" si="0"/>
        <v>1736</v>
      </c>
      <c r="N7" s="737">
        <f>N6</f>
        <v>0.97</v>
      </c>
      <c r="O7" s="71" t="str">
        <f t="shared" ref="O7:O14" si="3">IF($N$5="成新度","——",ROUND(M7*N7,0))</f>
        <v>——</v>
      </c>
      <c r="P7" s="72" t="str">
        <f t="shared" ref="P7:P14" si="4">IF($N$5="成新度","——",M7-O7)</f>
        <v>——</v>
      </c>
      <c r="Q7" s="740">
        <v>0.03</v>
      </c>
      <c r="R7" s="73">
        <f ca="1">SUMIF('数据-汇总表'!C$19:C$33,A7,'数据-汇总表'!R$19:R$27)</f>
        <v>954.07</v>
      </c>
      <c r="S7" s="54">
        <f>IF('数据-汇总表'!$I$17="按面积比例",SUMIF('数据-汇总表'!C$19:C$33,A7,'数据-汇总表'!K$19:K$33),SUMIF('数据-汇总表'!C$19:C$33,A7,'数据-汇总表'!N$19:N$33))</f>
        <v>0</v>
      </c>
      <c r="T7" s="1331">
        <f t="shared" ref="T7:T13" si="5">ROUND($L$14*S7/10000,0)</f>
        <v>0</v>
      </c>
      <c r="U7" s="74">
        <v>500</v>
      </c>
      <c r="V7" s="75">
        <v>0.02</v>
      </c>
      <c r="W7" s="75">
        <v>0.15</v>
      </c>
      <c r="X7" s="1168"/>
      <c r="Y7" s="76">
        <f>Y6</f>
        <v>0.97</v>
      </c>
      <c r="Z7" s="77"/>
      <c r="AA7" s="70"/>
      <c r="AB7" s="70"/>
      <c r="AC7" s="1168"/>
      <c r="AD7" s="78"/>
      <c r="AE7" s="1169">
        <f t="shared" ref="AE7:AE13" ca="1" si="6">IF(AN7="",0,SUMIF(INDIRECT("'"&amp;AN7&amp;"'"&amp;"!E:E"),$AE$5,INDIRECT("'"&amp;AN7&amp;"'"&amp;"!F:F")))</f>
        <v>34.86</v>
      </c>
      <c r="AF7" s="1531"/>
      <c r="AG7" s="141">
        <f t="shared" ref="AG7:AG13" si="7">IF(AF7="",0,AE7-AF7)</f>
        <v>0</v>
      </c>
      <c r="AH7" s="79">
        <f>面积表!G4</f>
        <v>194</v>
      </c>
      <c r="AI7" s="81">
        <v>12</v>
      </c>
      <c r="AJ7" s="82"/>
      <c r="AK7" s="3464">
        <v>0.01</v>
      </c>
      <c r="AL7" s="84">
        <v>1.5E-3</v>
      </c>
      <c r="AM7" s="85">
        <v>0.01</v>
      </c>
      <c r="AN7" s="1900" t="s">
        <v>3087</v>
      </c>
      <c r="AO7" s="55">
        <f t="shared" ref="AO7:AO13" ca="1" si="8">SUMIF(INDIRECT("'"&amp;AN7&amp;"'"&amp;"!A:A"),"总价",INDIRECT("'"&amp;AN7&amp;"'"&amp;"!B:B"))</f>
        <v>1154</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1"/>
      <c r="AG8" s="141">
        <f t="shared" si="7"/>
        <v>0</v>
      </c>
      <c r="AH8" s="744"/>
      <c r="AI8" s="81"/>
      <c r="AJ8" s="82"/>
      <c r="AK8" s="745"/>
      <c r="AL8" s="746"/>
      <c r="AM8" s="747"/>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1">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1">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1">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1">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1">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1"/>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1"/>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39"/>
      <c r="D16" s="1905"/>
      <c r="E16" s="93"/>
      <c r="F16" s="93"/>
      <c r="G16" s="94">
        <f>ROUND(SUMPRODUCT(G6:G13,K6:K13)/SUMPRODUCT((G6:G13&gt;0)*(K6:K13)),3)</f>
        <v>0.95399999999999996</v>
      </c>
      <c r="H16" s="95">
        <f>ROUND(SUMPRODUCT(H6:H13,K6:K13)/SUMPRODUCT((H6:H13&gt;0)*(K6:K13)),3)</f>
        <v>5.1999999999999998E-2</v>
      </c>
      <c r="I16" s="96"/>
      <c r="J16" s="96"/>
      <c r="K16" s="97">
        <f>SUM(K6:K15)</f>
        <v>23006.27</v>
      </c>
      <c r="L16" s="98">
        <f>ROUND(M16*10000/SUM(K6:K14),0)</f>
        <v>2726</v>
      </c>
      <c r="M16" s="98">
        <f>SUM(M6:M14)</f>
        <v>6271</v>
      </c>
      <c r="N16" s="99">
        <f>ROUND(SUMPRODUCT(M6:M14,N6:N14)/M16,3)</f>
        <v>0.97</v>
      </c>
      <c r="O16" s="98">
        <f>SUM(O6:O14)</f>
        <v>0</v>
      </c>
      <c r="P16" s="98">
        <f>SUM(P6:P14)</f>
        <v>0</v>
      </c>
      <c r="Q16" s="100">
        <f>ROUND(SUMPRODUCT(Q6:Q13,K6:K13)/SUMPRODUCT((Q6:Q13&gt;0)*(K6:K13)),2)</f>
        <v>0.11</v>
      </c>
      <c r="R16" s="1162">
        <f ca="1">SUM(R6:R13)</f>
        <v>2782.06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v>2018</v>
      </c>
      <c r="O18" s="2899"/>
      <c r="P18" s="2899"/>
      <c r="Q18" s="2899"/>
      <c r="R18" s="2899"/>
      <c r="S18" s="2899"/>
      <c r="T18" s="2899"/>
      <c r="U18" s="2899"/>
      <c r="V18" s="2899"/>
      <c r="W18" s="3043" t="s">
        <v>3178</v>
      </c>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3053</v>
      </c>
      <c r="D19" s="2904"/>
      <c r="E19" s="2901"/>
      <c r="F19" s="2901"/>
      <c r="G19" s="2901"/>
      <c r="H19" s="2901"/>
      <c r="I19" s="2901"/>
      <c r="J19" s="2901"/>
      <c r="K19" s="2900"/>
      <c r="L19" s="2900"/>
      <c r="M19" s="3043" t="s">
        <v>3068</v>
      </c>
      <c r="N19" s="2899">
        <f>ROUND(1-(2020-N18)/60,2)</f>
        <v>0.97</v>
      </c>
      <c r="O19" s="2899"/>
      <c r="P19" s="2899"/>
      <c r="Q19" s="2899"/>
      <c r="R19" s="2899"/>
      <c r="S19" s="2899"/>
      <c r="T19" s="2899">
        <v>1</v>
      </c>
      <c r="U19" s="2899">
        <v>1</v>
      </c>
      <c r="V19" s="2899">
        <f>面积表!E5</f>
        <v>5303.27</v>
      </c>
      <c r="W19" s="2899">
        <v>4</v>
      </c>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3051</v>
      </c>
      <c r="D20" s="2904"/>
      <c r="E20" s="2901"/>
      <c r="F20" s="2901"/>
      <c r="G20" s="2901"/>
      <c r="H20" s="2901"/>
      <c r="I20" s="2901"/>
      <c r="J20" s="2901"/>
      <c r="K20" s="2900"/>
      <c r="L20" s="2900"/>
      <c r="M20" s="3043" t="s">
        <v>3069</v>
      </c>
      <c r="N20" s="2899"/>
      <c r="O20" s="2899"/>
      <c r="P20" s="2899"/>
      <c r="Q20" s="2899"/>
      <c r="R20" s="2899"/>
      <c r="S20" s="2899"/>
      <c r="T20" s="2899">
        <v>2</v>
      </c>
      <c r="U20" s="2899">
        <v>0.7</v>
      </c>
      <c r="V20" s="2899">
        <f>面积表!E6</f>
        <v>5310.54</v>
      </c>
      <c r="W20" s="2899">
        <f>ROUND($W$19*U20,2)</f>
        <v>2.8</v>
      </c>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f>ROUND((N19+N20)/2,2)</f>
        <v>0.49</v>
      </c>
      <c r="O21" s="2899"/>
      <c r="P21" s="2899"/>
      <c r="Q21" s="2899"/>
      <c r="R21" s="2899"/>
      <c r="S21" s="2899"/>
      <c r="T21" s="2899">
        <v>3</v>
      </c>
      <c r="U21" s="2899">
        <v>0.6</v>
      </c>
      <c r="V21" s="2899">
        <f>面积表!E7</f>
        <v>4502.75</v>
      </c>
      <c r="W21" s="2899">
        <f>ROUND($W$19*U21,2)</f>
        <v>2.4</v>
      </c>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3067" t="s">
        <v>3177</v>
      </c>
      <c r="U22" s="2899"/>
      <c r="V22" s="2899">
        <f>面积表!E10</f>
        <v>15116.56</v>
      </c>
      <c r="W22" s="2899">
        <f>(V19*W19+V20*W20+V21*W21)/V22</f>
        <v>3.1018427472917121</v>
      </c>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128</v>
      </c>
      <c r="C27" s="3031" t="s">
        <v>3055</v>
      </c>
      <c r="D27" s="2907" t="s">
        <v>3070</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5">
        <v>108</v>
      </c>
      <c r="C28" s="2908"/>
      <c r="D28" s="2907" t="s">
        <v>3071</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465"/>
      <c r="C29" s="3032" t="s">
        <v>3041</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6">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3042</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7">
        <v>0</v>
      </c>
      <c r="C34" s="3033" t="s">
        <v>3043</v>
      </c>
      <c r="D34" s="2912" t="s">
        <v>3052</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5">
        <v>180</v>
      </c>
      <c r="C35" s="3033" t="s">
        <v>3044</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8">
        <v>1.4999999999999999E-2</v>
      </c>
      <c r="C36" s="3033" t="s">
        <v>3045</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3046</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3046</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1">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3047</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3">
        <v>7.0000000000000007E-2</v>
      </c>
      <c r="C44" s="3033" t="s">
        <v>3056</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1">
        <v>0.03</v>
      </c>
      <c r="C45" s="3032" t="s">
        <v>3048</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1">
        <v>0.02</v>
      </c>
      <c r="C46" s="3032" t="s">
        <v>3049</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4"/>
      <c r="C47" s="3035" t="s">
        <v>3057</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3048</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1">
        <v>5.0000000000000001E-4</v>
      </c>
      <c r="C49" s="3032" t="s">
        <v>3050</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5">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6">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7">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3054</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8"/>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205" t="s">
        <v>3033</v>
      </c>
      <c r="B1" s="3206"/>
      <c r="C1" s="3206"/>
      <c r="D1" s="3206"/>
      <c r="E1" s="3206"/>
      <c r="F1" s="3206"/>
      <c r="G1" s="320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3028</v>
      </c>
      <c r="D2" s="2686"/>
      <c r="E2" s="2683"/>
      <c r="F2" s="2687"/>
      <c r="G2" s="2685" t="s">
        <v>3029</v>
      </c>
      <c r="H2" s="904"/>
      <c r="I2" s="904"/>
      <c r="J2" s="904"/>
      <c r="K2" s="904"/>
      <c r="L2" s="904"/>
      <c r="M2" s="904"/>
      <c r="N2" s="904"/>
      <c r="O2" s="904"/>
      <c r="P2" s="904"/>
      <c r="Q2" s="904"/>
      <c r="R2" s="904"/>
    </row>
    <row r="3" spans="1:29" ht="48">
      <c r="A3" s="2666" t="s">
        <v>3030</v>
      </c>
      <c r="B3" s="2688" t="s">
        <v>2999</v>
      </c>
      <c r="C3" s="2689" t="s">
        <v>3031</v>
      </c>
      <c r="D3" s="2690"/>
      <c r="E3" s="2667" t="s">
        <v>3030</v>
      </c>
      <c r="F3" s="2691" t="s">
        <v>3000</v>
      </c>
      <c r="G3" s="2692" t="s">
        <v>3032</v>
      </c>
      <c r="H3" s="904"/>
      <c r="I3" s="904"/>
      <c r="J3" s="904"/>
      <c r="K3" s="904"/>
      <c r="L3" s="904"/>
      <c r="M3" s="904"/>
      <c r="N3" s="904"/>
      <c r="O3" s="904"/>
      <c r="P3" s="904"/>
      <c r="Q3" s="904"/>
      <c r="R3" s="904"/>
    </row>
    <row r="4" spans="1:29" ht="36.75">
      <c r="A4" s="2667"/>
      <c r="B4" s="327" t="s">
        <v>3001</v>
      </c>
      <c r="C4" s="2693" t="s">
        <v>3002</v>
      </c>
      <c r="D4" s="2690"/>
      <c r="E4" s="2694"/>
      <c r="F4" s="1556" t="s">
        <v>3003</v>
      </c>
      <c r="G4" s="2695" t="s">
        <v>3004</v>
      </c>
      <c r="H4" s="904"/>
      <c r="I4" s="904"/>
      <c r="J4" s="904"/>
      <c r="K4" s="904"/>
      <c r="L4" s="904"/>
      <c r="M4" s="904"/>
      <c r="N4" s="904"/>
      <c r="O4" s="904"/>
      <c r="P4" s="904"/>
      <c r="Q4" s="904"/>
      <c r="R4" s="904"/>
    </row>
    <row r="5" spans="1:29" ht="36.75">
      <c r="A5" s="2667"/>
      <c r="B5" s="327" t="s">
        <v>3005</v>
      </c>
      <c r="C5" s="2693" t="s">
        <v>3006</v>
      </c>
      <c r="D5" s="2690"/>
      <c r="E5" s="2694"/>
      <c r="F5" s="327" t="s">
        <v>3007</v>
      </c>
      <c r="G5" s="2695" t="s">
        <v>3008</v>
      </c>
      <c r="H5" s="904"/>
      <c r="I5" s="904"/>
      <c r="J5" s="904"/>
      <c r="K5" s="904"/>
      <c r="L5" s="904"/>
      <c r="M5" s="904"/>
      <c r="N5" s="904"/>
      <c r="O5" s="904"/>
      <c r="P5" s="904"/>
      <c r="Q5" s="904"/>
      <c r="R5" s="904"/>
    </row>
    <row r="6" spans="1:29" ht="36">
      <c r="A6" s="2667"/>
      <c r="B6" s="327" t="s">
        <v>3009</v>
      </c>
      <c r="C6" s="2695" t="s">
        <v>3004</v>
      </c>
      <c r="D6" s="2690"/>
      <c r="E6" s="2694"/>
      <c r="F6" s="327" t="s">
        <v>3010</v>
      </c>
      <c r="G6" s="2695" t="s">
        <v>3011</v>
      </c>
      <c r="H6" s="904"/>
      <c r="I6" s="904"/>
      <c r="J6" s="904"/>
      <c r="K6" s="904"/>
      <c r="L6" s="904"/>
      <c r="M6" s="904"/>
      <c r="N6" s="904"/>
      <c r="O6" s="904"/>
      <c r="P6" s="904"/>
      <c r="Q6" s="904"/>
      <c r="R6" s="904"/>
    </row>
    <row r="7" spans="1:29" ht="24.75" thickBot="1">
      <c r="A7" s="2667"/>
      <c r="B7" s="327" t="s">
        <v>3007</v>
      </c>
      <c r="C7" s="2695" t="s">
        <v>3008</v>
      </c>
      <c r="D7" s="2696"/>
      <c r="E7" s="2697"/>
      <c r="F7" s="2698" t="s">
        <v>3012</v>
      </c>
      <c r="G7" s="2699" t="s">
        <v>3013</v>
      </c>
      <c r="H7" s="904"/>
      <c r="I7" s="904"/>
      <c r="J7" s="904"/>
      <c r="K7" s="904"/>
      <c r="L7" s="904"/>
      <c r="M7" s="904"/>
      <c r="N7" s="904"/>
      <c r="O7" s="904"/>
      <c r="P7" s="904"/>
      <c r="Q7" s="904"/>
      <c r="R7" s="904"/>
    </row>
    <row r="8" spans="1:29">
      <c r="A8" s="2667"/>
      <c r="B8" s="327" t="s">
        <v>3010</v>
      </c>
      <c r="C8" s="2695" t="s">
        <v>3011</v>
      </c>
      <c r="D8" s="2696"/>
      <c r="E8" s="2696"/>
      <c r="F8" s="2700"/>
      <c r="G8" s="2700"/>
      <c r="H8" s="904"/>
      <c r="I8" s="904"/>
      <c r="J8" s="904"/>
      <c r="K8" s="904"/>
      <c r="L8" s="904"/>
      <c r="M8" s="904"/>
      <c r="N8" s="904"/>
      <c r="O8" s="904"/>
      <c r="P8" s="904"/>
      <c r="Q8" s="904"/>
      <c r="R8" s="904"/>
    </row>
    <row r="9" spans="1:29" ht="24">
      <c r="A9" s="2667"/>
      <c r="B9" s="327" t="s">
        <v>3014</v>
      </c>
      <c r="C9" s="2693" t="s">
        <v>3015</v>
      </c>
      <c r="D9" s="2690"/>
      <c r="E9" s="2696"/>
      <c r="F9" s="2700"/>
      <c r="G9" s="2700"/>
      <c r="H9" s="904"/>
      <c r="I9" s="904"/>
      <c r="J9" s="904"/>
      <c r="K9" s="904"/>
      <c r="L9" s="904"/>
      <c r="M9" s="904"/>
      <c r="N9" s="904"/>
      <c r="O9" s="904"/>
      <c r="P9" s="904"/>
      <c r="Q9" s="904"/>
      <c r="R9" s="904"/>
    </row>
    <row r="10" spans="1:29" s="2706" customFormat="1" ht="15" thickBot="1">
      <c r="A10" s="2668"/>
      <c r="B10" s="2701" t="s">
        <v>3016</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3034</v>
      </c>
      <c r="B13" s="2709"/>
      <c r="C13" s="2709"/>
      <c r="D13" s="2707"/>
      <c r="E13" s="2709"/>
      <c r="F13" s="2709"/>
      <c r="G13" s="2709"/>
    </row>
    <row r="14" spans="1:29" ht="15" thickBot="1">
      <c r="A14" s="2719"/>
      <c r="B14" s="2719"/>
      <c r="C14" s="2720" t="s">
        <v>3017</v>
      </c>
      <c r="D14" s="2690"/>
      <c r="E14" s="2721"/>
      <c r="F14" s="2721"/>
      <c r="G14" s="2685" t="s">
        <v>3018</v>
      </c>
    </row>
    <row r="15" spans="1:29" ht="51">
      <c r="A15" s="2669" t="s">
        <v>3019</v>
      </c>
      <c r="B15" s="2722" t="s">
        <v>2999</v>
      </c>
      <c r="C15" s="2723" t="str">
        <f>C3</f>
        <v>估价对象周边居住用地比例、居住小区规模和社区发展完善程度，综合评价居住社区成熟度一般</v>
      </c>
      <c r="D15" s="2690"/>
      <c r="E15" s="2670" t="s">
        <v>3020</v>
      </c>
      <c r="F15" s="2722" t="s">
        <v>3021</v>
      </c>
      <c r="G15" s="2724" t="str">
        <f>G3</f>
        <v>估价对象位于XX开发区，园区建设成熟度XX，产业集聚程度XX</v>
      </c>
    </row>
    <row r="16" spans="1:29" ht="38.25">
      <c r="A16" s="2671"/>
      <c r="B16" s="2725" t="s">
        <v>3001</v>
      </c>
      <c r="C16" s="2726" t="str">
        <f>C4</f>
        <v>估价对象位于XX商圈，周边商业氛围成熟，人流量大，商业繁华度好</v>
      </c>
      <c r="D16" s="2690"/>
      <c r="E16" s="2672"/>
      <c r="F16" s="2727" t="s">
        <v>3003</v>
      </c>
      <c r="G16" s="2728" t="str">
        <f>G4</f>
        <v>估价对象周边道路状况、公共交通通达情况、停车便捷程度，综合评价交通便捷度较好</v>
      </c>
    </row>
    <row r="17" spans="1:18" ht="38.25">
      <c r="A17" s="2671"/>
      <c r="B17" s="2725" t="s">
        <v>3005</v>
      </c>
      <c r="C17" s="2726" t="str">
        <f>C5</f>
        <v>估价对象位于XX商圈，周边办公楼项目较多，入驻率高，办公集聚程度较好</v>
      </c>
      <c r="D17" s="2696"/>
      <c r="E17" s="2672"/>
      <c r="F17" s="2727" t="s">
        <v>3022</v>
      </c>
      <c r="G17" s="2729"/>
    </row>
    <row r="18" spans="1:18" ht="38.25">
      <c r="A18" s="2671"/>
      <c r="B18" s="2727" t="s">
        <v>3009</v>
      </c>
      <c r="C18" s="2728" t="str">
        <f>C6</f>
        <v>估价对象周边道路状况、公共交通通达情况、停车便捷程度，综合评价交通便捷度较好</v>
      </c>
      <c r="D18" s="2696"/>
      <c r="E18" s="2672"/>
      <c r="F18" s="2727" t="s">
        <v>3012</v>
      </c>
      <c r="G18" s="2728" t="str">
        <f>G7</f>
        <v>该园区内是否有污染型企业，绿化情况，卫生条件，整体环境状况判断</v>
      </c>
    </row>
    <row r="19" spans="1:18" ht="25.5">
      <c r="A19" s="2671"/>
      <c r="B19" s="2727" t="s">
        <v>3023</v>
      </c>
      <c r="C19" s="2729"/>
      <c r="D19" s="2690"/>
      <c r="E19" s="2672"/>
      <c r="F19" s="327" t="s">
        <v>3007</v>
      </c>
      <c r="G19" s="2728" t="str">
        <f>G5</f>
        <v>估价对象所在区域公共配套设施齐备情况</v>
      </c>
    </row>
    <row r="20" spans="1:18" ht="25.5">
      <c r="A20" s="2671"/>
      <c r="B20" s="2727" t="s">
        <v>3024</v>
      </c>
      <c r="C20" s="2726" t="str">
        <f>C9</f>
        <v>区域自然环境：；人文环境；综合评价环境状况一般</v>
      </c>
      <c r="D20" s="2696"/>
      <c r="E20" s="2672"/>
      <c r="F20" s="327" t="s">
        <v>3010</v>
      </c>
      <c r="G20" s="2728" t="str">
        <f>G6</f>
        <v>估价对象所在区域基础设施水平</v>
      </c>
    </row>
    <row r="21" spans="1:18" ht="25.5">
      <c r="A21" s="2671"/>
      <c r="B21" s="327" t="s">
        <v>3007</v>
      </c>
      <c r="C21" s="2728" t="str">
        <f>C7</f>
        <v>估价对象所在区域公共配套设施齐备情况</v>
      </c>
      <c r="D21" s="2690"/>
      <c r="E21" s="2672"/>
      <c r="F21" s="2727" t="s">
        <v>3025</v>
      </c>
      <c r="G21" s="2730"/>
    </row>
    <row r="22" spans="1:18" ht="13.5" customHeight="1">
      <c r="A22" s="2671"/>
      <c r="B22" s="327" t="s">
        <v>3010</v>
      </c>
      <c r="C22" s="2728" t="str">
        <f>C8</f>
        <v>估价对象所在区域基础设施水平</v>
      </c>
      <c r="D22" s="2690"/>
      <c r="E22" s="2672"/>
      <c r="F22" s="2727" t="s">
        <v>3016</v>
      </c>
      <c r="G22" s="2729"/>
    </row>
    <row r="23" spans="1:18" s="904" customFormat="1" ht="15" thickBot="1">
      <c r="A23" s="2671"/>
      <c r="B23" s="2727" t="s">
        <v>3025</v>
      </c>
      <c r="C23" s="2730"/>
      <c r="D23" s="1926"/>
      <c r="E23" s="2673"/>
      <c r="F23" s="2731" t="s">
        <v>3026</v>
      </c>
      <c r="G23" s="2732"/>
      <c r="H23" s="2716"/>
      <c r="I23" s="2717"/>
      <c r="J23" s="2716"/>
      <c r="K23" s="2716"/>
      <c r="L23" s="2717"/>
      <c r="M23" s="2716"/>
      <c r="N23" s="2716"/>
      <c r="O23" s="2717"/>
      <c r="P23" s="2716"/>
      <c r="Q23" s="2716"/>
      <c r="R23" s="2718"/>
    </row>
    <row r="24" spans="1:18" s="904" customFormat="1" ht="15" thickBot="1">
      <c r="A24" s="2674"/>
      <c r="B24" s="2731" t="s">
        <v>3027</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C36" sqref="C36"/>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15116.56</v>
      </c>
      <c r="C1" s="2914"/>
      <c r="D1" s="2914"/>
      <c r="E1" s="2914"/>
      <c r="F1" s="2914"/>
      <c r="G1" s="2915"/>
      <c r="H1" s="2916"/>
      <c r="I1" s="2916"/>
      <c r="J1" s="2916"/>
      <c r="K1" s="2916"/>
    </row>
    <row r="2" spans="1:11" ht="16.5">
      <c r="A2" s="2737" t="s">
        <v>1319</v>
      </c>
      <c r="B2" s="2737">
        <f>SUM(C14:C23)</f>
        <v>1827.99</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30235</v>
      </c>
      <c r="C5" s="2737">
        <f ca="1">ROUND(B5*10000/$B$1,0)</f>
        <v>20001</v>
      </c>
      <c r="D5" s="2737">
        <f ca="1">ROUND(B5*10000/$B$2,0)</f>
        <v>165400</v>
      </c>
      <c r="E5" s="2914"/>
      <c r="F5" s="2915"/>
      <c r="G5" s="2915"/>
      <c r="H5" s="2916"/>
      <c r="I5" s="2916"/>
      <c r="J5" s="2916"/>
      <c r="K5" s="2916"/>
    </row>
    <row r="6" spans="1:11" ht="16.5">
      <c r="A6" s="2737" t="s">
        <v>1322</v>
      </c>
      <c r="B6" s="2737">
        <f ca="1">SUM(G14:G23)</f>
        <v>30235</v>
      </c>
      <c r="C6" s="2737">
        <f ca="1">ROUND(B6*10000/$B$1,0)</f>
        <v>20001</v>
      </c>
      <c r="D6" s="2737">
        <f ca="1">ROUND(B6*10000/$B$2,0)</f>
        <v>165400</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15116.56</v>
      </c>
      <c r="C14" s="2743">
        <f>结果表!C118</f>
        <v>1827.99</v>
      </c>
      <c r="D14" s="2743">
        <f ca="1">结果表!H118</f>
        <v>27651</v>
      </c>
      <c r="E14" s="2743">
        <f ca="1">ROUND(D14*10000/B14,0)</f>
        <v>18292</v>
      </c>
      <c r="F14" s="2743">
        <f ca="1">ROUND(D14*10000/C14,0)</f>
        <v>151265</v>
      </c>
      <c r="G14" s="2743">
        <f ca="1">结果表!D122</f>
        <v>27651</v>
      </c>
      <c r="H14" s="2743" t="str">
        <f>结果表!D124</f>
        <v>——</v>
      </c>
      <c r="I14" s="2743" t="str">
        <f>结果表!D126</f>
        <v>——</v>
      </c>
      <c r="J14" s="2915"/>
      <c r="K14" s="2916"/>
    </row>
    <row r="15" spans="1:11" ht="16.5">
      <c r="A15" s="2742" t="s">
        <v>1315</v>
      </c>
      <c r="B15" s="2744"/>
      <c r="C15" s="2744"/>
      <c r="D15" s="2744">
        <f ca="1">结果表车位!G19</f>
        <v>2584</v>
      </c>
      <c r="E15" s="2743" t="e">
        <f t="shared" ref="E15:E23" ca="1" si="0">ROUND(D15*10000/B15,0)</f>
        <v>#DIV/0!</v>
      </c>
      <c r="F15" s="2743" t="e">
        <f t="shared" ref="F15:F23" ca="1" si="1">ROUND(D15*10000/C15,0)</f>
        <v>#DIV/0!</v>
      </c>
      <c r="G15" s="1499">
        <f ca="1">D15</f>
        <v>2584</v>
      </c>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t="s">
        <v>1343</v>
      </c>
      <c r="D1" s="1932"/>
      <c r="E1" s="1932"/>
      <c r="F1" s="1934" t="s">
        <v>1950</v>
      </c>
      <c r="G1" s="1745"/>
      <c r="H1" s="1935" t="str">
        <f>IF(G1="现房","——","估价对象范围")</f>
        <v>估价对象范围</v>
      </c>
      <c r="I1" s="1936"/>
    </row>
    <row r="2" spans="1:12" ht="21.75" customHeight="1" thickBot="1">
      <c r="A2" s="3277" t="str">
        <f>项目基本情况!S2</f>
        <v>房地产</v>
      </c>
      <c r="B2" s="3278"/>
      <c r="C2" s="3278"/>
      <c r="D2" s="3278"/>
      <c r="E2" s="3278"/>
      <c r="F2" s="3278"/>
      <c r="G2" s="3278"/>
      <c r="H2" s="3278"/>
      <c r="I2" s="3279"/>
    </row>
    <row r="3" spans="1:12" ht="12.75">
      <c r="A3" s="3281" t="s">
        <v>1951</v>
      </c>
      <c r="B3" s="3282"/>
      <c r="C3" s="3282"/>
      <c r="D3" s="3282"/>
      <c r="E3" s="3282"/>
      <c r="F3" s="3282"/>
      <c r="G3" s="3282"/>
      <c r="H3" s="3282"/>
      <c r="I3" s="3282"/>
    </row>
    <row r="4" spans="1:12" ht="14.25">
      <c r="A4" s="1939" t="s">
        <v>1952</v>
      </c>
      <c r="B4" s="1940" t="s">
        <v>1953</v>
      </c>
      <c r="C4" s="1941" t="s">
        <v>3232</v>
      </c>
      <c r="D4" s="1941" t="s">
        <v>3179</v>
      </c>
      <c r="E4" s="3286" t="s">
        <v>1954</v>
      </c>
      <c r="F4" s="3287"/>
      <c r="G4" s="3287"/>
      <c r="H4" s="3287"/>
      <c r="I4" s="328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222" t="s">
        <v>1955</v>
      </c>
      <c r="B5" s="3280">
        <v>25</v>
      </c>
      <c r="C5" s="3283"/>
      <c r="D5" s="3271"/>
      <c r="E5" s="134" t="s">
        <v>1956</v>
      </c>
      <c r="F5" s="1942"/>
      <c r="G5" s="1942"/>
      <c r="H5" s="1942"/>
      <c r="I5" s="1556"/>
    </row>
    <row r="6" spans="1:12" ht="12.75">
      <c r="A6" s="3222"/>
      <c r="B6" s="3280"/>
      <c r="C6" s="3285"/>
      <c r="D6" s="3271"/>
      <c r="E6" s="134" t="s">
        <v>1957</v>
      </c>
      <c r="F6" s="1942"/>
      <c r="G6" s="1942"/>
      <c r="H6" s="1942"/>
      <c r="I6" s="1556"/>
    </row>
    <row r="7" spans="1:12" ht="12.75">
      <c r="A7" s="3222"/>
      <c r="B7" s="3280"/>
      <c r="C7" s="3284"/>
      <c r="D7" s="3271"/>
      <c r="E7" s="134" t="s">
        <v>1958</v>
      </c>
      <c r="F7" s="1942"/>
      <c r="G7" s="1942"/>
      <c r="H7" s="1942"/>
      <c r="I7" s="1556"/>
    </row>
    <row r="8" spans="1:12" ht="12.75">
      <c r="A8" s="3222" t="s">
        <v>1959</v>
      </c>
      <c r="B8" s="3280">
        <v>15</v>
      </c>
      <c r="C8" s="3283"/>
      <c r="D8" s="3271"/>
      <c r="E8" s="134" t="s">
        <v>1960</v>
      </c>
      <c r="F8" s="1942"/>
      <c r="G8" s="1942"/>
      <c r="H8" s="1942"/>
      <c r="I8" s="1556"/>
    </row>
    <row r="9" spans="1:12" ht="12.75">
      <c r="A9" s="3222"/>
      <c r="B9" s="3280"/>
      <c r="C9" s="3284"/>
      <c r="D9" s="3271"/>
      <c r="E9" s="134" t="s">
        <v>1961</v>
      </c>
      <c r="F9" s="1942"/>
      <c r="G9" s="1942"/>
      <c r="H9" s="1942"/>
      <c r="I9" s="1556"/>
    </row>
    <row r="10" spans="1:12" ht="12.75">
      <c r="A10" s="3222" t="s">
        <v>1962</v>
      </c>
      <c r="B10" s="3280">
        <v>15</v>
      </c>
      <c r="C10" s="3283"/>
      <c r="D10" s="3271"/>
      <c r="E10" s="134" t="s">
        <v>1963</v>
      </c>
      <c r="F10" s="1942"/>
      <c r="G10" s="1942"/>
      <c r="H10" s="1942"/>
      <c r="I10" s="1556"/>
    </row>
    <row r="11" spans="1:12" ht="12.75">
      <c r="A11" s="3222"/>
      <c r="B11" s="3280"/>
      <c r="C11" s="3284"/>
      <c r="D11" s="3271"/>
      <c r="E11" s="134" t="s">
        <v>1964</v>
      </c>
      <c r="F11" s="1942"/>
      <c r="G11" s="1942"/>
      <c r="H11" s="1942"/>
      <c r="I11" s="1556"/>
    </row>
    <row r="12" spans="1:12" ht="12.75">
      <c r="A12" s="3222" t="s">
        <v>1965</v>
      </c>
      <c r="B12" s="3280">
        <v>15</v>
      </c>
      <c r="C12" s="3283"/>
      <c r="D12" s="3271"/>
      <c r="E12" s="134" t="s">
        <v>1966</v>
      </c>
      <c r="F12" s="1942"/>
      <c r="G12" s="1942"/>
      <c r="H12" s="1942"/>
      <c r="I12" s="1556"/>
    </row>
    <row r="13" spans="1:12" ht="12.75">
      <c r="A13" s="3222"/>
      <c r="B13" s="3280"/>
      <c r="C13" s="3284"/>
      <c r="D13" s="3271"/>
      <c r="E13" s="134" t="s">
        <v>1967</v>
      </c>
      <c r="F13" s="1942"/>
      <c r="G13" s="1942"/>
      <c r="H13" s="1942"/>
      <c r="I13" s="1556"/>
    </row>
    <row r="14" spans="1:12" ht="12.75">
      <c r="A14" s="3222" t="s">
        <v>1968</v>
      </c>
      <c r="B14" s="3280">
        <v>30</v>
      </c>
      <c r="C14" s="3283">
        <v>6</v>
      </c>
      <c r="D14" s="3271">
        <v>4</v>
      </c>
      <c r="E14" s="134" t="s">
        <v>1969</v>
      </c>
      <c r="F14" s="1942"/>
      <c r="G14" s="1942"/>
      <c r="H14" s="1942"/>
      <c r="I14" s="1556"/>
    </row>
    <row r="15" spans="1:12" ht="12.75">
      <c r="A15" s="3222"/>
      <c r="B15" s="3280"/>
      <c r="C15" s="3285"/>
      <c r="D15" s="3271"/>
      <c r="E15" s="134" t="s">
        <v>1970</v>
      </c>
      <c r="F15" s="1942"/>
      <c r="G15" s="1942"/>
      <c r="H15" s="1942"/>
      <c r="I15" s="1556"/>
    </row>
    <row r="16" spans="1:12" ht="12.75">
      <c r="A16" s="3222"/>
      <c r="B16" s="3280"/>
      <c r="C16" s="3284"/>
      <c r="D16" s="3271"/>
      <c r="E16" s="134" t="s">
        <v>1971</v>
      </c>
      <c r="F16" s="1942"/>
      <c r="G16" s="1942"/>
      <c r="H16" s="1942"/>
      <c r="I16" s="1556"/>
    </row>
    <row r="17" spans="1:36" ht="15">
      <c r="A17" s="1943" t="s">
        <v>1972</v>
      </c>
      <c r="B17" s="60"/>
      <c r="C17" s="135">
        <f>SUM(C5:C16)</f>
        <v>6</v>
      </c>
      <c r="D17" s="135">
        <f>SUM(D5:D16)</f>
        <v>4</v>
      </c>
      <c r="E17" s="132"/>
      <c r="F17" s="132"/>
      <c r="G17" s="132"/>
      <c r="H17" s="132"/>
      <c r="I17" s="132"/>
      <c r="K17" s="306"/>
      <c r="L17" s="306" t="s">
        <v>1973</v>
      </c>
      <c r="M17" s="306" t="s">
        <v>1974</v>
      </c>
    </row>
    <row r="18" spans="1:36" ht="31.9" customHeight="1" thickBot="1">
      <c r="A18" s="1944" t="s">
        <v>1975</v>
      </c>
      <c r="B18" s="1945"/>
      <c r="C18" s="136">
        <f>ROUND(C17/SUM(C17:D17),2)</f>
        <v>0.6</v>
      </c>
      <c r="D18" s="136">
        <f>1-C18</f>
        <v>0.4</v>
      </c>
      <c r="E18" s="3302" t="s">
        <v>2874</v>
      </c>
      <c r="F18" s="3303"/>
      <c r="G18" s="3303"/>
      <c r="H18" s="3303"/>
      <c r="I18" s="3303"/>
      <c r="K18" s="306" t="s">
        <v>1976</v>
      </c>
      <c r="L18" s="306">
        <f>IF(C1="",'数据-汇总表'!E3,SUMIF(项目类型,C1,'数据-汇总表'!E17:E26)+SUMIF(项目类型,C1,'数据-汇总表'!I17:I26))</f>
        <v>15116.56</v>
      </c>
      <c r="M18" s="306">
        <f>IF(C1="",'数据-汇总表'!E3,SUMIF(项目类型,C1,'数据-汇总表'!E17:E26))</f>
        <v>15116.56</v>
      </c>
    </row>
    <row r="19" spans="1:36" ht="15">
      <c r="A19" s="1946" t="s">
        <v>1977</v>
      </c>
      <c r="B19" s="1947" t="s">
        <v>1978</v>
      </c>
      <c r="C19" s="137">
        <f ca="1">SUMIF(INDIRECT("'"&amp;C4&amp;"'"&amp;"!A:A"),结果表!B19,INDIRECT("'"&amp;C4&amp;"'"&amp;"!B:B"))</f>
        <v>30860</v>
      </c>
      <c r="D19" s="138">
        <f ca="1">SUMIF(INDIRECT("'"&amp;D4&amp;"'"&amp;"!A:A"),结果表!B19,INDIRECT("'"&amp;D4&amp;"'"&amp;"!B:B"))</f>
        <v>22837</v>
      </c>
      <c r="E19" s="1946" t="s">
        <v>1979</v>
      </c>
      <c r="F19" s="1947" t="s">
        <v>1978</v>
      </c>
      <c r="G19" s="139">
        <f ca="1">ROUND(C19*$C$18+D19*$D$18,0)</f>
        <v>27651</v>
      </c>
      <c r="H19" s="1948" t="s">
        <v>1980</v>
      </c>
      <c r="I19" s="132"/>
      <c r="K19" s="306" t="s">
        <v>1981</v>
      </c>
      <c r="L19" s="306">
        <f>IF(C1="",'数据-汇总表'!D3,SUMIF(项目类型,C1,'数据-汇总表'!D17:D26)+SUMIF(项目类型,C1,'数据-汇总表'!H17:H27))</f>
        <v>1827.99</v>
      </c>
      <c r="M19" s="306">
        <f>IF(C1="",'数据-汇总表'!D3,SUMIF(项目类型,C1,'数据-汇总表'!D17:D26))</f>
        <v>1827.99</v>
      </c>
    </row>
    <row r="20" spans="1:36" ht="15">
      <c r="A20" s="1949"/>
      <c r="B20" s="1154" t="s">
        <v>1982</v>
      </c>
      <c r="C20" s="140">
        <f ca="1">SUMIF(INDIRECT("'"&amp;C4&amp;"'"&amp;"!A:A"),结果表!B20,INDIRECT("'"&amp;C4&amp;"'"&amp;"!B:B"))</f>
        <v>20415</v>
      </c>
      <c r="D20" s="141">
        <f ca="1">SUMIF(INDIRECT("'"&amp;D4&amp;"'"&amp;"!A:A"),结果表!B20,INDIRECT("'"&amp;D4&amp;"'"&amp;"!B:B"))</f>
        <v>15107</v>
      </c>
      <c r="E20" s="1949"/>
      <c r="F20" s="1154" t="s">
        <v>1982</v>
      </c>
      <c r="G20" s="142">
        <f ca="1">ROUND(C20*$C$18+D20*$D$18,0)</f>
        <v>18292</v>
      </c>
      <c r="H20" s="914" t="s">
        <v>1983</v>
      </c>
      <c r="I20" s="132"/>
    </row>
    <row r="21" spans="1:36" ht="15" customHeight="1" thickBot="1">
      <c r="A21" s="934"/>
      <c r="B21" s="1950" t="s">
        <v>1984</v>
      </c>
      <c r="C21" s="725">
        <f ca="1">ROUND(C19*10000/L19,0)</f>
        <v>168819</v>
      </c>
      <c r="D21" s="726">
        <f ca="1">ROUND(D19*10000/L19,0)</f>
        <v>124930</v>
      </c>
      <c r="E21" s="934"/>
      <c r="F21" s="1950" t="s">
        <v>1984</v>
      </c>
      <c r="G21" s="143">
        <f ca="1">ROUND(G19*10000/L19,0)</f>
        <v>151265</v>
      </c>
      <c r="H21" s="1951" t="s">
        <v>1983</v>
      </c>
      <c r="I21" s="132"/>
    </row>
    <row r="22" spans="1:36" ht="15" thickBot="1">
      <c r="A22" s="1873" t="s">
        <v>1985</v>
      </c>
      <c r="B22" s="1952"/>
      <c r="C22" s="1953"/>
      <c r="D22" s="727">
        <f ca="1">IF(C19&lt;D19,D19/C19-1,C19/D19-1)</f>
        <v>0.35131584709024821</v>
      </c>
      <c r="E22" s="132"/>
      <c r="F22" s="132"/>
      <c r="G22" s="132"/>
      <c r="H22" s="132"/>
      <c r="I22" s="132"/>
    </row>
    <row r="23" spans="1:36" ht="13.5" thickBot="1">
      <c r="A23" s="1932"/>
      <c r="B23" s="1932"/>
      <c r="C23" s="1932"/>
      <c r="D23" s="1932"/>
      <c r="E23" s="132"/>
      <c r="F23" s="132"/>
      <c r="G23" s="132"/>
      <c r="H23" s="132"/>
      <c r="I23" s="132"/>
    </row>
    <row r="24" spans="1:36" ht="14.25">
      <c r="A24" s="3295" t="s">
        <v>1986</v>
      </c>
      <c r="B24" s="1947" t="s">
        <v>1978</v>
      </c>
      <c r="C24" s="139">
        <f>IF(B30=0,0,D30)</f>
        <v>0</v>
      </c>
      <c r="D24" s="1954"/>
      <c r="E24" s="132"/>
      <c r="F24" s="132"/>
      <c r="G24" s="132"/>
      <c r="H24" s="132"/>
      <c r="I24" s="132"/>
    </row>
    <row r="25" spans="1:36" ht="14.25">
      <c r="A25" s="3296"/>
      <c r="B25" s="1154" t="s">
        <v>1982</v>
      </c>
      <c r="C25" s="144">
        <f>IF(B30=0,0,C30)</f>
        <v>0</v>
      </c>
      <c r="D25" s="1955"/>
      <c r="E25" s="132"/>
      <c r="F25" s="132"/>
      <c r="G25" s="132"/>
      <c r="H25" s="132"/>
      <c r="I25" s="132"/>
    </row>
    <row r="26" spans="1:36" ht="13.5" customHeight="1">
      <c r="A26" s="1956" t="s">
        <v>1987</v>
      </c>
      <c r="B26" s="145" t="s">
        <v>1988</v>
      </c>
      <c r="C26" s="145" t="s">
        <v>1989</v>
      </c>
      <c r="D26" s="146" t="s">
        <v>1990</v>
      </c>
      <c r="E26" s="132"/>
      <c r="F26" s="132"/>
      <c r="G26" s="132"/>
      <c r="H26" s="132"/>
      <c r="I26" s="132"/>
    </row>
    <row r="27" spans="1:36" ht="14.25">
      <c r="A27" s="1956"/>
      <c r="B27" s="145">
        <v>0</v>
      </c>
      <c r="C27" s="145">
        <v>0</v>
      </c>
      <c r="D27" s="146">
        <f>ROUND(C27*B27/10000,0)</f>
        <v>0</v>
      </c>
      <c r="E27" s="132"/>
      <c r="F27" s="132"/>
      <c r="G27" s="132"/>
      <c r="H27" s="132"/>
      <c r="I27" s="132"/>
    </row>
    <row r="28" spans="1:36" ht="14.25">
      <c r="A28" s="1956"/>
      <c r="B28" s="145"/>
      <c r="C28" s="145"/>
      <c r="D28" s="146"/>
      <c r="E28" s="132"/>
      <c r="F28" s="132"/>
      <c r="G28" s="132"/>
      <c r="H28" s="132"/>
      <c r="I28" s="132"/>
    </row>
    <row r="29" spans="1:36" ht="14.25">
      <c r="A29" s="1956"/>
      <c r="B29" s="145"/>
      <c r="C29" s="145"/>
      <c r="D29" s="146"/>
      <c r="E29" s="132"/>
      <c r="F29" s="132"/>
      <c r="G29" s="132"/>
      <c r="H29" s="132"/>
      <c r="I29" s="132"/>
    </row>
    <row r="30" spans="1:36" ht="15" thickBot="1">
      <c r="A30" s="145" t="s">
        <v>1991</v>
      </c>
      <c r="B30" s="145"/>
      <c r="C30" s="145"/>
      <c r="D30" s="145"/>
      <c r="E30" s="2520" t="s">
        <v>2875</v>
      </c>
      <c r="F30" s="132"/>
      <c r="G30" s="132"/>
      <c r="H30" s="132"/>
      <c r="I30" s="132"/>
    </row>
    <row r="31" spans="1:36" s="2526" customFormat="1" ht="26.45" customHeight="1" thickTop="1" thickBot="1">
      <c r="A31" s="2521"/>
      <c r="B31" s="2522"/>
      <c r="C31" s="2522"/>
      <c r="D31" s="2522"/>
      <c r="E31" s="2522"/>
      <c r="F31" s="2522"/>
      <c r="G31" s="2522"/>
      <c r="H31" s="2522"/>
      <c r="I31" s="2523" t="s">
        <v>2876</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7">
        <f ca="1">IF(D32="总价",G19-C24,G20-C25)</f>
        <v>27651</v>
      </c>
      <c r="D32" s="1960" t="s">
        <v>3189</v>
      </c>
      <c r="E32" s="132"/>
      <c r="F32" s="132"/>
      <c r="G32" s="132"/>
      <c r="H32" s="132"/>
      <c r="I32" s="132"/>
    </row>
    <row r="33" spans="1:15" ht="15">
      <c r="A33" s="891" t="s">
        <v>1993</v>
      </c>
      <c r="B33" s="1961"/>
      <c r="C33" s="1962"/>
      <c r="D33" s="1963"/>
      <c r="E33" s="1964" t="s">
        <v>1994</v>
      </c>
      <c r="F33" s="1965" t="str">
        <f>IF(D32="楼面单价","取值（单价）","取值（总价）")</f>
        <v>取值（总价）</v>
      </c>
      <c r="G33" s="132"/>
      <c r="H33" s="132"/>
      <c r="I33" s="132"/>
    </row>
    <row r="34" spans="1:15" ht="15">
      <c r="A34" s="1966"/>
      <c r="B34" s="1967" t="s">
        <v>1995</v>
      </c>
      <c r="C34" s="151"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2"/>
      <c r="H34" s="132"/>
      <c r="I34" s="132"/>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7"/>
      <c r="G35" s="132"/>
      <c r="H35" s="132"/>
      <c r="I35" s="132"/>
    </row>
    <row r="36" spans="1:15" ht="15.75" thickBot="1">
      <c r="A36" s="3272" t="s">
        <v>1999</v>
      </c>
      <c r="B36" s="1972" t="s">
        <v>2000</v>
      </c>
      <c r="C36" s="148"/>
      <c r="D36" s="1973"/>
      <c r="E36" s="1974"/>
      <c r="F36" s="1975"/>
      <c r="G36" s="132"/>
      <c r="H36" s="132"/>
      <c r="I36" s="132"/>
    </row>
    <row r="37" spans="1:15" ht="15.75" thickBot="1">
      <c r="A37" s="3273"/>
      <c r="B37" s="1859" t="s">
        <v>2001</v>
      </c>
      <c r="C37" s="150"/>
      <c r="D37" s="1298"/>
      <c r="E37" s="1298"/>
      <c r="F37" s="1975"/>
      <c r="G37" s="132"/>
      <c r="H37" s="132"/>
      <c r="I37" s="132"/>
    </row>
    <row r="38" spans="1:15" ht="15.75" thickBot="1">
      <c r="A38" s="3274"/>
      <c r="B38" s="1976" t="s">
        <v>2002</v>
      </c>
      <c r="C38" s="680"/>
      <c r="D38" s="1977" t="s">
        <v>2003</v>
      </c>
      <c r="E38" s="1298"/>
      <c r="F38" s="1975"/>
      <c r="G38" s="132"/>
      <c r="H38" s="132"/>
      <c r="I38" s="132"/>
    </row>
    <row r="39" spans="1:15" ht="15">
      <c r="A39" s="1949" t="s">
        <v>2004</v>
      </c>
      <c r="B39" s="1978" t="s">
        <v>2005</v>
      </c>
      <c r="C39" s="1979" t="s">
        <v>2006</v>
      </c>
      <c r="D39" s="1979" t="s">
        <v>2007</v>
      </c>
      <c r="E39" s="1980" t="s">
        <v>2008</v>
      </c>
      <c r="F39" s="1975"/>
      <c r="G39" s="132"/>
      <c r="H39" s="132"/>
      <c r="I39" s="132"/>
    </row>
    <row r="40" spans="1:15" ht="14.25">
      <c r="A40" s="1981" t="s">
        <v>2009</v>
      </c>
      <c r="B40" s="152"/>
      <c r="C40" s="153"/>
      <c r="D40" s="153"/>
      <c r="E40" s="154"/>
      <c r="F40" s="1975"/>
      <c r="G40" s="132"/>
      <c r="H40" s="132"/>
      <c r="I40" s="132"/>
    </row>
    <row r="41" spans="1:15" ht="14.25">
      <c r="A41" s="1981" t="s">
        <v>2010</v>
      </c>
      <c r="B41" s="152"/>
      <c r="C41" s="153"/>
      <c r="D41" s="153"/>
      <c r="E41" s="154"/>
      <c r="F41" s="1975"/>
      <c r="G41" s="132"/>
      <c r="H41" s="132"/>
      <c r="I41" s="132"/>
    </row>
    <row r="42" spans="1:15" ht="15" thickBot="1">
      <c r="A42" s="1982"/>
      <c r="B42" s="155"/>
      <c r="C42" s="156"/>
      <c r="D42" s="156"/>
      <c r="E42" s="157"/>
      <c r="F42" s="1975"/>
      <c r="G42" s="132"/>
      <c r="H42" s="132"/>
      <c r="I42" s="132"/>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92" t="s">
        <v>2013</v>
      </c>
      <c r="B45" s="3293"/>
      <c r="C45" s="3294"/>
      <c r="D45" s="158">
        <f ca="1">ROUND(H101*F45,0)</f>
        <v>27651</v>
      </c>
      <c r="E45" s="159" t="s">
        <v>2014</v>
      </c>
      <c r="F45" s="160">
        <v>1</v>
      </c>
      <c r="G45" s="161" t="s">
        <v>2015</v>
      </c>
      <c r="H45" s="132"/>
      <c r="I45" s="132"/>
      <c r="J45" s="3209" t="s">
        <v>2016</v>
      </c>
      <c r="K45" s="3209"/>
      <c r="L45" s="3209"/>
      <c r="M45" s="3209"/>
      <c r="N45" s="3209"/>
      <c r="O45" s="3209"/>
    </row>
    <row r="46" spans="1:15" ht="14.25" customHeight="1">
      <c r="A46" s="3289" t="s">
        <v>2017</v>
      </c>
      <c r="B46" s="3290"/>
      <c r="C46" s="3290"/>
      <c r="D46" s="3290"/>
      <c r="E46" s="3290"/>
      <c r="F46" s="3290"/>
      <c r="G46" s="3291"/>
      <c r="H46" s="1991"/>
      <c r="I46" s="162"/>
      <c r="J46" s="2748">
        <v>1</v>
      </c>
      <c r="K46" s="3210" t="s">
        <v>2018</v>
      </c>
      <c r="L46" s="3210"/>
      <c r="M46" s="3211"/>
      <c r="N46" s="3211"/>
      <c r="O46" s="3211"/>
    </row>
    <row r="47" spans="1:15" ht="12" customHeight="1">
      <c r="A47" s="163" t="s">
        <v>2019</v>
      </c>
      <c r="B47" s="164"/>
      <c r="C47" s="165"/>
      <c r="D47" s="1244" t="s">
        <v>2020</v>
      </c>
      <c r="E47" s="306" t="s">
        <v>2021</v>
      </c>
      <c r="F47" s="166" t="s">
        <v>2022</v>
      </c>
      <c r="G47" s="2771" t="s">
        <v>2023</v>
      </c>
      <c r="H47" s="2772"/>
      <c r="I47" s="162"/>
      <c r="J47" s="2748">
        <v>2</v>
      </c>
      <c r="K47" s="3210" t="s">
        <v>2024</v>
      </c>
      <c r="L47" s="3210"/>
      <c r="M47" s="3212">
        <f>'数据-取费表'!B2</f>
        <v>44131</v>
      </c>
      <c r="N47" s="3212"/>
      <c r="O47" s="3212"/>
    </row>
    <row r="48" spans="1:15" ht="25.5">
      <c r="A48" s="3275" t="s">
        <v>2025</v>
      </c>
      <c r="B48" s="3276"/>
      <c r="C48" s="3276"/>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10" t="s">
        <v>2027</v>
      </c>
      <c r="L48" s="3210"/>
      <c r="M48" s="3213">
        <f ca="1">H101</f>
        <v>27651</v>
      </c>
      <c r="N48" s="3213"/>
      <c r="O48" s="3213"/>
    </row>
    <row r="49" spans="1:35" ht="25.5" customHeight="1">
      <c r="A49" s="2555" t="s">
        <v>2028</v>
      </c>
      <c r="B49" s="3258" t="s">
        <v>2029</v>
      </c>
      <c r="C49" s="3258"/>
      <c r="D49" s="1774">
        <v>0</v>
      </c>
      <c r="E49" s="328" t="s">
        <v>2030</v>
      </c>
      <c r="F49" s="2649" t="s">
        <v>34</v>
      </c>
      <c r="G49" s="3241"/>
      <c r="H49" s="2527" t="s">
        <v>2877</v>
      </c>
      <c r="I49" s="2528"/>
      <c r="J49" s="2748">
        <v>4</v>
      </c>
      <c r="K49" s="3210" t="str">
        <f>IF(项目基本情况!E8="房地产抵押价值","房地产抵押价值","抵押担保权已注销时的房地产抵押价值")</f>
        <v>房地产抵押价值</v>
      </c>
      <c r="L49" s="3210"/>
      <c r="M49" s="3213">
        <f ca="1">IF(项目基本情况!E8="房地产抵押价值",H107,H109)</f>
        <v>27651</v>
      </c>
      <c r="N49" s="3213"/>
      <c r="O49" s="3213"/>
    </row>
    <row r="50" spans="1:35" ht="25.5" customHeight="1">
      <c r="A50" s="2776"/>
      <c r="B50" s="3258" t="s">
        <v>2031</v>
      </c>
      <c r="C50" s="3258"/>
      <c r="D50" s="2777"/>
      <c r="E50" s="336"/>
      <c r="F50" s="2649"/>
      <c r="G50" s="3242"/>
      <c r="H50" s="2529" t="s">
        <v>2878</v>
      </c>
      <c r="I50" s="2528"/>
      <c r="J50" s="3209" t="s">
        <v>2032</v>
      </c>
      <c r="K50" s="3209"/>
      <c r="L50" s="3209"/>
      <c r="M50" s="3209"/>
      <c r="N50" s="3209"/>
      <c r="O50" s="3209"/>
    </row>
    <row r="51" spans="1:35" ht="20.45" customHeight="1">
      <c r="A51" s="2778"/>
      <c r="B51" s="3258" t="s">
        <v>2033</v>
      </c>
      <c r="C51" s="3258"/>
      <c r="D51" s="1244"/>
      <c r="E51" s="331"/>
      <c r="F51" s="2649"/>
      <c r="G51" s="3243"/>
      <c r="H51" s="2529" t="s">
        <v>2879</v>
      </c>
      <c r="I51" s="2528"/>
      <c r="J51" s="2749" t="s">
        <v>2034</v>
      </c>
      <c r="K51" s="3210" t="s">
        <v>2035</v>
      </c>
      <c r="L51" s="3210"/>
      <c r="M51" s="2749" t="s">
        <v>2036</v>
      </c>
      <c r="N51" s="2749" t="s">
        <v>2037</v>
      </c>
      <c r="O51" s="2749" t="s">
        <v>2038</v>
      </c>
    </row>
    <row r="52" spans="1:35" ht="24" customHeight="1">
      <c r="A52" s="2557" t="s">
        <v>2039</v>
      </c>
      <c r="B52" s="3258" t="s">
        <v>2040</v>
      </c>
      <c r="C52" s="3258"/>
      <c r="D52" s="1244">
        <f ca="1">ROUND(D45*'数据-取费表'!B41/(1+'数据-取费表'!C42),0)</f>
        <v>1475</v>
      </c>
      <c r="E52" s="2556" t="s">
        <v>2041</v>
      </c>
      <c r="F52" s="2779">
        <f>'数据-取费表'!B41</f>
        <v>5.6000000000000001E-2</v>
      </c>
      <c r="G52" s="2780"/>
      <c r="H52" s="2769"/>
      <c r="I52" s="1992"/>
      <c r="J52" s="2748">
        <v>1</v>
      </c>
      <c r="K52" s="3235" t="s">
        <v>2042</v>
      </c>
      <c r="L52" s="3235"/>
      <c r="M52" s="2750" t="b">
        <f>D48</f>
        <v>0</v>
      </c>
      <c r="N52" s="2748" t="str">
        <f>E48</f>
        <v>销售额×税（费）率</v>
      </c>
      <c r="O52" s="2751">
        <f>F48</f>
        <v>5.6000000000000001E-2</v>
      </c>
    </row>
    <row r="53" spans="1:35" ht="12" customHeight="1">
      <c r="A53" s="2557" t="s">
        <v>2043</v>
      </c>
      <c r="B53" s="3259" t="s">
        <v>3038</v>
      </c>
      <c r="C53" s="3260"/>
      <c r="D53" s="1244">
        <f ca="1">ROUND(D45*'数据-取费表'!B41/(1+'数据-取费表'!C42),0)</f>
        <v>1475</v>
      </c>
      <c r="E53" s="2556" t="s">
        <v>2041</v>
      </c>
      <c r="F53" s="2779">
        <f>'数据-取费表'!B41</f>
        <v>5.6000000000000001E-2</v>
      </c>
      <c r="G53" s="2780"/>
      <c r="H53" s="2769"/>
      <c r="I53" s="1992"/>
      <c r="J53" s="2748">
        <v>2</v>
      </c>
      <c r="K53" s="3235" t="s">
        <v>2044</v>
      </c>
      <c r="L53" s="3235"/>
      <c r="M53" s="2750">
        <f t="shared" ref="M53:O54" ca="1" si="0">D55</f>
        <v>14</v>
      </c>
      <c r="N53" s="2748" t="str">
        <f t="shared" si="0"/>
        <v>销售额×税（费）率</v>
      </c>
      <c r="O53" s="2751" t="str">
        <f t="shared" si="0"/>
        <v>免征</v>
      </c>
    </row>
    <row r="54" spans="1:35" ht="12" customHeight="1">
      <c r="A54" s="2557" t="s">
        <v>2045</v>
      </c>
      <c r="B54" s="3259" t="s">
        <v>3039</v>
      </c>
      <c r="C54" s="3260"/>
      <c r="D54" s="1244">
        <f ca="1">C68</f>
        <v>1475</v>
      </c>
      <c r="E54" s="331" t="s">
        <v>2046</v>
      </c>
      <c r="F54" s="2779">
        <f>'数据-取费表'!B41</f>
        <v>5.6000000000000001E-2</v>
      </c>
      <c r="G54" s="2780"/>
      <c r="H54" s="2781"/>
      <c r="I54" s="1992"/>
      <c r="J54" s="2748">
        <v>3</v>
      </c>
      <c r="K54" s="3235" t="s">
        <v>2047</v>
      </c>
      <c r="L54" s="3235"/>
      <c r="M54" s="2750">
        <f t="shared" ca="1" si="0"/>
        <v>15650</v>
      </c>
      <c r="N54" s="2748" t="str">
        <f t="shared" si="0"/>
        <v>增值额×税（费）率</v>
      </c>
      <c r="O54" s="2752" t="str">
        <f t="shared" si="0"/>
        <v>免征</v>
      </c>
    </row>
    <row r="55" spans="1:35" ht="24" customHeight="1">
      <c r="A55" s="3298" t="s">
        <v>2048</v>
      </c>
      <c r="B55" s="3276"/>
      <c r="C55" s="3276"/>
      <c r="D55" s="2546">
        <f ca="1">IF(H55="个人住宅",0,ROUND(D45*I55,0))</f>
        <v>14</v>
      </c>
      <c r="E55" s="2556" t="s">
        <v>2049</v>
      </c>
      <c r="F55" s="2779" t="str">
        <f>IF(H55="正常",I55,"免征")</f>
        <v>免征</v>
      </c>
      <c r="G55" s="2780"/>
      <c r="H55" s="2775"/>
      <c r="I55" s="168">
        <f>'数据-取费表'!B49</f>
        <v>5.0000000000000001E-4</v>
      </c>
      <c r="J55" s="2748">
        <f>IF(H59="非个人房产","",4)</f>
        <v>4</v>
      </c>
      <c r="K55" s="3235" t="str">
        <f>IF(H59="非个人房产","——","个人所得税")</f>
        <v>个人所得税</v>
      </c>
      <c r="L55" s="3235"/>
      <c r="M55" s="2753">
        <f ca="1">D59</f>
        <v>263</v>
      </c>
      <c r="N55" s="2227" t="str">
        <f>E59</f>
        <v>差额计税</v>
      </c>
      <c r="O55" s="2754">
        <f>F59</f>
        <v>0.01</v>
      </c>
    </row>
    <row r="56" spans="1:35" ht="24.75">
      <c r="A56" s="3298" t="s">
        <v>2050</v>
      </c>
      <c r="B56" s="3276"/>
      <c r="C56" s="3276"/>
      <c r="D56" s="2546">
        <f ca="1">IF(H56="个人住宅",D57,D58)</f>
        <v>15650</v>
      </c>
      <c r="E56" s="2556" t="s">
        <v>2051</v>
      </c>
      <c r="F56" s="2779" t="str">
        <f>IF(H56="正常",F58,"免征")</f>
        <v>免征</v>
      </c>
      <c r="G56" s="2782" t="s">
        <v>2052</v>
      </c>
      <c r="H56" s="2783"/>
      <c r="I56" s="1993"/>
      <c r="J56" s="2748" t="str">
        <f>IF(项目基本情况!K6="上海银行",IF(J55="",4,J55+1),"")</f>
        <v/>
      </c>
      <c r="K56" s="3216" t="str">
        <f>IF(项目基本情况!K6="上海银行","其他处置费用","")</f>
        <v/>
      </c>
      <c r="L56" s="3217"/>
      <c r="M56" s="2750" t="str">
        <f>IF(项目基本情况!K6="上海银行",M69,"")</f>
        <v/>
      </c>
      <c r="N56" s="3216" t="str">
        <f>IF(项目基本情况!K6="上海银行","包含处置中涉及的律师、诉讼、拍卖、评估等费用","")</f>
        <v/>
      </c>
      <c r="O56" s="3219"/>
    </row>
    <row r="57" spans="1:35" ht="12.75">
      <c r="A57" s="2557" t="s">
        <v>2028</v>
      </c>
      <c r="B57" s="3259" t="s">
        <v>2053</v>
      </c>
      <c r="C57" s="3260"/>
      <c r="D57" s="1774">
        <v>0</v>
      </c>
      <c r="E57" s="328" t="s">
        <v>2030</v>
      </c>
      <c r="F57" s="306"/>
      <c r="G57" s="2780"/>
      <c r="H57" s="2784"/>
      <c r="I57" s="1993"/>
      <c r="J57" s="3235">
        <f>IF(AND(J55="",J56=""),4,IF(项目基本情况!K6="上海银行",结果表!J56+1,结果表!J55+1))</f>
        <v>5</v>
      </c>
      <c r="K57" s="3235" t="s">
        <v>2054</v>
      </c>
      <c r="L57" s="2755" t="s">
        <v>2055</v>
      </c>
      <c r="M57" s="2756"/>
      <c r="N57" s="2757">
        <f ca="1">SUMIF(M52:M56,"&lt;9e307")</f>
        <v>15927</v>
      </c>
      <c r="O57" s="2758"/>
      <c r="P57" s="2918">
        <f ca="1">N57/M49</f>
        <v>0.57600086796137573</v>
      </c>
    </row>
    <row r="58" spans="1:35" ht="24.75">
      <c r="A58" s="2557" t="s">
        <v>2039</v>
      </c>
      <c r="B58" s="3259" t="s">
        <v>2056</v>
      </c>
      <c r="C58" s="3258"/>
      <c r="D58" s="2546">
        <f ca="1">IF(H58="转让取得",C81,C97)</f>
        <v>15650</v>
      </c>
      <c r="E58" s="2556" t="s">
        <v>2051</v>
      </c>
      <c r="F58" s="306" t="s">
        <v>34</v>
      </c>
      <c r="G58" s="2780"/>
      <c r="H58" s="2783"/>
      <c r="I58" s="1993"/>
      <c r="J58" s="3235"/>
      <c r="K58" s="3235"/>
      <c r="L58" s="2755" t="s">
        <v>2057</v>
      </c>
      <c r="M58" s="2759"/>
      <c r="N58" s="2760" t="str">
        <f ca="1">NUMBERSTRING(INT(N57*10000),2)&amp;"元整"</f>
        <v>壹亿伍仟玖佰贰拾柒万元整</v>
      </c>
      <c r="O58" s="2761"/>
    </row>
    <row r="59" spans="1:35" ht="24.75" thickBot="1">
      <c r="A59" s="3239" t="s">
        <v>2058</v>
      </c>
      <c r="B59" s="3240"/>
      <c r="C59" s="3240"/>
      <c r="D59" s="2785">
        <f ca="1">IF(H59="非个人房产","——",IF(H59="个人住宅（满五唯一有凭证）",0,IF(H59="个人其他（无凭证）",ROUND(D45*F59,0),ROUND(C67*F59,0))))</f>
        <v>263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2880</v>
      </c>
      <c r="J59" s="3237">
        <f>J57+1</f>
        <v>6</v>
      </c>
      <c r="K59" s="3235" t="s">
        <v>2059</v>
      </c>
      <c r="L59" s="2748" t="s">
        <v>2055</v>
      </c>
      <c r="M59" s="2762"/>
      <c r="N59" s="2763">
        <f ca="1">M49-N57</f>
        <v>11724</v>
      </c>
      <c r="O59" s="2764"/>
    </row>
    <row r="60" spans="1:35" ht="12" customHeight="1">
      <c r="A60" s="1994"/>
      <c r="B60" s="1932"/>
      <c r="C60" s="1932"/>
      <c r="D60" s="1932"/>
      <c r="E60" s="1762"/>
      <c r="F60" s="1993"/>
      <c r="G60" s="1993"/>
      <c r="H60" s="1995"/>
      <c r="I60" s="132"/>
      <c r="J60" s="3238"/>
      <c r="K60" s="3235"/>
      <c r="L60" s="2755" t="s">
        <v>2057</v>
      </c>
      <c r="M60" s="2759"/>
      <c r="N60" s="2760" t="str">
        <f ca="1">NUMBERSTRING(INT(N59*10000),2)&amp;"元整"</f>
        <v>壹亿壹仟柒佰贰拾肆万元整</v>
      </c>
      <c r="O60" s="2761"/>
    </row>
    <row r="61" spans="1:35" ht="13.5" thickBot="1">
      <c r="A61" s="3297" t="s">
        <v>2060</v>
      </c>
      <c r="B61" s="3297"/>
      <c r="C61" s="3297"/>
      <c r="D61" s="3297"/>
      <c r="E61" s="3297"/>
      <c r="F61" s="1993"/>
      <c r="G61" s="1993"/>
      <c r="H61" s="1995"/>
      <c r="I61" s="132"/>
      <c r="J61" s="2748">
        <f>J59+1</f>
        <v>7</v>
      </c>
      <c r="K61" s="3235" t="s">
        <v>2061</v>
      </c>
      <c r="L61" s="3235"/>
      <c r="M61" s="2765"/>
      <c r="N61" s="2766">
        <f ca="1">ROUND(N59*10000/'数据-汇总表'!E3,0)</f>
        <v>5096</v>
      </c>
      <c r="O61" s="2767"/>
    </row>
    <row r="62" spans="1:35" ht="12.75">
      <c r="A62" s="3254" t="s">
        <v>2062</v>
      </c>
      <c r="B62" s="3255"/>
      <c r="C62" s="2208"/>
      <c r="D62" s="2208" t="s">
        <v>2063</v>
      </c>
      <c r="E62" s="169" t="s">
        <v>2064</v>
      </c>
      <c r="F62" s="1993"/>
      <c r="G62" s="1993"/>
      <c r="H62" s="1995"/>
      <c r="I62" s="132"/>
    </row>
    <row r="63" spans="1:35" ht="12.75">
      <c r="A63" s="176" t="s">
        <v>775</v>
      </c>
      <c r="B63" s="170" t="s">
        <v>2065</v>
      </c>
      <c r="C63" s="2789">
        <f ca="1">ROUND((C64+C65)/(1+'数据-取费表'!C42),0)</f>
        <v>26334</v>
      </c>
      <c r="D63" s="170"/>
      <c r="E63" s="171"/>
      <c r="F63" s="1993"/>
      <c r="G63" s="1993"/>
      <c r="H63" s="1995"/>
      <c r="I63" s="132"/>
      <c r="J63" s="3218" t="s">
        <v>2066</v>
      </c>
      <c r="K63" s="1500" t="s">
        <v>2067</v>
      </c>
      <c r="L63" s="1500">
        <f ca="1">IF(M49&gt;10000,M49*0.5%,IF(AND(M49&gt;1000,M49&lt;=10000),M49*1%,IF(AND(M49&gt;100,M49&lt;=1000),M49*3%,IF(AND(M49&gt;10,M49&lt;=100),M49*5%,M49*8%))))</f>
        <v>138.255</v>
      </c>
      <c r="M63" s="306">
        <f ca="1">ROUND(L63,1)</f>
        <v>138.30000000000001</v>
      </c>
      <c r="N63" s="2768"/>
      <c r="Z63" s="1937"/>
      <c r="AI63" s="1938"/>
    </row>
    <row r="64" spans="1:35" ht="14.25" customHeight="1">
      <c r="A64" s="172" t="s">
        <v>770</v>
      </c>
      <c r="B64" s="173" t="s">
        <v>2068</v>
      </c>
      <c r="C64" s="2790">
        <f ca="1">D45</f>
        <v>27651</v>
      </c>
      <c r="D64" s="173" t="s">
        <v>32</v>
      </c>
      <c r="E64" s="175"/>
      <c r="F64" s="1993"/>
      <c r="G64" s="1993"/>
      <c r="H64" s="1995"/>
      <c r="I64" s="132"/>
      <c r="J64" s="3218"/>
      <c r="K64" s="1500" t="s">
        <v>2069</v>
      </c>
      <c r="L64" s="1500">
        <f ca="1">IF(M49&gt;2000,M49*0.5%,IF(AND(M49&gt;1000,M49&lt;=2000),M49*0.6%,IF(AND(M49&gt;500,M49&lt;=1000),M49*0.7%,IF(AND(M49&gt;200,M49&lt;=500),M49*0.8%,IF(AND(M49&gt;100,M49&lt;=200),M49*0.9%,IF(AND(M49&gt;50,M49&lt;=100),M49*1%,IF(AND(M49&gt;20,M49&lt;=50),M49*1.5%,IF(AND(M49&gt;10,M49&lt;=20),M49*2%,IF(AND(M49&gt;1,M49&lt;=10),M49*2.5%)))))))))</f>
        <v>138.255</v>
      </c>
      <c r="M64" s="306">
        <f t="shared" ref="M64:M65" ca="1" si="1">ROUND(L64,1)</f>
        <v>138.30000000000001</v>
      </c>
      <c r="N64" s="2769" t="s">
        <v>2070</v>
      </c>
      <c r="Z64" s="1937"/>
      <c r="AI64" s="1938"/>
    </row>
    <row r="65" spans="1:35" ht="14.25" customHeight="1">
      <c r="A65" s="172" t="s">
        <v>771</v>
      </c>
      <c r="B65" s="173" t="s">
        <v>2071</v>
      </c>
      <c r="C65" s="2791"/>
      <c r="D65" s="173"/>
      <c r="E65" s="175"/>
      <c r="F65" s="1993"/>
      <c r="G65" s="1993"/>
      <c r="H65" s="1995"/>
      <c r="I65" s="132"/>
      <c r="J65" s="3218"/>
      <c r="K65" s="1500" t="s">
        <v>2072</v>
      </c>
      <c r="L65" s="1500">
        <f ca="1">IF(M49&gt;1000,M49*0.1%,IF(AND(M49&gt;500,M49&lt;=1000),M49*0.5%,IF(AND(M49&gt;50,M49&lt;=500),M49*1%,IF(AND(M49&gt;1,M49&lt;=50),M49*1.5%))))</f>
        <v>27.651</v>
      </c>
      <c r="M65" s="306">
        <f t="shared" ca="1" si="1"/>
        <v>27.7</v>
      </c>
      <c r="N65" s="2769" t="s">
        <v>2070</v>
      </c>
      <c r="Z65" s="1937"/>
      <c r="AI65" s="1938"/>
    </row>
    <row r="66" spans="1:35" ht="14.25" customHeight="1">
      <c r="A66" s="176" t="s">
        <v>772</v>
      </c>
      <c r="B66" s="177" t="s">
        <v>2073</v>
      </c>
      <c r="C66" s="2792"/>
      <c r="D66" s="177" t="s">
        <v>32</v>
      </c>
      <c r="E66" s="1508" t="s">
        <v>1337</v>
      </c>
      <c r="F66" s="1993"/>
      <c r="G66" s="1993"/>
      <c r="H66" s="1995"/>
      <c r="I66" s="132"/>
      <c r="J66" s="3218"/>
      <c r="K66" s="1500" t="s">
        <v>2074</v>
      </c>
      <c r="L66" s="1500">
        <f ca="1">M49*0.5%</f>
        <v>138.255</v>
      </c>
      <c r="M66" s="306">
        <f ca="1">IF(L66&gt;0.5,0.5,ROUND(L66,0))</f>
        <v>0.5</v>
      </c>
      <c r="N66" s="2769" t="s">
        <v>2075</v>
      </c>
      <c r="Z66" s="1937"/>
      <c r="AI66" s="1938"/>
    </row>
    <row r="67" spans="1:35" ht="14.25" customHeight="1">
      <c r="A67" s="176" t="s">
        <v>773</v>
      </c>
      <c r="B67" s="177" t="s">
        <v>2076</v>
      </c>
      <c r="C67" s="2793">
        <f ca="1">C63-C66</f>
        <v>26334</v>
      </c>
      <c r="D67" s="173" t="s">
        <v>32</v>
      </c>
      <c r="E67" s="175"/>
      <c r="F67" s="1993"/>
      <c r="G67" s="1993"/>
      <c r="H67" s="1995"/>
      <c r="I67" s="132"/>
      <c r="J67" s="3218"/>
      <c r="K67" s="1500" t="s">
        <v>2077</v>
      </c>
      <c r="L67" s="1500">
        <f ca="1">IF(M49&gt;=10000,(8.25+(M49-10000)*0.01%),IF(AND(M49&gt;=8000,M49&lt;10000),(7.85+(M49-8000)*0.02%),IF(AND(M49&gt;=5000,M49&lt;8000),(6.65+(M49-5000)*0.04%),IF(AND(M49&gt;=2000,M49&lt;5000),(4.25+(PM49-2000)*0.08%),IF(AND(M49&gt;=1000,M49&lt;2000),(2.75+(M49-1000)*0.15%),IF(AND(M49&gt;=100,M49&lt;1000),(0.5+(M49-100)*0.25%),IF(AND(M49&gt;0,M49&lt;100),M49*0.5%)))))))</f>
        <v>10.0151</v>
      </c>
      <c r="M67" s="306">
        <f ca="1">ROUND(L67*0.9,1)</f>
        <v>9</v>
      </c>
      <c r="N67" s="2768"/>
      <c r="Z67" s="1937"/>
      <c r="AI67" s="1938"/>
    </row>
    <row r="68" spans="1:35" ht="14.25" customHeight="1" thickBot="1">
      <c r="A68" s="179" t="s">
        <v>774</v>
      </c>
      <c r="B68" s="180" t="s">
        <v>2078</v>
      </c>
      <c r="C68" s="2794">
        <f ca="1">IF(C67&lt;=0,0,ROUND(C67*D68,0))</f>
        <v>1475</v>
      </c>
      <c r="D68" s="2795">
        <f>'数据-取费表'!B41</f>
        <v>5.6000000000000001E-2</v>
      </c>
      <c r="E68" s="182"/>
      <c r="F68" s="1993"/>
      <c r="G68" s="1993"/>
      <c r="H68" s="1995"/>
      <c r="I68" s="132"/>
      <c r="J68" s="3218"/>
      <c r="K68" s="1500" t="s">
        <v>2079</v>
      </c>
      <c r="L68" s="1500">
        <f ca="1">IF(M49&gt;10000,M49*0.5%,IF(AND(M49&gt;5000,M49&lt;=10000),M49*1%,IF(AND(M49&gt;1000,M49&lt;=5000),M49*2%,IF(AND(M49&gt;200,M49&lt;=1000),M49*3%,M49*5%))))</f>
        <v>138.255</v>
      </c>
      <c r="M68" s="306">
        <f ca="1">ROUND(L68,1)</f>
        <v>138.30000000000001</v>
      </c>
      <c r="N68" s="2768"/>
      <c r="Z68" s="1937"/>
      <c r="AI68" s="1938"/>
    </row>
    <row r="69" spans="1:35" s="1957" customFormat="1" ht="16.5" customHeight="1">
      <c r="A69" s="1996"/>
      <c r="B69" s="1997"/>
      <c r="C69" s="1998"/>
      <c r="D69" s="1999"/>
      <c r="E69" s="2000"/>
      <c r="F69" s="1762"/>
      <c r="G69" s="1762"/>
      <c r="H69" s="1761"/>
      <c r="I69" s="1932"/>
      <c r="J69" s="3218"/>
      <c r="K69" s="1500" t="s">
        <v>2080</v>
      </c>
      <c r="L69" s="1500"/>
      <c r="M69" s="306">
        <f ca="1">ROUND(SUM(M63:M68),0)</f>
        <v>452</v>
      </c>
      <c r="N69" s="2770">
        <f ca="1">M69/M49</f>
        <v>1.6346605909370367E-2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62" t="s">
        <v>2081</v>
      </c>
      <c r="B70" s="3263"/>
      <c r="C70" s="3263"/>
      <c r="D70" s="3263"/>
      <c r="E70" s="3263"/>
      <c r="F70" s="3263"/>
      <c r="G70" s="3263"/>
      <c r="H70" s="326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54" t="s">
        <v>2062</v>
      </c>
      <c r="B71" s="3255"/>
      <c r="C71" s="2208"/>
      <c r="D71" s="2208" t="s">
        <v>2063</v>
      </c>
      <c r="E71" s="183" t="s">
        <v>2064</v>
      </c>
      <c r="F71" s="184"/>
      <c r="G71" s="184"/>
      <c r="H71" s="185"/>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6" t="s">
        <v>775</v>
      </c>
      <c r="B72" s="177" t="s">
        <v>2082</v>
      </c>
      <c r="C72" s="2793">
        <f ca="1">ROUND(D45/(1+'数据-取费表'!C42),0)</f>
        <v>26334</v>
      </c>
      <c r="D72" s="173" t="s">
        <v>32</v>
      </c>
      <c r="E72" s="2553"/>
      <c r="F72" s="2552"/>
      <c r="G72" s="2552"/>
      <c r="H72" s="186"/>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6" t="s">
        <v>772</v>
      </c>
      <c r="B73" s="166" t="s">
        <v>2083</v>
      </c>
      <c r="C73" s="2793">
        <f ca="1">C74+C78</f>
        <v>158</v>
      </c>
      <c r="D73" s="173" t="s">
        <v>32</v>
      </c>
      <c r="E73" s="2553"/>
      <c r="F73" s="2552"/>
      <c r="G73" s="2552"/>
      <c r="H73" s="186"/>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2" t="s">
        <v>770</v>
      </c>
      <c r="B74" s="173" t="s">
        <v>2084</v>
      </c>
      <c r="C74" s="173">
        <f>ROUND(IF(G77="2016年5月1日后购买",C75/(1+'数据-取费表'!C42)+C76+C77,C75+C76+C77),0)</f>
        <v>0</v>
      </c>
      <c r="D74" s="173" t="s">
        <v>32</v>
      </c>
      <c r="E74" s="2553"/>
      <c r="F74" s="2552"/>
      <c r="G74" s="2552"/>
      <c r="H74" s="186"/>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2" t="s">
        <v>776</v>
      </c>
      <c r="B75" s="173" t="s">
        <v>2085</v>
      </c>
      <c r="C75" s="2796"/>
      <c r="D75" s="173" t="s">
        <v>32</v>
      </c>
      <c r="E75" s="188" t="s">
        <v>2086</v>
      </c>
      <c r="F75" s="2797"/>
      <c r="G75" s="188"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2" t="s">
        <v>777</v>
      </c>
      <c r="B76" s="189" t="s">
        <v>2088</v>
      </c>
      <c r="C76" s="173">
        <f>IF(F75="购房发票",ROUND(C75*H75*D76,0),0)</f>
        <v>0</v>
      </c>
      <c r="D76" s="2799">
        <v>0.05</v>
      </c>
      <c r="E76" s="3259" t="s">
        <v>2089</v>
      </c>
      <c r="F76" s="3258"/>
      <c r="G76" s="3258"/>
      <c r="H76" s="326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2" t="s">
        <v>778</v>
      </c>
      <c r="B77" s="173" t="s">
        <v>2090</v>
      </c>
      <c r="C77" s="173">
        <f>ROUND(IF(G77="个人住宅",0,IF(G77="2016年5月1日前购买",C75*D77,C75*D77/(1+'数据-取费表'!C42))),0)</f>
        <v>0</v>
      </c>
      <c r="D77" s="2800">
        <f>'数据-取费表'!B48+'数据-取费表'!B49</f>
        <v>4.0500000000000001E-2</v>
      </c>
      <c r="E77" s="2546" t="s">
        <v>2091</v>
      </c>
      <c r="F77" s="190"/>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2" t="s">
        <v>771</v>
      </c>
      <c r="B78" s="173" t="s">
        <v>2092</v>
      </c>
      <c r="C78" s="2801">
        <f ca="1">ROUND(D45*D78/(1+'数据-取费表'!C42),0)</f>
        <v>158</v>
      </c>
      <c r="D78" s="2802">
        <f>'数据-取费表'!B43</f>
        <v>6.000000000000001E-3</v>
      </c>
      <c r="E78" s="3251" t="s">
        <v>2093</v>
      </c>
      <c r="F78" s="3252"/>
      <c r="G78" s="3252"/>
      <c r="H78" s="325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6" t="s">
        <v>779</v>
      </c>
      <c r="B79" s="177" t="s">
        <v>2094</v>
      </c>
      <c r="C79" s="2793">
        <f ca="1">C72-C73</f>
        <v>26176</v>
      </c>
      <c r="D79" s="173" t="s">
        <v>32</v>
      </c>
      <c r="E79" s="2553"/>
      <c r="F79" s="2552"/>
      <c r="G79" s="2552"/>
      <c r="H79" s="186"/>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6" t="s">
        <v>780</v>
      </c>
      <c r="B80" s="177" t="s">
        <v>2095</v>
      </c>
      <c r="C80" s="2803">
        <f ca="1">IF(C79&lt;=0,0,C79/C73)</f>
        <v>165.67088607594937</v>
      </c>
      <c r="D80" s="173"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6"/>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9" t="s">
        <v>781</v>
      </c>
      <c r="B81" s="180" t="s">
        <v>2096</v>
      </c>
      <c r="C81" s="2804">
        <f ca="1">ROUND(IF(C79&lt;=0,0,IF(C80&gt;=200%,C79*60%-C73*35%,IF(C80&gt;=100%,C79*50%-C73*15%,IF(C80&gt;=50%,C79*40%-C73*5%,IF(C80&lt;50%,C79*30%,0))))),0)</f>
        <v>15650</v>
      </c>
      <c r="D81" s="2805"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62" t="s">
        <v>2097</v>
      </c>
      <c r="B83" s="3263"/>
      <c r="C83" s="3263"/>
      <c r="D83" s="3263"/>
      <c r="E83" s="3263"/>
      <c r="F83" s="3263"/>
      <c r="G83" s="3263"/>
      <c r="H83" s="326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54" t="s">
        <v>2062</v>
      </c>
      <c r="B84" s="3255"/>
      <c r="C84" s="2208"/>
      <c r="D84" s="2208" t="s">
        <v>2063</v>
      </c>
      <c r="E84" s="183" t="s">
        <v>2064</v>
      </c>
      <c r="F84" s="184"/>
      <c r="G84" s="184"/>
      <c r="H84" s="195"/>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6" t="s">
        <v>775</v>
      </c>
      <c r="B85" s="177" t="s">
        <v>2082</v>
      </c>
      <c r="C85" s="2793">
        <f ca="1">ROUND(D45/(1+'数据-取费表'!C42),0)</f>
        <v>26334</v>
      </c>
      <c r="D85" s="173" t="s">
        <v>32</v>
      </c>
      <c r="E85" s="2553"/>
      <c r="F85" s="2552"/>
      <c r="G85" s="2552"/>
      <c r="H85" s="196"/>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6" t="s">
        <v>772</v>
      </c>
      <c r="B86" s="166" t="s">
        <v>2083</v>
      </c>
      <c r="C86" s="2793">
        <f ca="1">IF(H88="仅含出让金",C87+C90+C91+C92+C93+C94,C87+C91+C92+C93+C94)</f>
        <v>158</v>
      </c>
      <c r="D86" s="2806"/>
      <c r="E86" s="2553"/>
      <c r="F86" s="2552"/>
      <c r="G86" s="2552"/>
      <c r="H86" s="196"/>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2" t="s">
        <v>770</v>
      </c>
      <c r="B87" s="173"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2" t="s">
        <v>776</v>
      </c>
      <c r="B88" s="173" t="s">
        <v>2099</v>
      </c>
      <c r="C88" s="2807"/>
      <c r="D88" s="2802"/>
      <c r="E88" s="197" t="s">
        <v>2100</v>
      </c>
      <c r="F88" s="2549"/>
      <c r="G88" s="198" t="s">
        <v>2101</v>
      </c>
      <c r="H88" s="2009"/>
      <c r="I88" s="2006"/>
      <c r="J88" s="2746" t="s">
        <v>3035</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2" t="s">
        <v>777</v>
      </c>
      <c r="B89" s="173" t="s">
        <v>2090</v>
      </c>
      <c r="C89" s="2801">
        <f>ROUND(C88*D89,0)</f>
        <v>0</v>
      </c>
      <c r="D89" s="2802">
        <f>'数据-取费表'!B48+'数据-取费表'!B49</f>
        <v>4.0500000000000001E-2</v>
      </c>
      <c r="E89" s="197"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2" t="s">
        <v>771</v>
      </c>
      <c r="B90" s="173" t="s">
        <v>2103</v>
      </c>
      <c r="C90" s="2807"/>
      <c r="D90" s="2802"/>
      <c r="E90" s="197" t="str">
        <f>IF(H88="-","土地取得成本中已包含该笔费用"," ")</f>
        <v xml:space="preserve"> </v>
      </c>
      <c r="F90" s="2549"/>
      <c r="G90" s="3220" t="s">
        <v>2872</v>
      </c>
      <c r="H90" s="3221"/>
      <c r="I90" s="2006"/>
      <c r="J90" s="2746" t="s">
        <v>3036</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2" t="s">
        <v>2104</v>
      </c>
      <c r="B91" s="173" t="s">
        <v>2105</v>
      </c>
      <c r="C91" s="2801">
        <f>IF(H91="——",成本法!C33,I91)</f>
        <v>0</v>
      </c>
      <c r="D91" s="2802"/>
      <c r="E91" s="3251" t="s">
        <v>2106</v>
      </c>
      <c r="F91" s="3252"/>
      <c r="G91" s="325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2" t="s">
        <v>2107</v>
      </c>
      <c r="B92" s="173" t="s">
        <v>2108</v>
      </c>
      <c r="C92" s="2801">
        <f>ROUND((C87+C90+C91)*D92,0)</f>
        <v>0</v>
      </c>
      <c r="D92" s="2808"/>
      <c r="E92" s="3251" t="s">
        <v>2109</v>
      </c>
      <c r="F92" s="3252"/>
      <c r="G92" s="3252"/>
      <c r="H92" s="3253"/>
      <c r="I92" s="2006"/>
      <c r="J92" s="2747" t="s">
        <v>3037</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2" t="s">
        <v>2110</v>
      </c>
      <c r="B93" s="173" t="s">
        <v>2092</v>
      </c>
      <c r="C93" s="2801">
        <f ca="1">ROUND(D45*D93/(1+'数据-取费表'!C42),0)</f>
        <v>158</v>
      </c>
      <c r="D93" s="2802">
        <f>'数据-取费表'!B43</f>
        <v>6.000000000000001E-3</v>
      </c>
      <c r="E93" s="3251" t="s">
        <v>2093</v>
      </c>
      <c r="F93" s="3252"/>
      <c r="G93" s="3252"/>
      <c r="H93" s="325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2" t="s">
        <v>2111</v>
      </c>
      <c r="B94" s="173" t="s">
        <v>2112</v>
      </c>
      <c r="C94" s="2807">
        <f>ROUND((C87+C90+C91)*D94,0)</f>
        <v>0</v>
      </c>
      <c r="D94" s="2802">
        <v>0.2</v>
      </c>
      <c r="E94" s="3299" t="s">
        <v>2113</v>
      </c>
      <c r="F94" s="3300"/>
      <c r="G94" s="3300"/>
      <c r="H94" s="330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6" t="s">
        <v>779</v>
      </c>
      <c r="B95" s="177" t="s">
        <v>2094</v>
      </c>
      <c r="C95" s="2793">
        <f ca="1">ROUND(C85-C86,0)</f>
        <v>26176</v>
      </c>
      <c r="D95" s="173" t="s">
        <v>32</v>
      </c>
      <c r="E95" s="2553"/>
      <c r="F95" s="2552"/>
      <c r="G95" s="2552"/>
      <c r="H95" s="196"/>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6" t="s">
        <v>780</v>
      </c>
      <c r="B96" s="177" t="s">
        <v>2095</v>
      </c>
      <c r="C96" s="2803">
        <f ca="1">IF(C95&lt;=0,0,C95/C86)</f>
        <v>165.67088607594937</v>
      </c>
      <c r="D96" s="173"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6"/>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9" t="s">
        <v>781</v>
      </c>
      <c r="B97" s="180" t="s">
        <v>2096</v>
      </c>
      <c r="C97" s="2804">
        <f ca="1">ROUND(IF(C95&lt;=0,0,IF(C96&gt;=200%,C95*60%-C86*35%,IF(C96&gt;=100%,C95*50%-C86*15%,IF(C96&gt;=50%,C95*40%-C86*5%,IF(C96&lt;50%,C95*30%,0))))),0)</f>
        <v>15650</v>
      </c>
      <c r="D97" s="2805"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2"/>
    </row>
    <row r="99" spans="1:35" ht="21.75" customHeight="1" thickBot="1">
      <c r="A99" s="1985" t="s">
        <v>2114</v>
      </c>
      <c r="B99" s="1932"/>
      <c r="C99" s="1932"/>
      <c r="D99" s="1932"/>
      <c r="E99" s="1762"/>
      <c r="F99" s="1762"/>
      <c r="G99" s="1762"/>
      <c r="H99" s="1761"/>
      <c r="I99" s="132"/>
    </row>
    <row r="100" spans="1:35" ht="18.75" customHeight="1">
      <c r="A100" s="3201" t="s">
        <v>2115</v>
      </c>
      <c r="B100" s="3202"/>
      <c r="C100" s="3202"/>
      <c r="D100" s="3236"/>
      <c r="E100" s="3202" t="s">
        <v>2116</v>
      </c>
      <c r="F100" s="3202"/>
      <c r="G100" s="3202"/>
      <c r="H100" s="3236"/>
      <c r="I100" s="132"/>
    </row>
    <row r="101" spans="1:35" ht="18.75" customHeight="1">
      <c r="A101" s="3244" t="s">
        <v>2117</v>
      </c>
      <c r="B101" s="3245"/>
      <c r="C101" s="2810" t="str">
        <f>C4</f>
        <v>典型户型修正</v>
      </c>
      <c r="D101" s="2811" t="str">
        <f>D4</f>
        <v>收益法</v>
      </c>
      <c r="E101" s="3214" t="s">
        <v>2118</v>
      </c>
      <c r="F101" s="3215"/>
      <c r="G101" s="2012" t="s">
        <v>2119</v>
      </c>
      <c r="H101" s="2820">
        <f ca="1">H118</f>
        <v>27651</v>
      </c>
      <c r="I101" s="132"/>
    </row>
    <row r="102" spans="1:35" ht="18.75" customHeight="1">
      <c r="A102" s="3246" t="s">
        <v>2120</v>
      </c>
      <c r="B102" s="2809" t="s">
        <v>2119</v>
      </c>
      <c r="C102" s="2810">
        <f ca="1">C19</f>
        <v>30860</v>
      </c>
      <c r="D102" s="2811">
        <f ca="1">D19</f>
        <v>22837</v>
      </c>
      <c r="E102" s="3214"/>
      <c r="F102" s="3215"/>
      <c r="G102" s="2012" t="s">
        <v>2121</v>
      </c>
      <c r="H102" s="2780">
        <f ca="1">I118</f>
        <v>18292</v>
      </c>
      <c r="I102" s="132"/>
    </row>
    <row r="103" spans="1:35" ht="42.75" customHeight="1">
      <c r="A103" s="3246"/>
      <c r="B103" s="2809" t="s">
        <v>2121</v>
      </c>
      <c r="C103" s="2812">
        <f ca="1">C20</f>
        <v>20415</v>
      </c>
      <c r="D103" s="2813">
        <f ca="1">D20</f>
        <v>15107</v>
      </c>
      <c r="E103" s="3207" t="s">
        <v>2122</v>
      </c>
      <c r="F103" s="3208"/>
      <c r="G103" s="2013" t="s">
        <v>2123</v>
      </c>
      <c r="H103" s="2820">
        <f>IF(D36="正常操作",H104+H105+H106,H105+H106)</f>
        <v>0</v>
      </c>
      <c r="I103" s="132"/>
    </row>
    <row r="104" spans="1:35" ht="18.75" customHeight="1">
      <c r="A104" s="3246" t="s">
        <v>2124</v>
      </c>
      <c r="B104" s="2814" t="s">
        <v>2119</v>
      </c>
      <c r="C104" s="2815">
        <f ca="1">H118</f>
        <v>27651</v>
      </c>
      <c r="D104" s="2816"/>
      <c r="E104" s="1859" t="s">
        <v>2125</v>
      </c>
      <c r="F104" s="1850"/>
      <c r="G104" s="2013" t="s">
        <v>2123</v>
      </c>
      <c r="H104" s="2821">
        <f>IF(D36="同一抵押权人同一抵押物续贷",C36&amp;"（续贷，未扣减，详见特别提示）",C36)</f>
        <v>0</v>
      </c>
      <c r="I104" s="132"/>
    </row>
    <row r="105" spans="1:35" ht="18.75" customHeight="1" thickBot="1">
      <c r="A105" s="3256"/>
      <c r="B105" s="2817" t="s">
        <v>2121</v>
      </c>
      <c r="C105" s="2818">
        <f ca="1">I118</f>
        <v>18292</v>
      </c>
      <c r="D105" s="2819"/>
      <c r="E105" s="1859" t="s">
        <v>2126</v>
      </c>
      <c r="F105" s="1850"/>
      <c r="G105" s="2013" t="s">
        <v>2123</v>
      </c>
      <c r="H105" s="2822">
        <f>C37</f>
        <v>0</v>
      </c>
      <c r="I105" s="132"/>
    </row>
    <row r="106" spans="1:35" ht="18.75" customHeight="1">
      <c r="A106" s="1932" t="s">
        <v>2127</v>
      </c>
      <c r="B106" s="1932"/>
      <c r="C106" s="1932"/>
      <c r="D106" s="1932"/>
      <c r="E106" s="2014" t="s">
        <v>2128</v>
      </c>
      <c r="F106" s="1850"/>
      <c r="G106" s="2013" t="s">
        <v>2123</v>
      </c>
      <c r="H106" s="2822">
        <f>C38</f>
        <v>0</v>
      </c>
      <c r="I106" s="132"/>
    </row>
    <row r="107" spans="1:35" ht="18.75" customHeight="1">
      <c r="A107" s="132"/>
      <c r="B107" s="132"/>
      <c r="C107" s="132"/>
      <c r="D107" s="132"/>
      <c r="E107" s="3247" t="str">
        <f>IF(项目基本情况!E8="已注销","——","3.房地产抵押价值")</f>
        <v>3.房地产抵押价值</v>
      </c>
      <c r="F107" s="3215"/>
      <c r="G107" s="2012" t="s">
        <v>2119</v>
      </c>
      <c r="H107" s="2820">
        <f ca="1">IF(E107="——","——",H101-H103)</f>
        <v>27651</v>
      </c>
      <c r="I107" s="132"/>
    </row>
    <row r="108" spans="1:35" ht="18.75" customHeight="1">
      <c r="A108" s="132"/>
      <c r="B108" s="132"/>
      <c r="C108" s="132"/>
      <c r="D108" s="132"/>
      <c r="E108" s="3247"/>
      <c r="F108" s="3215"/>
      <c r="G108" s="2012" t="s">
        <v>2121</v>
      </c>
      <c r="H108" s="2780">
        <f ca="1">ROUND(H107*10000/'数据-汇总表'!E3,0)</f>
        <v>12019</v>
      </c>
      <c r="I108" s="132"/>
    </row>
    <row r="109" spans="1:35" ht="18.75" customHeight="1">
      <c r="A109" s="132"/>
      <c r="B109" s="132"/>
      <c r="C109" s="132"/>
      <c r="D109" s="132"/>
      <c r="E109" s="3247" t="str">
        <f>IF(项目基本情况!E8="已注销及未注销","4.抵押担保权已注销时的房地产抵押价值",IF(项目基本情况!E8="已注销","3.抵押担保权已注销时的房地产抵押价值","——"))</f>
        <v>——</v>
      </c>
      <c r="F109" s="3215"/>
      <c r="G109" s="2012" t="s">
        <v>2119</v>
      </c>
      <c r="H109" s="2823" t="str">
        <f>IF(E109="——","——",H101-H105-H106)</f>
        <v>——</v>
      </c>
      <c r="I109" s="132"/>
    </row>
    <row r="110" spans="1:35" ht="18.75" customHeight="1">
      <c r="A110" s="132"/>
      <c r="B110" s="132"/>
      <c r="C110" s="132"/>
      <c r="D110" s="132"/>
      <c r="E110" s="3247"/>
      <c r="F110" s="3215"/>
      <c r="G110" s="2012" t="s">
        <v>2121</v>
      </c>
      <c r="H110" s="2780" t="str">
        <f>IF(H109="——","——",ROUND(H109*10000/'数据-汇总表'!E3,0))</f>
        <v>——</v>
      </c>
      <c r="I110" s="132"/>
    </row>
    <row r="111" spans="1:35" ht="18.75" customHeight="1">
      <c r="A111" s="132"/>
      <c r="B111" s="132"/>
      <c r="C111" s="132"/>
      <c r="D111" s="132"/>
      <c r="E111" s="3248" t="str">
        <f>IF(项目基本情况!E9="抵押净值",IF(OR(项目基本情况!E8="已注销",项目基本情况!E8="房地产抵押价值"),"4.抵押净值","5.抵押净值"),"——")</f>
        <v>——</v>
      </c>
      <c r="F111" s="3234"/>
      <c r="G111" s="2012" t="s">
        <v>2119</v>
      </c>
      <c r="H111" s="2820" t="str">
        <f>IF(E111="——","——",N59)</f>
        <v>——</v>
      </c>
      <c r="I111" s="132"/>
    </row>
    <row r="112" spans="1:35" ht="18.75" customHeight="1" thickBot="1">
      <c r="A112" s="132"/>
      <c r="B112" s="132"/>
      <c r="C112" s="132"/>
      <c r="D112" s="132"/>
      <c r="E112" s="3249"/>
      <c r="F112" s="3250"/>
      <c r="G112" s="2015" t="s">
        <v>2121</v>
      </c>
      <c r="H112" s="2824" t="str">
        <f>IF(E111="——","——",N61)</f>
        <v>——</v>
      </c>
      <c r="I112" s="132"/>
    </row>
    <row r="113" spans="1:27" ht="18.75" customHeight="1">
      <c r="A113" s="132"/>
      <c r="B113" s="132"/>
      <c r="C113" s="132"/>
      <c r="D113" s="132"/>
      <c r="E113" s="3257" t="s">
        <v>2127</v>
      </c>
      <c r="F113" s="3257"/>
      <c r="G113" s="3257"/>
      <c r="H113" s="3257"/>
      <c r="I113" s="132"/>
    </row>
    <row r="114" spans="1:27" ht="3.75" customHeight="1">
      <c r="A114" s="1932"/>
      <c r="B114" s="1932"/>
      <c r="C114" s="1932"/>
      <c r="D114" s="1932"/>
      <c r="E114" s="1994"/>
      <c r="F114" s="1994"/>
      <c r="G114" s="1994"/>
      <c r="H114" s="1994"/>
      <c r="I114" s="1932"/>
    </row>
    <row r="115" spans="1:27" ht="18.75" customHeight="1">
      <c r="A115" s="3268" t="s">
        <v>2129</v>
      </c>
      <c r="B115" s="3269"/>
      <c r="C115" s="3269"/>
      <c r="D115" s="3269"/>
      <c r="E115" s="3269"/>
      <c r="F115" s="3269"/>
      <c r="G115" s="3269"/>
      <c r="H115" s="3269"/>
      <c r="I115" s="3270"/>
    </row>
    <row r="116" spans="1:27" ht="27" customHeight="1">
      <c r="A116" s="3222" t="s">
        <v>2130</v>
      </c>
      <c r="B116" s="3226" t="s">
        <v>2131</v>
      </c>
      <c r="C116" s="3226" t="s">
        <v>2132</v>
      </c>
      <c r="D116" s="3232" t="s">
        <v>2133</v>
      </c>
      <c r="E116" s="3233"/>
      <c r="F116" s="3264" t="s">
        <v>2134</v>
      </c>
      <c r="G116" s="3264"/>
      <c r="H116" s="3222" t="s">
        <v>2135</v>
      </c>
      <c r="I116" s="3222"/>
    </row>
    <row r="117" spans="1:27" ht="18.75" customHeight="1">
      <c r="A117" s="3222"/>
      <c r="B117" s="3227"/>
      <c r="C117" s="3227"/>
      <c r="D117" s="2551" t="s">
        <v>2136</v>
      </c>
      <c r="E117" s="2551" t="s">
        <v>2137</v>
      </c>
      <c r="F117" s="2551" t="s">
        <v>2136</v>
      </c>
      <c r="G117" s="2551" t="s">
        <v>2138</v>
      </c>
      <c r="H117" s="2551" t="s">
        <v>2136</v>
      </c>
      <c r="I117" s="2551" t="s">
        <v>2138</v>
      </c>
    </row>
    <row r="118" spans="1:27" ht="24.75" customHeight="1">
      <c r="A118" s="2825" t="str">
        <f>项目基本情况!S2</f>
        <v>房地产</v>
      </c>
      <c r="B118" s="2551">
        <f>M18</f>
        <v>15116.56</v>
      </c>
      <c r="C118" s="2551">
        <f>M19</f>
        <v>1827.99</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27651</v>
      </c>
      <c r="I118" s="2551">
        <f ca="1">ROUND(IF(D32="楼面单价",C32,H118*10000/B118),0)</f>
        <v>18292</v>
      </c>
    </row>
    <row r="119" spans="1:27" ht="18.75" customHeight="1">
      <c r="A119" s="3222" t="s">
        <v>2139</v>
      </c>
      <c r="B119" s="3222"/>
      <c r="C119" s="3222"/>
      <c r="D119" s="3228" t="e">
        <f ca="1">NUMBERSTRING(INT(D118*10000),2)&amp;"元整"</f>
        <v>#REF!</v>
      </c>
      <c r="E119" s="3229"/>
      <c r="F119" s="3228" t="e">
        <f ca="1">NUMBERSTRING(INT(F118*10000),2)&amp;"元整"</f>
        <v>#REF!</v>
      </c>
      <c r="G119" s="3229"/>
      <c r="H119" s="3228" t="str">
        <f ca="1">NUMBERSTRING(INT(H118*10000),2)&amp;"元整"</f>
        <v>贰亿柒仟陆佰伍拾壹万元整</v>
      </c>
      <c r="I119" s="3229"/>
    </row>
    <row r="120" spans="1:27" ht="18.75" customHeight="1">
      <c r="A120" s="3223" t="str">
        <f>IF(项目基本情况!B9="房地产市场价值","",MID(E103,3,LEN(E103)-2))</f>
        <v>估价师知悉的法定优先受偿款</v>
      </c>
      <c r="B120" s="3224"/>
      <c r="C120" s="3225"/>
      <c r="D120" s="3223">
        <f>H103</f>
        <v>0</v>
      </c>
      <c r="E120" s="3224"/>
      <c r="F120" s="3224"/>
      <c r="G120" s="3224"/>
      <c r="H120" s="3224"/>
      <c r="I120" s="322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65" t="s">
        <v>2139</v>
      </c>
      <c r="B121" s="3266"/>
      <c r="C121" s="3267"/>
      <c r="D121" s="3228" t="str">
        <f>IF(D120=0,"零元整",NUMBERSTRING(INT(D120*10000),2)&amp;"元整")</f>
        <v>零元整</v>
      </c>
      <c r="E121" s="3230"/>
      <c r="F121" s="3230"/>
      <c r="G121" s="3230"/>
      <c r="H121" s="3230"/>
      <c r="I121" s="3229"/>
      <c r="AA121" s="731"/>
    </row>
    <row r="122" spans="1:27" ht="18.75" customHeight="1">
      <c r="A122" s="3234" t="str">
        <f>IF(项目基本情况!B9="房地产市场价值","",MID(E107,3,LEN(E107)-2))</f>
        <v>房地产抵押价值</v>
      </c>
      <c r="B122" s="3234"/>
      <c r="C122" s="3234"/>
      <c r="D122" s="3223">
        <f ca="1">H107</f>
        <v>27651</v>
      </c>
      <c r="E122" s="3224"/>
      <c r="F122" s="3224"/>
      <c r="G122" s="3224"/>
      <c r="H122" s="3224"/>
      <c r="I122" s="3225"/>
      <c r="AA122" s="731"/>
    </row>
    <row r="123" spans="1:27" ht="18.75" customHeight="1">
      <c r="A123" s="3222" t="s">
        <v>2139</v>
      </c>
      <c r="B123" s="3222"/>
      <c r="C123" s="3222"/>
      <c r="D123" s="3228" t="str">
        <f ca="1">NUMBERSTRING(INT(D122*10000),2)&amp;"元整"</f>
        <v>贰亿柒仟陆佰伍拾壹万元整</v>
      </c>
      <c r="E123" s="3230"/>
      <c r="F123" s="3230"/>
      <c r="G123" s="3230"/>
      <c r="H123" s="3230"/>
      <c r="I123" s="3229"/>
      <c r="AA123" s="731"/>
    </row>
    <row r="124" spans="1:27" ht="18.75" customHeight="1">
      <c r="A124" s="3234" t="str">
        <f>IF(项目基本情况!B9="房地产市场价值","",MID(E109,3,LEN(E109)-2))</f>
        <v/>
      </c>
      <c r="B124" s="3234"/>
      <c r="C124" s="3234"/>
      <c r="D124" s="3223" t="str">
        <f>H109</f>
        <v>——</v>
      </c>
      <c r="E124" s="3224"/>
      <c r="F124" s="3224"/>
      <c r="G124" s="3224"/>
      <c r="H124" s="3224"/>
      <c r="I124" s="3225"/>
      <c r="AA124" s="731"/>
    </row>
    <row r="125" spans="1:27" ht="18.75" customHeight="1">
      <c r="A125" s="3222" t="s">
        <v>2139</v>
      </c>
      <c r="B125" s="3222"/>
      <c r="C125" s="3222"/>
      <c r="D125" s="3228" t="e">
        <f>NUMBERSTRING(INT(D124*10000),2)&amp;"元整"</f>
        <v>#VALUE!</v>
      </c>
      <c r="E125" s="3230"/>
      <c r="F125" s="3230"/>
      <c r="G125" s="3230"/>
      <c r="H125" s="3230"/>
      <c r="I125" s="3229"/>
      <c r="AA125" s="731"/>
    </row>
    <row r="126" spans="1:27" ht="18.75" customHeight="1">
      <c r="A126" s="3234" t="str">
        <f>IF(项目基本情况!B9="房地产市场价值","",MID(E111,3,LEN(E111)-2))</f>
        <v/>
      </c>
      <c r="B126" s="3234"/>
      <c r="C126" s="3234"/>
      <c r="D126" s="3223" t="str">
        <f>H111</f>
        <v>——</v>
      </c>
      <c r="E126" s="3224"/>
      <c r="F126" s="3224"/>
      <c r="G126" s="3224"/>
      <c r="H126" s="3224"/>
      <c r="I126" s="3225"/>
      <c r="AA126" s="731"/>
    </row>
    <row r="127" spans="1:27" ht="18.75" customHeight="1">
      <c r="A127" s="3222" t="s">
        <v>2139</v>
      </c>
      <c r="B127" s="3222"/>
      <c r="C127" s="3222"/>
      <c r="D127" s="3228" t="e">
        <f>NUMBERSTRING(INT(D126*10000),2)&amp;"元整"</f>
        <v>#VALUE!</v>
      </c>
      <c r="E127" s="3230"/>
      <c r="F127" s="3230"/>
      <c r="G127" s="3230"/>
      <c r="H127" s="3230"/>
      <c r="I127" s="3229"/>
      <c r="AA127" s="731"/>
    </row>
    <row r="128" spans="1:27" ht="21.75" customHeight="1">
      <c r="A128" s="3231" t="s">
        <v>2140</v>
      </c>
      <c r="B128" s="3231"/>
      <c r="C128" s="3231"/>
      <c r="D128" s="3231"/>
      <c r="E128" s="3231"/>
      <c r="F128" s="3231"/>
      <c r="G128" s="3231"/>
      <c r="H128" s="3231"/>
      <c r="I128" s="3231"/>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3"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115" t="str">
        <f>项目基本情况!B1</f>
        <v>房地产抵押价值预评估</v>
      </c>
      <c r="C37" s="3115"/>
      <c r="D37" s="3115"/>
      <c r="E37" s="3115"/>
      <c r="F37" s="3115"/>
      <c r="G37" s="3115"/>
      <c r="H37" s="3115"/>
      <c r="I37" s="3115"/>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7" zoomScale="80" zoomScaleNormal="70" zoomScaleSheetLayoutView="80" workbookViewId="0">
      <selection activeCell="C16" sqref="C1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6.75" style="361" customWidth="1"/>
    <col min="8" max="8" width="12.25" style="361" customWidth="1"/>
    <col min="9" max="9" width="16.875" style="361" customWidth="1"/>
    <col min="10" max="10" width="12.25" style="361" customWidth="1"/>
    <col min="11" max="11" width="12.25" style="450" customWidth="1"/>
    <col min="12" max="12" width="12.25" style="451" customWidth="1"/>
    <col min="13" max="15" width="12.25" style="361" customWidth="1"/>
    <col min="16" max="16" width="4.75" style="210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063" t="s">
        <v>2464</v>
      </c>
      <c r="C1" s="1403" t="s">
        <v>2352</v>
      </c>
      <c r="D1" s="1390" t="s">
        <v>1343</v>
      </c>
      <c r="E1" s="2542"/>
      <c r="F1" s="2064" t="s">
        <v>3181</v>
      </c>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6" customFormat="1" ht="28.5" customHeight="1" thickTop="1">
      <c r="A2" s="1386" t="s">
        <v>2149</v>
      </c>
      <c r="B2" s="1323">
        <f>IF(C2="——",ROUND(C49*D3/10000,0),ROUND(C49*D3/10000,0)-D2)</f>
        <v>42589</v>
      </c>
      <c r="C2" s="2066" t="s">
        <v>70</v>
      </c>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6" customFormat="1" ht="28.5" customHeight="1" thickBot="1">
      <c r="A3" s="207" t="s">
        <v>2151</v>
      </c>
      <c r="B3" s="564">
        <f>IF(C2="——",C49,ROUND(B2*10000/D3,0))</f>
        <v>28174</v>
      </c>
      <c r="C3" s="358" t="s">
        <v>2466</v>
      </c>
      <c r="D3" s="357">
        <f>IF(D1="",'数据-汇总表'!E3,SUMIF('数据-汇总表'!$C19:$C33,D1,'数据-汇总表'!$E19:$E33))</f>
        <v>15116.56</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9" t="s">
        <v>2467</v>
      </c>
      <c r="B4" s="360"/>
      <c r="C4" s="3324" t="s">
        <v>2468</v>
      </c>
      <c r="D4" s="3325"/>
      <c r="E4" s="3326" t="s">
        <v>2469</v>
      </c>
      <c r="F4" s="3327"/>
      <c r="G4" s="3324" t="s">
        <v>2470</v>
      </c>
      <c r="H4" s="3325"/>
      <c r="I4" s="3324" t="s">
        <v>2471</v>
      </c>
      <c r="J4" s="3325"/>
      <c r="K4" s="565" t="s">
        <v>2472</v>
      </c>
      <c r="L4" s="2943"/>
      <c r="M4" s="2944"/>
      <c r="N4" s="2944"/>
      <c r="O4" s="2944"/>
      <c r="P4" s="3328" t="s">
        <v>2473</v>
      </c>
      <c r="Q4" s="3329"/>
      <c r="R4" s="3310" t="s">
        <v>2469</v>
      </c>
      <c r="S4" s="3311"/>
      <c r="T4" s="3310" t="s">
        <v>2470</v>
      </c>
      <c r="U4" s="3311"/>
      <c r="V4" s="3307" t="s">
        <v>2471</v>
      </c>
      <c r="W4" s="3307"/>
      <c r="X4" s="1538"/>
      <c r="Y4" s="3310" t="s">
        <v>2473</v>
      </c>
      <c r="Z4" s="3311"/>
      <c r="AA4" s="3304" t="s">
        <v>2469</v>
      </c>
      <c r="AB4" s="3307" t="s">
        <v>2470</v>
      </c>
      <c r="AC4" s="3304" t="s">
        <v>2471</v>
      </c>
    </row>
    <row r="5" spans="1:29" ht="15">
      <c r="A5" s="362"/>
      <c r="B5" s="363"/>
      <c r="C5" s="3316" t="s">
        <v>2364</v>
      </c>
      <c r="D5" s="3317"/>
      <c r="E5" s="3314" t="s">
        <v>2365</v>
      </c>
      <c r="F5" s="3315"/>
      <c r="G5" s="3316" t="s">
        <v>2366</v>
      </c>
      <c r="H5" s="3317"/>
      <c r="I5" s="3316" t="s">
        <v>2367</v>
      </c>
      <c r="J5" s="3317"/>
      <c r="K5" s="565"/>
      <c r="L5" s="2943"/>
      <c r="M5" s="2944"/>
      <c r="N5" s="2944"/>
      <c r="O5" s="2944"/>
      <c r="P5" s="3330"/>
      <c r="Q5" s="3331"/>
      <c r="R5" s="3312"/>
      <c r="S5" s="3313"/>
      <c r="T5" s="3312"/>
      <c r="U5" s="3313"/>
      <c r="V5" s="3307"/>
      <c r="W5" s="3307"/>
      <c r="X5" s="1538"/>
      <c r="Y5" s="3312"/>
      <c r="Z5" s="3313"/>
      <c r="AA5" s="3305"/>
      <c r="AB5" s="3307"/>
      <c r="AC5" s="3305"/>
    </row>
    <row r="6" spans="1:29" ht="15.75" thickBot="1">
      <c r="A6" s="364"/>
      <c r="B6" s="365"/>
      <c r="C6" s="3318" t="s">
        <v>2368</v>
      </c>
      <c r="D6" s="3319"/>
      <c r="E6" s="3320" t="s">
        <v>3191</v>
      </c>
      <c r="F6" s="3321"/>
      <c r="G6" s="3322" t="s">
        <v>3194</v>
      </c>
      <c r="H6" s="3319"/>
      <c r="I6" s="3322" t="s">
        <v>3192</v>
      </c>
      <c r="J6" s="3319"/>
      <c r="K6" s="565" t="s">
        <v>2369</v>
      </c>
      <c r="L6" s="2943"/>
      <c r="M6" s="2944"/>
      <c r="N6" s="2944"/>
      <c r="O6" s="2944"/>
      <c r="P6" s="3332"/>
      <c r="Q6" s="3333"/>
      <c r="R6" s="3312"/>
      <c r="S6" s="3313"/>
      <c r="T6" s="3334"/>
      <c r="U6" s="3335"/>
      <c r="V6" s="3307"/>
      <c r="W6" s="3307"/>
      <c r="X6" s="1538"/>
      <c r="Y6" s="3334"/>
      <c r="Z6" s="3335"/>
      <c r="AA6" s="3306"/>
      <c r="AB6" s="3307"/>
      <c r="AC6" s="3306"/>
    </row>
    <row r="7" spans="1:29" s="113" customFormat="1" ht="15.75" thickBot="1">
      <c r="A7" s="366" t="s">
        <v>2370</v>
      </c>
      <c r="B7" s="367"/>
      <c r="C7" s="368">
        <f>'数据-取费表'!B2</f>
        <v>44131</v>
      </c>
      <c r="D7" s="369">
        <v>100</v>
      </c>
      <c r="E7" s="370">
        <v>44105</v>
      </c>
      <c r="F7" s="371">
        <f>SUMIF(58:58,YEAR(E7)&amp;"-"&amp;MONTH(E7),59:59)</f>
        <v>100</v>
      </c>
      <c r="G7" s="370">
        <v>44131</v>
      </c>
      <c r="H7" s="369">
        <f>SUMIF(58:58,YEAR(G7)&amp;"-"&amp;MONTH(G7),59:59)</f>
        <v>100</v>
      </c>
      <c r="I7" s="370">
        <v>44124</v>
      </c>
      <c r="J7" s="369">
        <f>SUMIF(58:58,YEAR(I7)&amp;"-"&amp;MONTH(I7),59:59)</f>
        <v>100</v>
      </c>
      <c r="K7" s="566"/>
      <c r="L7" s="2945"/>
      <c r="M7" s="2946"/>
      <c r="N7" s="2946"/>
      <c r="O7" s="2946"/>
      <c r="P7" s="3308" t="s">
        <v>2371</v>
      </c>
      <c r="Q7" s="3336"/>
      <c r="R7" s="707" t="s">
        <v>17</v>
      </c>
      <c r="S7" s="708">
        <f t="shared" ref="S7:S15" si="0">F7</f>
        <v>100</v>
      </c>
      <c r="T7" s="707" t="s">
        <v>17</v>
      </c>
      <c r="U7" s="708">
        <f t="shared" ref="U7:U15" si="1">H7</f>
        <v>100</v>
      </c>
      <c r="V7" s="707" t="s">
        <v>17</v>
      </c>
      <c r="W7" s="708">
        <f t="shared" ref="W7:W15" si="2">J7</f>
        <v>100</v>
      </c>
      <c r="X7" s="709"/>
      <c r="Y7" s="3308" t="s">
        <v>2371</v>
      </c>
      <c r="Z7" s="3309"/>
      <c r="AA7" s="710">
        <f>D7/F7</f>
        <v>1</v>
      </c>
      <c r="AB7" s="710">
        <f>D7/H7</f>
        <v>1</v>
      </c>
      <c r="AC7" s="710">
        <f>D7/J7</f>
        <v>1</v>
      </c>
    </row>
    <row r="8" spans="1:29" s="113" customFormat="1" ht="15.75" thickBot="1">
      <c r="A8" s="366" t="s">
        <v>2372</v>
      </c>
      <c r="B8" s="367"/>
      <c r="C8" s="372" t="s">
        <v>2474</v>
      </c>
      <c r="D8" s="369">
        <v>100</v>
      </c>
      <c r="E8" s="372" t="s">
        <v>3182</v>
      </c>
      <c r="F8" s="371">
        <f>SUMIF(61:61,E8,62:62)-SUMIF(61:61,C8,62:62)+100</f>
        <v>100</v>
      </c>
      <c r="G8" s="372" t="s">
        <v>3182</v>
      </c>
      <c r="H8" s="369">
        <f>SUMIF(61:61,G8,62:62)-SUMIF(61:61,C8,62:62)+100</f>
        <v>100</v>
      </c>
      <c r="I8" s="372" t="s">
        <v>3182</v>
      </c>
      <c r="J8" s="369">
        <f>SUMIF(61:61,I8,62:62)-SUMIF(61:61,C8,62:62)+100</f>
        <v>100</v>
      </c>
      <c r="K8" s="566"/>
      <c r="L8" s="2945"/>
      <c r="M8" s="2946"/>
      <c r="N8" s="2946"/>
      <c r="O8" s="2946"/>
      <c r="P8" s="3308" t="s">
        <v>2374</v>
      </c>
      <c r="Q8" s="3309"/>
      <c r="R8" s="707" t="s">
        <v>17</v>
      </c>
      <c r="S8" s="708">
        <f t="shared" si="0"/>
        <v>100</v>
      </c>
      <c r="T8" s="707" t="s">
        <v>17</v>
      </c>
      <c r="U8" s="708">
        <f t="shared" si="1"/>
        <v>100</v>
      </c>
      <c r="V8" s="707" t="s">
        <v>17</v>
      </c>
      <c r="W8" s="708">
        <f t="shared" si="2"/>
        <v>100</v>
      </c>
      <c r="X8" s="709"/>
      <c r="Y8" s="3308" t="s">
        <v>2374</v>
      </c>
      <c r="Z8" s="3309"/>
      <c r="AA8" s="710">
        <f t="shared" ref="AA8:AA46" si="3">D8/F8</f>
        <v>1</v>
      </c>
      <c r="AB8" s="710">
        <f t="shared" ref="AB8:AB46" si="4">D8/H8</f>
        <v>1</v>
      </c>
      <c r="AC8" s="710">
        <f t="shared" ref="AC8:AC46" si="5">D8/J8</f>
        <v>1</v>
      </c>
    </row>
    <row r="9" spans="1:29" s="113" customFormat="1">
      <c r="A9" s="373" t="s">
        <v>2375</v>
      </c>
      <c r="B9" s="67" t="s">
        <v>2376</v>
      </c>
      <c r="C9" s="3068" t="s">
        <v>3190</v>
      </c>
      <c r="D9" s="129">
        <v>100</v>
      </c>
      <c r="E9" s="375" t="s">
        <v>1343</v>
      </c>
      <c r="F9" s="376">
        <f>SUMIF(63:63,E9,64:64)-SUMIF(63:63,C9,64:64)+100</f>
        <v>100</v>
      </c>
      <c r="G9" s="375" t="s">
        <v>1343</v>
      </c>
      <c r="H9" s="129">
        <f>SUMIF(63:63,G9,64:64)-SUMIF(63:63,C9,64:64)+100</f>
        <v>100</v>
      </c>
      <c r="I9" s="375" t="s">
        <v>1343</v>
      </c>
      <c r="J9" s="129">
        <f>SUMIF(63:63,I9,64:64)-SUMIF(63:63,C9,64:64)+100</f>
        <v>100</v>
      </c>
      <c r="K9" s="566"/>
      <c r="L9" s="2945"/>
      <c r="M9" s="2946"/>
      <c r="N9" s="2946"/>
      <c r="O9" s="2946"/>
      <c r="P9" s="3323"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710">
        <f t="shared" si="5"/>
        <v>1</v>
      </c>
    </row>
    <row r="10" spans="1:29" s="384" customFormat="1" ht="27">
      <c r="A10" s="378"/>
      <c r="B10" s="379" t="s">
        <v>2379</v>
      </c>
      <c r="C10" s="380" t="s">
        <v>3193</v>
      </c>
      <c r="D10" s="130">
        <v>100</v>
      </c>
      <c r="E10" s="380" t="s">
        <v>3193</v>
      </c>
      <c r="F10" s="382">
        <f>SUMIF(65:65,E10,66:66)-SUMIF(65:65,C10,66:66)+100</f>
        <v>100</v>
      </c>
      <c r="G10" s="380" t="s">
        <v>3193</v>
      </c>
      <c r="H10" s="130">
        <f>SUMIF(65:65,G10,66:66)-SUMIF(65:65,C10,66:66)+100</f>
        <v>100</v>
      </c>
      <c r="I10" s="380" t="s">
        <v>3193</v>
      </c>
      <c r="J10" s="130">
        <f>SUMIF(65:65,I10,66:66)-SUMIF(65:65,C10,66:66)+100</f>
        <v>100</v>
      </c>
      <c r="K10" s="567">
        <v>2</v>
      </c>
      <c r="L10" s="2947"/>
      <c r="M10" s="2948"/>
      <c r="N10" s="2948"/>
      <c r="O10" s="2948"/>
      <c r="P10" s="3323"/>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710">
        <f t="shared" si="5"/>
        <v>1</v>
      </c>
    </row>
    <row r="11" spans="1:29" ht="15">
      <c r="A11" s="385"/>
      <c r="B11" s="379" t="s">
        <v>2380</v>
      </c>
      <c r="C11" s="386"/>
      <c r="D11" s="130">
        <v>100</v>
      </c>
      <c r="E11" s="387"/>
      <c r="F11" s="382">
        <f>LOOKUP(E11,68:68,69:69)-LOOKUP(C11,68:68,69:69)+100</f>
        <v>100</v>
      </c>
      <c r="G11" s="386"/>
      <c r="H11" s="130">
        <f>LOOKUP(G11,68:68,69:69)-LOOKUP(C11,68:68,69:69)+100</f>
        <v>100</v>
      </c>
      <c r="I11" s="386"/>
      <c r="J11" s="130">
        <f>LOOKUP(I11,68:68,69:69)-LOOKUP(C11,68:68,69:69)+100</f>
        <v>100</v>
      </c>
      <c r="K11" s="567"/>
      <c r="L11" s="2949"/>
      <c r="M11" s="2944"/>
      <c r="N11" s="2944"/>
      <c r="O11" s="2944"/>
      <c r="P11" s="3323"/>
      <c r="Q11" s="1526" t="str">
        <f t="shared" si="6"/>
        <v>容积率</v>
      </c>
      <c r="R11" s="707" t="s">
        <v>17</v>
      </c>
      <c r="S11" s="708">
        <f t="shared" si="0"/>
        <v>100</v>
      </c>
      <c r="T11" s="707" t="s">
        <v>17</v>
      </c>
      <c r="U11" s="708">
        <f t="shared" si="1"/>
        <v>100</v>
      </c>
      <c r="V11" s="707" t="s">
        <v>17</v>
      </c>
      <c r="W11" s="708">
        <f t="shared" si="2"/>
        <v>100</v>
      </c>
      <c r="X11" s="709"/>
      <c r="Y11" s="3280"/>
      <c r="Z11" s="55" t="str">
        <f t="shared" si="7"/>
        <v>容积率</v>
      </c>
      <c r="AA11" s="710">
        <f t="shared" si="3"/>
        <v>1</v>
      </c>
      <c r="AB11" s="710">
        <f t="shared" si="4"/>
        <v>1</v>
      </c>
      <c r="AC11" s="710">
        <f t="shared" si="5"/>
        <v>1</v>
      </c>
    </row>
    <row r="12" spans="1:29" s="113" customFormat="1" ht="15">
      <c r="A12" s="388"/>
      <c r="B12" s="2078">
        <v>111</v>
      </c>
      <c r="C12" s="389"/>
      <c r="D12" s="390">
        <v>100</v>
      </c>
      <c r="E12" s="391"/>
      <c r="F12" s="382">
        <f>SUMIF(70:70,E12,71:71)-SUMIF(70:70,C12,71:71)+100</f>
        <v>100</v>
      </c>
      <c r="G12" s="391"/>
      <c r="H12" s="130">
        <f>SUMIF(70:70,G12,71:71)-SUMIF(70:70,C12,71:71)+100</f>
        <v>100</v>
      </c>
      <c r="I12" s="391"/>
      <c r="J12" s="130">
        <f>SUMIF(70:70,I12,71:71)-SUMIF(70:70,C12,71:71)+100</f>
        <v>100</v>
      </c>
      <c r="K12" s="568"/>
      <c r="L12" s="2945"/>
      <c r="M12" s="2946"/>
      <c r="N12" s="2946"/>
      <c r="O12" s="2946"/>
      <c r="P12" s="3323"/>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710">
        <f>D12/J12</f>
        <v>1</v>
      </c>
    </row>
    <row r="13" spans="1:29" ht="15">
      <c r="A13" s="385"/>
      <c r="B13" s="2078">
        <v>111</v>
      </c>
      <c r="C13" s="391"/>
      <c r="D13" s="392">
        <v>100</v>
      </c>
      <c r="E13" s="391"/>
      <c r="F13" s="382">
        <f>SUMIF(72:72,E13,73:73)-SUMIF(72:72,C13,73:73)+100</f>
        <v>100</v>
      </c>
      <c r="G13" s="391"/>
      <c r="H13" s="392">
        <f>SUMIF(72:72,G13,73:73)-SUMIF(72:72,C13,73:73)+100</f>
        <v>100</v>
      </c>
      <c r="I13" s="391"/>
      <c r="J13" s="392">
        <f>SUMIF(72:72,I13,73:73)-SUMIF(72:72,C13,73:73)+100</f>
        <v>100</v>
      </c>
      <c r="K13" s="568"/>
      <c r="L13" s="2950"/>
      <c r="M13" s="2944"/>
      <c r="N13" s="2944"/>
      <c r="O13" s="2944"/>
      <c r="P13" s="3323"/>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710">
        <f t="shared" si="5"/>
        <v>1</v>
      </c>
    </row>
    <row r="14" spans="1:29" ht="15.75" thickBot="1">
      <c r="A14" s="393"/>
      <c r="B14" s="2080">
        <v>111</v>
      </c>
      <c r="C14" s="394"/>
      <c r="D14" s="395">
        <v>100</v>
      </c>
      <c r="E14" s="391"/>
      <c r="F14" s="396">
        <f>SUMIF(74:74,E14,75:75)-SUMIF(74:74,C14,75:75)+100</f>
        <v>100</v>
      </c>
      <c r="G14" s="391"/>
      <c r="H14" s="395">
        <f>SUMIF(74:74,G14,75:75)-SUMIF(74:74,C14,75:75)+100</f>
        <v>100</v>
      </c>
      <c r="I14" s="391"/>
      <c r="J14" s="395">
        <f>SUMIF(74:74,I14,75:75)-SUMIF(74:74,C14,75:75)+100</f>
        <v>100</v>
      </c>
      <c r="K14" s="568"/>
      <c r="L14" s="2950"/>
      <c r="M14" s="2944"/>
      <c r="N14" s="2944"/>
      <c r="O14" s="2944"/>
      <c r="P14" s="3323"/>
      <c r="Q14" s="1526">
        <f t="shared" si="6"/>
        <v>111</v>
      </c>
      <c r="R14" s="707" t="s">
        <v>17</v>
      </c>
      <c r="S14" s="708">
        <f t="shared" si="0"/>
        <v>100</v>
      </c>
      <c r="T14" s="707" t="s">
        <v>17</v>
      </c>
      <c r="U14" s="708">
        <f t="shared" si="1"/>
        <v>100</v>
      </c>
      <c r="V14" s="707" t="s">
        <v>17</v>
      </c>
      <c r="W14" s="708">
        <f t="shared" si="2"/>
        <v>100</v>
      </c>
      <c r="X14" s="709"/>
      <c r="Y14" s="3280"/>
      <c r="Z14" s="55">
        <f t="shared" si="7"/>
        <v>111</v>
      </c>
      <c r="AA14" s="710">
        <f t="shared" si="3"/>
        <v>1</v>
      </c>
      <c r="AB14" s="710">
        <f t="shared" si="4"/>
        <v>1</v>
      </c>
      <c r="AC14" s="710">
        <f t="shared" si="5"/>
        <v>1</v>
      </c>
    </row>
    <row r="15" spans="1:29" ht="71.25">
      <c r="A15" s="397" t="s">
        <v>2381</v>
      </c>
      <c r="B15" s="65" t="s">
        <v>2475</v>
      </c>
      <c r="C15" s="2081" t="str">
        <f>估价对象房地状况!C4</f>
        <v>估价对象位于XX商圈，周边商业氛围成熟，人流量大，商业繁华度好</v>
      </c>
      <c r="D15" s="398">
        <v>100</v>
      </c>
      <c r="E15" s="399"/>
      <c r="F15" s="400">
        <f>SUMIF(76:76,E16,77:77)-SUMIF(76:76,C16,77:77)+100</f>
        <v>97</v>
      </c>
      <c r="G15" s="401"/>
      <c r="H15" s="398">
        <f>SUMIF(76:76,G16,77:77)-SUMIF(76:76,C16,77:77)+100</f>
        <v>97</v>
      </c>
      <c r="I15" s="399"/>
      <c r="J15" s="398">
        <f>SUMIF(76:76,I16,77:77)-SUMIF(76:76,C16,77:77)+100</f>
        <v>100</v>
      </c>
      <c r="K15" s="569">
        <v>3</v>
      </c>
      <c r="L15" s="2950"/>
      <c r="M15" s="2944"/>
      <c r="N15" s="2944"/>
      <c r="O15" s="2944"/>
      <c r="P15" s="3337" t="s">
        <v>2382</v>
      </c>
      <c r="Q15" s="1535" t="str">
        <f t="shared" si="6"/>
        <v>商业繁华度</v>
      </c>
      <c r="R15" s="711" t="s">
        <v>17</v>
      </c>
      <c r="S15" s="712">
        <f t="shared" si="0"/>
        <v>97</v>
      </c>
      <c r="T15" s="711" t="s">
        <v>17</v>
      </c>
      <c r="U15" s="712">
        <f t="shared" si="1"/>
        <v>97</v>
      </c>
      <c r="V15" s="711" t="s">
        <v>17</v>
      </c>
      <c r="W15" s="712">
        <f t="shared" si="2"/>
        <v>100</v>
      </c>
      <c r="X15" s="1538"/>
      <c r="Y15" s="3339" t="s">
        <v>2382</v>
      </c>
      <c r="Z15" s="1539" t="str">
        <f t="shared" si="7"/>
        <v>商业繁华度</v>
      </c>
      <c r="AA15" s="1536">
        <f t="shared" si="3"/>
        <v>1.0309278350515463</v>
      </c>
      <c r="AB15" s="1536">
        <f t="shared" si="4"/>
        <v>1.0309278350515463</v>
      </c>
      <c r="AC15" s="1536">
        <f t="shared" si="5"/>
        <v>1</v>
      </c>
    </row>
    <row r="16" spans="1:29" ht="15">
      <c r="A16" s="385"/>
      <c r="B16" s="403"/>
      <c r="C16" s="404" t="s">
        <v>3195</v>
      </c>
      <c r="D16" s="405"/>
      <c r="E16" s="404" t="s">
        <v>3196</v>
      </c>
      <c r="F16" s="406"/>
      <c r="G16" s="404" t="s">
        <v>3196</v>
      </c>
      <c r="H16" s="407"/>
      <c r="I16" s="404" t="s">
        <v>3195</v>
      </c>
      <c r="J16" s="405"/>
      <c r="K16" s="570"/>
      <c r="L16" s="2950"/>
      <c r="M16" s="2944"/>
      <c r="N16" s="2944"/>
      <c r="O16" s="2944"/>
      <c r="P16" s="3338"/>
      <c r="Q16" s="1535"/>
      <c r="R16" s="711"/>
      <c r="S16" s="712"/>
      <c r="T16" s="711"/>
      <c r="U16" s="712"/>
      <c r="V16" s="711"/>
      <c r="W16" s="712"/>
      <c r="X16" s="1538"/>
      <c r="Y16" s="3340"/>
      <c r="Z16" s="1539"/>
      <c r="AA16" s="1536">
        <v>1</v>
      </c>
      <c r="AB16" s="1536">
        <v>1</v>
      </c>
      <c r="AC16" s="1536">
        <v>1</v>
      </c>
    </row>
    <row r="17" spans="1:29" ht="85.5">
      <c r="A17" s="385"/>
      <c r="B17" s="408" t="s">
        <v>1946</v>
      </c>
      <c r="C17" s="2085"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102</v>
      </c>
      <c r="K17" s="569">
        <v>2</v>
      </c>
      <c r="L17" s="2950"/>
      <c r="M17" s="2944"/>
      <c r="N17" s="2944"/>
      <c r="O17" s="2944"/>
      <c r="P17" s="3338"/>
      <c r="Q17" s="1535" t="str">
        <f>B17</f>
        <v>交通便捷度</v>
      </c>
      <c r="R17" s="711" t="s">
        <v>17</v>
      </c>
      <c r="S17" s="712">
        <f>F17</f>
        <v>100</v>
      </c>
      <c r="T17" s="711" t="s">
        <v>17</v>
      </c>
      <c r="U17" s="712">
        <f>H17</f>
        <v>100</v>
      </c>
      <c r="V17" s="711" t="s">
        <v>17</v>
      </c>
      <c r="W17" s="712">
        <f>J17</f>
        <v>102</v>
      </c>
      <c r="X17" s="1538"/>
      <c r="Y17" s="3340"/>
      <c r="Z17" s="1539" t="str">
        <f>Q17</f>
        <v>交通便捷度</v>
      </c>
      <c r="AA17" s="1536">
        <f t="shared" si="3"/>
        <v>1</v>
      </c>
      <c r="AB17" s="1536">
        <f t="shared" si="4"/>
        <v>1</v>
      </c>
      <c r="AC17" s="1536">
        <f t="shared" si="5"/>
        <v>0.98039215686274506</v>
      </c>
    </row>
    <row r="18" spans="1:29" ht="15">
      <c r="A18" s="385"/>
      <c r="B18" s="413"/>
      <c r="C18" s="2086" t="s">
        <v>3196</v>
      </c>
      <c r="D18" s="407"/>
      <c r="E18" s="2088" t="s">
        <v>3196</v>
      </c>
      <c r="F18" s="410"/>
      <c r="G18" s="2087" t="s">
        <v>3196</v>
      </c>
      <c r="H18" s="405"/>
      <c r="I18" s="2088" t="s">
        <v>3195</v>
      </c>
      <c r="J18" s="405"/>
      <c r="K18" s="570"/>
      <c r="L18" s="2950"/>
      <c r="M18" s="2944"/>
      <c r="N18" s="2944"/>
      <c r="O18" s="2944"/>
      <c r="P18" s="3338"/>
      <c r="Q18" s="1535"/>
      <c r="R18" s="711"/>
      <c r="S18" s="712"/>
      <c r="T18" s="711"/>
      <c r="U18" s="712"/>
      <c r="V18" s="711"/>
      <c r="W18" s="712"/>
      <c r="X18" s="1538"/>
      <c r="Y18" s="3340"/>
      <c r="Z18" s="1539"/>
      <c r="AA18" s="1536">
        <v>1</v>
      </c>
      <c r="AB18" s="1536">
        <v>1</v>
      </c>
      <c r="AC18" s="1536">
        <v>1</v>
      </c>
    </row>
    <row r="19" spans="1:29" ht="42.75">
      <c r="A19" s="385"/>
      <c r="B19" s="408" t="s">
        <v>2476</v>
      </c>
      <c r="C19" s="2085" t="str">
        <f>估价对象房地状况!C7</f>
        <v>估价对象所在区域公共配套设施齐备情况</v>
      </c>
      <c r="D19" s="412">
        <v>100</v>
      </c>
      <c r="E19" s="414"/>
      <c r="F19" s="415">
        <f>SUMIF(80:80,E20,81:81)-SUMIF(80:80,C20,81:81)+100</f>
        <v>98</v>
      </c>
      <c r="G19" s="416"/>
      <c r="H19" s="407">
        <f>SUMIF(80:80,G20,81:81)-SUMIF(80:80,C20,81:81)+100</f>
        <v>98</v>
      </c>
      <c r="I19" s="414"/>
      <c r="J19" s="407">
        <f>SUMIF(80:80,I20,81:81)-SUMIF(80:80,C20,81:81)+100</f>
        <v>100</v>
      </c>
      <c r="K19" s="569">
        <v>2</v>
      </c>
      <c r="L19" s="2950"/>
      <c r="M19" s="2944"/>
      <c r="N19" s="2944"/>
      <c r="O19" s="2944"/>
      <c r="P19" s="3338"/>
      <c r="Q19" s="1535" t="str">
        <f>B19</f>
        <v>公共配套设施</v>
      </c>
      <c r="R19" s="711" t="s">
        <v>17</v>
      </c>
      <c r="S19" s="712">
        <f>F19</f>
        <v>98</v>
      </c>
      <c r="T19" s="711" t="s">
        <v>17</v>
      </c>
      <c r="U19" s="712">
        <f>H19</f>
        <v>98</v>
      </c>
      <c r="V19" s="711" t="s">
        <v>17</v>
      </c>
      <c r="W19" s="712">
        <f>J19</f>
        <v>100</v>
      </c>
      <c r="X19" s="1538"/>
      <c r="Y19" s="3340"/>
      <c r="Z19" s="1539" t="str">
        <f>Q19</f>
        <v>公共配套设施</v>
      </c>
      <c r="AA19" s="1536">
        <f t="shared" si="3"/>
        <v>1.0204081632653061</v>
      </c>
      <c r="AB19" s="1536">
        <f t="shared" si="4"/>
        <v>1.0204081632653061</v>
      </c>
      <c r="AC19" s="1536">
        <f t="shared" si="5"/>
        <v>1</v>
      </c>
    </row>
    <row r="20" spans="1:29" ht="15">
      <c r="A20" s="385"/>
      <c r="B20" s="413"/>
      <c r="C20" s="404" t="s">
        <v>3195</v>
      </c>
      <c r="D20" s="405"/>
      <c r="E20" s="2083" t="s">
        <v>3196</v>
      </c>
      <c r="F20" s="406"/>
      <c r="G20" s="2082" t="s">
        <v>3196</v>
      </c>
      <c r="H20" s="405"/>
      <c r="I20" s="2083" t="s">
        <v>3195</v>
      </c>
      <c r="J20" s="405"/>
      <c r="K20" s="570"/>
      <c r="L20" s="2950"/>
      <c r="M20" s="2944"/>
      <c r="N20" s="2944"/>
      <c r="O20" s="2944"/>
      <c r="P20" s="3338"/>
      <c r="Q20" s="1535"/>
      <c r="R20" s="711"/>
      <c r="S20" s="712"/>
      <c r="T20" s="711"/>
      <c r="U20" s="712"/>
      <c r="V20" s="711"/>
      <c r="W20" s="712"/>
      <c r="X20" s="1538"/>
      <c r="Y20" s="3340"/>
      <c r="Z20" s="1539"/>
      <c r="AA20" s="1536">
        <v>1</v>
      </c>
      <c r="AB20" s="1536">
        <v>1</v>
      </c>
      <c r="AC20" s="1536">
        <v>1</v>
      </c>
    </row>
    <row r="21" spans="1:29" ht="28.5">
      <c r="A21" s="385"/>
      <c r="B21" s="1290" t="s">
        <v>2477</v>
      </c>
      <c r="C21" s="2085"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v>1</v>
      </c>
      <c r="L21" s="2950"/>
      <c r="M21" s="2944"/>
      <c r="N21" s="2944"/>
      <c r="O21" s="2944"/>
      <c r="P21" s="3338"/>
      <c r="Q21" s="1535" t="str">
        <f>B21</f>
        <v>基础设施水平</v>
      </c>
      <c r="R21" s="711" t="s">
        <v>17</v>
      </c>
      <c r="S21" s="712">
        <f>F21</f>
        <v>100</v>
      </c>
      <c r="T21" s="711" t="s">
        <v>17</v>
      </c>
      <c r="U21" s="712">
        <f>H21</f>
        <v>100</v>
      </c>
      <c r="V21" s="711" t="s">
        <v>17</v>
      </c>
      <c r="W21" s="712">
        <f>J21</f>
        <v>100</v>
      </c>
      <c r="X21" s="1538"/>
      <c r="Y21" s="3340"/>
      <c r="Z21" s="1539" t="str">
        <f>Q21</f>
        <v>基础设施水平</v>
      </c>
      <c r="AA21" s="1536">
        <f t="shared" ref="AA21" si="8">D21/F21</f>
        <v>1</v>
      </c>
      <c r="AB21" s="1536">
        <f t="shared" ref="AB21" si="9">D21/H21</f>
        <v>1</v>
      </c>
      <c r="AC21" s="1536">
        <f t="shared" ref="AC21" si="10">D21/J21</f>
        <v>1</v>
      </c>
    </row>
    <row r="22" spans="1:29" ht="15">
      <c r="A22" s="385"/>
      <c r="B22" s="1290"/>
      <c r="C22" s="2086" t="s">
        <v>3197</v>
      </c>
      <c r="D22" s="405"/>
      <c r="E22" s="2086" t="s">
        <v>3197</v>
      </c>
      <c r="F22" s="406"/>
      <c r="G22" s="2086" t="s">
        <v>3197</v>
      </c>
      <c r="H22" s="405"/>
      <c r="I22" s="2086" t="s">
        <v>3197</v>
      </c>
      <c r="J22" s="405"/>
      <c r="K22" s="1289"/>
      <c r="L22" s="2950"/>
      <c r="M22" s="2944"/>
      <c r="N22" s="2944"/>
      <c r="O22" s="2944"/>
      <c r="P22" s="3338"/>
      <c r="Q22" s="1535"/>
      <c r="R22" s="711"/>
      <c r="S22" s="712"/>
      <c r="T22" s="711"/>
      <c r="U22" s="712"/>
      <c r="V22" s="711"/>
      <c r="W22" s="712"/>
      <c r="X22" s="1538"/>
      <c r="Y22" s="3340"/>
      <c r="Z22" s="1539"/>
      <c r="AA22" s="1536">
        <v>1</v>
      </c>
      <c r="AB22" s="1536">
        <v>1</v>
      </c>
      <c r="AC22" s="1536">
        <v>1</v>
      </c>
    </row>
    <row r="23" spans="1:29" ht="57">
      <c r="A23" s="385"/>
      <c r="B23" s="408" t="s">
        <v>1948</v>
      </c>
      <c r="C23" s="2140" t="str">
        <f>估价对象房地状况!C9</f>
        <v>区域自然环境：；人文环境；综合评价环境状况一般</v>
      </c>
      <c r="D23" s="407">
        <v>100</v>
      </c>
      <c r="E23" s="409"/>
      <c r="F23" s="410">
        <f>SUMIF(84:84,E24,85:85)-SUMIF(84:84,C24,85:85)+100</f>
        <v>98</v>
      </c>
      <c r="G23" s="411"/>
      <c r="H23" s="407">
        <f>SUMIF(84:84,G24,85:85)-SUMIF(84:84,C24,85:85)+100</f>
        <v>98</v>
      </c>
      <c r="I23" s="409"/>
      <c r="J23" s="407">
        <f>SUMIF(84:84,I24,85:85)-SUMIF(84:84,C24,85:85)+100</f>
        <v>100</v>
      </c>
      <c r="K23" s="569">
        <v>2</v>
      </c>
      <c r="L23" s="2950"/>
      <c r="M23" s="2944"/>
      <c r="N23" s="2944"/>
      <c r="O23" s="2944"/>
      <c r="P23" s="3338"/>
      <c r="Q23" s="1535" t="str">
        <f>B23</f>
        <v>自然及人文环境</v>
      </c>
      <c r="R23" s="711" t="s">
        <v>17</v>
      </c>
      <c r="S23" s="712">
        <f>F23</f>
        <v>98</v>
      </c>
      <c r="T23" s="711" t="s">
        <v>17</v>
      </c>
      <c r="U23" s="712">
        <f>H23</f>
        <v>98</v>
      </c>
      <c r="V23" s="711" t="s">
        <v>17</v>
      </c>
      <c r="W23" s="712">
        <f>J23</f>
        <v>100</v>
      </c>
      <c r="X23" s="1538"/>
      <c r="Y23" s="3340"/>
      <c r="Z23" s="1539" t="str">
        <f>Q23</f>
        <v>自然及人文环境</v>
      </c>
      <c r="AA23" s="1536">
        <f t="shared" si="3"/>
        <v>1.0204081632653061</v>
      </c>
      <c r="AB23" s="1536">
        <f t="shared" si="4"/>
        <v>1.0204081632653061</v>
      </c>
      <c r="AC23" s="1536">
        <f t="shared" si="5"/>
        <v>1</v>
      </c>
    </row>
    <row r="24" spans="1:29" ht="15">
      <c r="A24" s="385"/>
      <c r="B24" s="413"/>
      <c r="C24" s="404" t="s">
        <v>3195</v>
      </c>
      <c r="D24" s="405"/>
      <c r="E24" s="2083" t="s">
        <v>3196</v>
      </c>
      <c r="F24" s="406"/>
      <c r="G24" s="2082" t="s">
        <v>3196</v>
      </c>
      <c r="H24" s="405"/>
      <c r="I24" s="2083" t="s">
        <v>3195</v>
      </c>
      <c r="J24" s="405"/>
      <c r="K24" s="570"/>
      <c r="L24" s="2950"/>
      <c r="M24" s="2944"/>
      <c r="N24" s="2944"/>
      <c r="O24" s="2944"/>
      <c r="P24" s="3338"/>
      <c r="Q24" s="1535"/>
      <c r="R24" s="711"/>
      <c r="S24" s="712"/>
      <c r="T24" s="711"/>
      <c r="U24" s="712"/>
      <c r="V24" s="711"/>
      <c r="W24" s="712"/>
      <c r="X24" s="1538"/>
      <c r="Y24" s="3340"/>
      <c r="Z24" s="1539"/>
      <c r="AA24" s="1536">
        <v>1</v>
      </c>
      <c r="AB24" s="1536">
        <v>1</v>
      </c>
      <c r="AC24" s="1536">
        <v>1</v>
      </c>
    </row>
    <row r="25" spans="1:29" ht="15">
      <c r="A25" s="385"/>
      <c r="B25" s="379" t="s">
        <v>2478</v>
      </c>
      <c r="C25" s="571"/>
      <c r="D25" s="392">
        <v>100</v>
      </c>
      <c r="E25" s="571"/>
      <c r="F25" s="418">
        <f>SUMIF(86:86,E25,87:87)-SUMIF(86:86,C25,87:87)+100</f>
        <v>100</v>
      </c>
      <c r="G25" s="571"/>
      <c r="H25" s="392">
        <f>SUMIF(86:86,G25,87:87)-SUMIF(86:86,C25,87:87)+100</f>
        <v>100</v>
      </c>
      <c r="I25" s="571"/>
      <c r="J25" s="392">
        <f>SUMIF(86:86,I25,87:87)-SUMIF(86:86,C25,87:87)+100</f>
        <v>100</v>
      </c>
      <c r="K25" s="567"/>
      <c r="L25" s="2950"/>
      <c r="M25" s="2944"/>
      <c r="N25" s="2944"/>
      <c r="O25" s="2944"/>
      <c r="P25" s="3338"/>
      <c r="Q25" s="1535" t="str">
        <f t="shared" ref="Q25:Q46" si="11">B25</f>
        <v>临街状况</v>
      </c>
      <c r="R25" s="711" t="s">
        <v>17</v>
      </c>
      <c r="S25" s="712">
        <f>F25</f>
        <v>100</v>
      </c>
      <c r="T25" s="711" t="s">
        <v>17</v>
      </c>
      <c r="U25" s="712">
        <f>H25</f>
        <v>100</v>
      </c>
      <c r="V25" s="711" t="s">
        <v>17</v>
      </c>
      <c r="W25" s="712">
        <f>J25</f>
        <v>100</v>
      </c>
      <c r="X25" s="1538"/>
      <c r="Y25" s="3340"/>
      <c r="Z25" s="1539" t="str">
        <f>Q25</f>
        <v>临街状况</v>
      </c>
      <c r="AA25" s="1536">
        <f t="shared" si="3"/>
        <v>1</v>
      </c>
      <c r="AB25" s="1536">
        <f t="shared" si="4"/>
        <v>1</v>
      </c>
      <c r="AC25" s="1536">
        <f t="shared" si="5"/>
        <v>1</v>
      </c>
    </row>
    <row r="26" spans="1:29" ht="15">
      <c r="A26" s="385"/>
      <c r="B26" s="1292" t="s">
        <v>2479</v>
      </c>
      <c r="C26" s="391"/>
      <c r="D26" s="392">
        <v>100</v>
      </c>
      <c r="E26" s="391"/>
      <c r="F26" s="418">
        <f>SUMIF(88:88,E26,89:89)-SUMIF(88:88,C26,89:89)+100</f>
        <v>100</v>
      </c>
      <c r="G26" s="391"/>
      <c r="H26" s="392">
        <f>SUMIF(88:88,G26,89:89)-SUMIF(88:88,C26,89:89)+100</f>
        <v>100</v>
      </c>
      <c r="I26" s="391"/>
      <c r="J26" s="392">
        <f>SUMIF(88:88,I26,89:89)-SUMIF(88:88,C26,89:89)+100</f>
        <v>100</v>
      </c>
      <c r="K26" s="568"/>
      <c r="L26" s="2950"/>
      <c r="M26" s="2944"/>
      <c r="N26" s="2944"/>
      <c r="O26" s="2944"/>
      <c r="P26" s="3338"/>
      <c r="Q26" s="1535" t="str">
        <f t="shared" si="11"/>
        <v>平面位置/可视性</v>
      </c>
      <c r="R26" s="711" t="s">
        <v>17</v>
      </c>
      <c r="S26" s="712">
        <f>F26</f>
        <v>100</v>
      </c>
      <c r="T26" s="711" t="s">
        <v>17</v>
      </c>
      <c r="U26" s="712">
        <f>H26</f>
        <v>100</v>
      </c>
      <c r="V26" s="711" t="s">
        <v>17</v>
      </c>
      <c r="W26" s="712">
        <f>J26</f>
        <v>100</v>
      </c>
      <c r="X26" s="1538"/>
      <c r="Y26" s="3340"/>
      <c r="Z26" s="1539" t="str">
        <f>Q26</f>
        <v>平面位置/可视性</v>
      </c>
      <c r="AA26" s="1536">
        <f t="shared" si="3"/>
        <v>1</v>
      </c>
      <c r="AB26" s="1536">
        <f t="shared" si="4"/>
        <v>1</v>
      </c>
      <c r="AC26" s="1536">
        <f t="shared" si="5"/>
        <v>1</v>
      </c>
    </row>
    <row r="27" spans="1:29" s="113" customFormat="1" ht="15">
      <c r="A27" s="388"/>
      <c r="B27" s="408" t="s">
        <v>2480</v>
      </c>
      <c r="C27" s="2141" t="s">
        <v>3199</v>
      </c>
      <c r="D27" s="419">
        <v>100</v>
      </c>
      <c r="E27" s="2141" t="s">
        <v>3196</v>
      </c>
      <c r="F27" s="421">
        <f>SUMIF(90:90,E27,91:91)-SUMIF(90:90,C27,91:91)+100</f>
        <v>98</v>
      </c>
      <c r="G27" s="2141" t="s">
        <v>3196</v>
      </c>
      <c r="H27" s="419">
        <f>SUMIF(90:90,G27,91:91)-SUMIF(90:90,C27,91:91)+100</f>
        <v>98</v>
      </c>
      <c r="I27" s="2141" t="s">
        <v>3199</v>
      </c>
      <c r="J27" s="419">
        <f>SUMIF(90:90,I27,91:91)-SUMIF(90:90,C27,91:91)+100</f>
        <v>100</v>
      </c>
      <c r="K27" s="567">
        <v>2</v>
      </c>
      <c r="L27" s="2945"/>
      <c r="M27" s="2946"/>
      <c r="N27" s="2946"/>
      <c r="O27" s="2946"/>
      <c r="P27" s="3338"/>
      <c r="Q27" s="1526" t="str">
        <f t="shared" si="11"/>
        <v>人流量</v>
      </c>
      <c r="R27" s="707" t="s">
        <v>17</v>
      </c>
      <c r="S27" s="708">
        <f>F27</f>
        <v>98</v>
      </c>
      <c r="T27" s="707" t="s">
        <v>17</v>
      </c>
      <c r="U27" s="708">
        <f>H27</f>
        <v>98</v>
      </c>
      <c r="V27" s="707" t="s">
        <v>17</v>
      </c>
      <c r="W27" s="708">
        <f>J27</f>
        <v>100</v>
      </c>
      <c r="X27" s="709"/>
      <c r="Y27" s="3340"/>
      <c r="Z27" s="55" t="str">
        <f>Q27</f>
        <v>人流量</v>
      </c>
      <c r="AA27" s="1536">
        <f>D27/F27</f>
        <v>1.0204081632653061</v>
      </c>
      <c r="AB27" s="1536">
        <f>D27/H27</f>
        <v>1.0204081632653061</v>
      </c>
      <c r="AC27" s="1536">
        <f>D27/J27</f>
        <v>1</v>
      </c>
    </row>
    <row r="28" spans="1:29" ht="15">
      <c r="A28" s="385"/>
      <c r="B28" s="379" t="s">
        <v>2481</v>
      </c>
      <c r="C28" s="571" t="s">
        <v>3205</v>
      </c>
      <c r="D28" s="392">
        <v>100</v>
      </c>
      <c r="E28" s="571" t="s">
        <v>3205</v>
      </c>
      <c r="F28" s="418">
        <f>SUMIF(92:92,E28,93:93)-SUMIF(92:92,C28,93:93)+100</f>
        <v>100</v>
      </c>
      <c r="G28" s="571" t="s">
        <v>3205</v>
      </c>
      <c r="H28" s="392">
        <f>SUMIF(92:92,G28,93:93)-SUMIF(92:92,C28,93:93)+100</f>
        <v>100</v>
      </c>
      <c r="I28" s="571" t="s">
        <v>3205</v>
      </c>
      <c r="J28" s="392">
        <f>SUMIF(92:92,I28,93:93)-SUMIF(92:92,C28,93:93)+100</f>
        <v>100</v>
      </c>
      <c r="K28" s="568"/>
      <c r="L28" s="2950"/>
      <c r="M28" s="2944"/>
      <c r="N28" s="2944"/>
      <c r="O28" s="2944"/>
      <c r="P28" s="3338"/>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340"/>
      <c r="Z28" s="1539" t="str">
        <f t="shared" ref="Z28:Z46" si="15">Q28</f>
        <v>楼层</v>
      </c>
      <c r="AA28" s="1536">
        <f t="shared" si="3"/>
        <v>1</v>
      </c>
      <c r="AB28" s="1536">
        <f t="shared" si="4"/>
        <v>1</v>
      </c>
      <c r="AC28" s="1536">
        <f t="shared" si="5"/>
        <v>1</v>
      </c>
    </row>
    <row r="29" spans="1:29" ht="15">
      <c r="A29" s="385"/>
      <c r="B29" s="1292">
        <v>111</v>
      </c>
      <c r="C29" s="391"/>
      <c r="D29" s="392">
        <v>100</v>
      </c>
      <c r="E29" s="391"/>
      <c r="F29" s="418">
        <f>SUMIF(94:94,E29,95:95)-SUMIF(94:94,C29,95:95)+100</f>
        <v>100</v>
      </c>
      <c r="G29" s="391"/>
      <c r="H29" s="392">
        <f>SUMIF(94:94,G29,95:95)-SUMIF(94:94,C29,95:95)+100</f>
        <v>100</v>
      </c>
      <c r="I29" s="391"/>
      <c r="J29" s="392">
        <f>SUMIF(94:94,I29,95:95)-SUMIF(94:94,C29,95:95)+100</f>
        <v>100</v>
      </c>
      <c r="K29" s="568"/>
      <c r="L29" s="2950"/>
      <c r="M29" s="2944"/>
      <c r="N29" s="2944"/>
      <c r="O29" s="2944"/>
      <c r="P29" s="3338"/>
      <c r="Q29" s="1535">
        <f t="shared" si="11"/>
        <v>111</v>
      </c>
      <c r="R29" s="711" t="s">
        <v>17</v>
      </c>
      <c r="S29" s="712">
        <f t="shared" si="12"/>
        <v>100</v>
      </c>
      <c r="T29" s="711" t="s">
        <v>17</v>
      </c>
      <c r="U29" s="712">
        <f t="shared" si="13"/>
        <v>100</v>
      </c>
      <c r="V29" s="711" t="s">
        <v>17</v>
      </c>
      <c r="W29" s="712">
        <f t="shared" si="14"/>
        <v>100</v>
      </c>
      <c r="X29" s="1538"/>
      <c r="Y29" s="3340"/>
      <c r="Z29" s="1539">
        <f t="shared" si="15"/>
        <v>111</v>
      </c>
      <c r="AA29" s="1536">
        <f t="shared" si="3"/>
        <v>1</v>
      </c>
      <c r="AB29" s="1536">
        <f t="shared" si="4"/>
        <v>1</v>
      </c>
      <c r="AC29" s="1536">
        <f t="shared" si="5"/>
        <v>1</v>
      </c>
    </row>
    <row r="30" spans="1:29" ht="15">
      <c r="A30" s="385"/>
      <c r="B30" s="1292">
        <v>111</v>
      </c>
      <c r="C30" s="391"/>
      <c r="D30" s="392">
        <v>100</v>
      </c>
      <c r="E30" s="391"/>
      <c r="F30" s="418">
        <f>SUMIF(96:96,E30,97:97)-SUMIF(96:96,C30,97:97)+100</f>
        <v>100</v>
      </c>
      <c r="G30" s="391"/>
      <c r="H30" s="392">
        <f>SUMIF(96:96,G30,97:97)-SUMIF(96:96,C30,97:97)+100</f>
        <v>100</v>
      </c>
      <c r="I30" s="391"/>
      <c r="J30" s="392">
        <f>SUMIF(96:96,I30,97:97)-SUMIF(96:96,C30,97:97)+100</f>
        <v>100</v>
      </c>
      <c r="K30" s="568"/>
      <c r="L30" s="2950"/>
      <c r="M30" s="2944"/>
      <c r="N30" s="2944"/>
      <c r="O30" s="2944"/>
      <c r="P30" s="3338"/>
      <c r="Q30" s="1535">
        <f t="shared" si="11"/>
        <v>111</v>
      </c>
      <c r="R30" s="711" t="s">
        <v>17</v>
      </c>
      <c r="S30" s="712">
        <f t="shared" si="12"/>
        <v>100</v>
      </c>
      <c r="T30" s="711" t="s">
        <v>17</v>
      </c>
      <c r="U30" s="712">
        <f t="shared" si="13"/>
        <v>100</v>
      </c>
      <c r="V30" s="711" t="s">
        <v>17</v>
      </c>
      <c r="W30" s="712">
        <f t="shared" si="14"/>
        <v>100</v>
      </c>
      <c r="X30" s="1538"/>
      <c r="Y30" s="3340"/>
      <c r="Z30" s="1539">
        <f t="shared" si="15"/>
        <v>111</v>
      </c>
      <c r="AA30" s="1536">
        <f t="shared" si="3"/>
        <v>1</v>
      </c>
      <c r="AB30" s="1536">
        <f t="shared" si="4"/>
        <v>1</v>
      </c>
      <c r="AC30" s="1536">
        <f t="shared" si="5"/>
        <v>1</v>
      </c>
    </row>
    <row r="31" spans="1:29" ht="15.75" thickBot="1">
      <c r="A31" s="393"/>
      <c r="B31" s="1292">
        <v>111</v>
      </c>
      <c r="C31" s="394"/>
      <c r="D31" s="395">
        <v>100</v>
      </c>
      <c r="E31" s="391"/>
      <c r="F31" s="396">
        <f>SUMIF(98:98,E31,99:99)-SUMIF(98:98,C31,99:99)+100</f>
        <v>100</v>
      </c>
      <c r="G31" s="391"/>
      <c r="H31" s="395">
        <f>SUMIF(98:98,G31,99:99)-SUMIF(98:98,C31,99:99)+100</f>
        <v>100</v>
      </c>
      <c r="I31" s="391"/>
      <c r="J31" s="395">
        <f>SUMIF(98:98,I31,99:99)-SUMIF(98:98,C31,99:99)+100</f>
        <v>100</v>
      </c>
      <c r="K31" s="568"/>
      <c r="L31" s="2950"/>
      <c r="M31" s="2944"/>
      <c r="N31" s="2944"/>
      <c r="O31" s="2944"/>
      <c r="P31" s="3338"/>
      <c r="Q31" s="1535">
        <f t="shared" si="11"/>
        <v>111</v>
      </c>
      <c r="R31" s="711" t="s">
        <v>17</v>
      </c>
      <c r="S31" s="712">
        <f t="shared" si="12"/>
        <v>100</v>
      </c>
      <c r="T31" s="711" t="s">
        <v>17</v>
      </c>
      <c r="U31" s="712">
        <f t="shared" si="13"/>
        <v>100</v>
      </c>
      <c r="V31" s="711" t="s">
        <v>17</v>
      </c>
      <c r="W31" s="712">
        <f t="shared" si="14"/>
        <v>100</v>
      </c>
      <c r="X31" s="1538"/>
      <c r="Y31" s="3340"/>
      <c r="Z31" s="1539">
        <f t="shared" si="15"/>
        <v>111</v>
      </c>
      <c r="AA31" s="1536">
        <f t="shared" si="3"/>
        <v>1</v>
      </c>
      <c r="AB31" s="1536">
        <f t="shared" si="4"/>
        <v>1</v>
      </c>
      <c r="AC31" s="1536">
        <f t="shared" si="5"/>
        <v>1</v>
      </c>
    </row>
    <row r="32" spans="1:29" ht="15">
      <c r="A32" s="397" t="s">
        <v>2385</v>
      </c>
      <c r="B32" s="67" t="s">
        <v>2482</v>
      </c>
      <c r="C32" s="2095" t="s">
        <v>3208</v>
      </c>
      <c r="D32" s="424">
        <v>100</v>
      </c>
      <c r="E32" s="2095" t="s">
        <v>3210</v>
      </c>
      <c r="F32" s="418">
        <f>SUMIF(100:100,E32,101:101)-SUMIF(100:100,C32,101:101)+100</f>
        <v>98</v>
      </c>
      <c r="G32" s="2095" t="s">
        <v>3210</v>
      </c>
      <c r="H32" s="392">
        <f>SUMIF(100:100,G32,101:101)-SUMIF(100:100,C32,101:101)+100</f>
        <v>98</v>
      </c>
      <c r="I32" s="2095" t="s">
        <v>3210</v>
      </c>
      <c r="J32" s="424">
        <f>SUMIF(100:100,I32,101:101)-SUMIF(100:100,C32,101:101)+100</f>
        <v>98</v>
      </c>
      <c r="K32" s="567">
        <v>2</v>
      </c>
      <c r="L32" s="2950"/>
      <c r="M32" s="2944"/>
      <c r="N32" s="2944"/>
      <c r="O32" s="2944"/>
      <c r="P32" s="3341" t="s">
        <v>2387</v>
      </c>
      <c r="Q32" s="1535" t="str">
        <f t="shared" si="11"/>
        <v>商业类型</v>
      </c>
      <c r="R32" s="711" t="s">
        <v>17</v>
      </c>
      <c r="S32" s="712">
        <f t="shared" si="12"/>
        <v>98</v>
      </c>
      <c r="T32" s="711" t="s">
        <v>17</v>
      </c>
      <c r="U32" s="712">
        <f t="shared" si="13"/>
        <v>98</v>
      </c>
      <c r="V32" s="711" t="s">
        <v>17</v>
      </c>
      <c r="W32" s="712">
        <f t="shared" si="14"/>
        <v>98</v>
      </c>
      <c r="X32" s="1538"/>
      <c r="Y32" s="3344" t="s">
        <v>2387</v>
      </c>
      <c r="Z32" s="1539" t="str">
        <f t="shared" si="15"/>
        <v>商业类型</v>
      </c>
      <c r="AA32" s="1536">
        <f t="shared" si="3"/>
        <v>1.0204081632653061</v>
      </c>
      <c r="AB32" s="1536">
        <f t="shared" si="4"/>
        <v>1.0204081632653061</v>
      </c>
      <c r="AC32" s="1536">
        <f t="shared" si="5"/>
        <v>1.0204081632653061</v>
      </c>
    </row>
    <row r="33" spans="1:29" s="428" customFormat="1" ht="15">
      <c r="A33" s="425"/>
      <c r="B33" s="3467" t="s">
        <v>2388</v>
      </c>
      <c r="C33" s="426">
        <f>面积表!E5</f>
        <v>5303.27</v>
      </c>
      <c r="D33" s="130">
        <v>100</v>
      </c>
      <c r="E33" s="387">
        <v>144</v>
      </c>
      <c r="F33" s="382">
        <f>LOOKUP(E33,103:103,104:104)-LOOKUP(C33,103:103,104:104)+100</f>
        <v>97.5</v>
      </c>
      <c r="G33" s="386">
        <v>63</v>
      </c>
      <c r="H33" s="130">
        <f>LOOKUP(G33,103:103,104:104)-LOOKUP(C33,103:103,104:104)+100</f>
        <v>97.5</v>
      </c>
      <c r="I33" s="386">
        <v>206</v>
      </c>
      <c r="J33" s="130">
        <f>LOOKUP(I33,103:103,104:104)-LOOKUP(C33,103:103,104:104)+100</f>
        <v>98</v>
      </c>
      <c r="K33" s="568"/>
      <c r="L33" s="2949"/>
      <c r="M33" s="2951"/>
      <c r="N33" s="2951"/>
      <c r="O33" s="2951"/>
      <c r="P33" s="3342"/>
      <c r="Q33" s="713" t="str">
        <f t="shared" si="11"/>
        <v>项目建筑规模</v>
      </c>
      <c r="R33" s="714" t="s">
        <v>17</v>
      </c>
      <c r="S33" s="715">
        <f t="shared" si="12"/>
        <v>97.5</v>
      </c>
      <c r="T33" s="714" t="s">
        <v>17</v>
      </c>
      <c r="U33" s="715">
        <f t="shared" si="13"/>
        <v>97.5</v>
      </c>
      <c r="V33" s="714" t="s">
        <v>17</v>
      </c>
      <c r="W33" s="715">
        <f t="shared" si="14"/>
        <v>98</v>
      </c>
      <c r="X33" s="716"/>
      <c r="Y33" s="3344"/>
      <c r="Z33" s="717" t="str">
        <f t="shared" si="15"/>
        <v>项目建筑规模</v>
      </c>
      <c r="AA33" s="1536">
        <f t="shared" si="3"/>
        <v>1.0256410256410255</v>
      </c>
      <c r="AB33" s="1536">
        <f t="shared" si="4"/>
        <v>1.0256410256410255</v>
      </c>
      <c r="AC33" s="1536">
        <f t="shared" si="5"/>
        <v>1.0204081632653061</v>
      </c>
    </row>
    <row r="34" spans="1:29" ht="15">
      <c r="A34" s="429"/>
      <c r="B34" s="379" t="s">
        <v>2389</v>
      </c>
      <c r="C34" s="2097" t="s">
        <v>3090</v>
      </c>
      <c r="D34" s="392">
        <v>100</v>
      </c>
      <c r="E34" s="2097" t="s">
        <v>3090</v>
      </c>
      <c r="F34" s="418">
        <f>SUMIF(105:105,E34,106:106)-SUMIF(105:105,C34,106:106)+100</f>
        <v>100</v>
      </c>
      <c r="G34" s="2097" t="s">
        <v>3090</v>
      </c>
      <c r="H34" s="392">
        <f>SUMIF(105:105,G34,106:106)-SUMIF(105:105,C34,106:106)+100</f>
        <v>100</v>
      </c>
      <c r="I34" s="2097" t="s">
        <v>3090</v>
      </c>
      <c r="J34" s="392">
        <f>SUMIF(105:105,I34,106:106)-SUMIF(105:105,C34,106:106)+100</f>
        <v>100</v>
      </c>
      <c r="K34" s="567">
        <v>2</v>
      </c>
      <c r="L34" s="2950"/>
      <c r="M34" s="2944"/>
      <c r="N34" s="2944"/>
      <c r="O34" s="2944"/>
      <c r="P34" s="3342"/>
      <c r="Q34" s="1535" t="str">
        <f t="shared" si="11"/>
        <v>建筑结构</v>
      </c>
      <c r="R34" s="711" t="s">
        <v>17</v>
      </c>
      <c r="S34" s="712">
        <f t="shared" si="12"/>
        <v>100</v>
      </c>
      <c r="T34" s="711" t="s">
        <v>17</v>
      </c>
      <c r="U34" s="712">
        <f t="shared" si="13"/>
        <v>100</v>
      </c>
      <c r="V34" s="711" t="s">
        <v>17</v>
      </c>
      <c r="W34" s="712">
        <f t="shared" si="14"/>
        <v>100</v>
      </c>
      <c r="X34" s="1538"/>
      <c r="Y34" s="3344"/>
      <c r="Z34" s="1539" t="str">
        <f t="shared" si="15"/>
        <v>建筑结构</v>
      </c>
      <c r="AA34" s="1536">
        <f t="shared" si="3"/>
        <v>1</v>
      </c>
      <c r="AB34" s="1536">
        <f t="shared" si="4"/>
        <v>1</v>
      </c>
      <c r="AC34" s="1536">
        <f t="shared" si="5"/>
        <v>1</v>
      </c>
    </row>
    <row r="35" spans="1:29" ht="15">
      <c r="A35" s="429"/>
      <c r="B35" s="379" t="s">
        <v>2483</v>
      </c>
      <c r="C35" s="2091"/>
      <c r="D35" s="392">
        <v>100</v>
      </c>
      <c r="E35" s="2091"/>
      <c r="F35" s="418">
        <f>SUMIF(107:107,E35,108:108)-SUMIF(107:107,C35,108:108)+100</f>
        <v>100</v>
      </c>
      <c r="G35" s="2091"/>
      <c r="H35" s="392">
        <f>SUMIF(107:107,G35,108:108)-SUMIF(107:107,C35,108:108)+100</f>
        <v>100</v>
      </c>
      <c r="I35" s="2091"/>
      <c r="J35" s="392">
        <f>SUMIF(107:107,I35,108:108)-SUMIF(107:107,C35,108:108)+100</f>
        <v>100</v>
      </c>
      <c r="K35" s="567"/>
      <c r="L35" s="2950"/>
      <c r="M35" s="2944"/>
      <c r="N35" s="2944"/>
      <c r="O35" s="2944"/>
      <c r="P35" s="3342"/>
      <c r="Q35" s="1535" t="str">
        <f t="shared" si="11"/>
        <v>公共部分装修</v>
      </c>
      <c r="R35" s="711" t="s">
        <v>17</v>
      </c>
      <c r="S35" s="712">
        <f t="shared" si="12"/>
        <v>100</v>
      </c>
      <c r="T35" s="711" t="s">
        <v>17</v>
      </c>
      <c r="U35" s="712">
        <f t="shared" si="13"/>
        <v>100</v>
      </c>
      <c r="V35" s="711" t="s">
        <v>17</v>
      </c>
      <c r="W35" s="712">
        <f t="shared" si="14"/>
        <v>100</v>
      </c>
      <c r="X35" s="1538"/>
      <c r="Y35" s="3344"/>
      <c r="Z35" s="1539" t="str">
        <f t="shared" si="15"/>
        <v>公共部分装修</v>
      </c>
      <c r="AA35" s="1536">
        <f t="shared" si="3"/>
        <v>1</v>
      </c>
      <c r="AB35" s="1536">
        <f t="shared" si="4"/>
        <v>1</v>
      </c>
      <c r="AC35" s="1536">
        <f t="shared" si="5"/>
        <v>1</v>
      </c>
    </row>
    <row r="36" spans="1:29" ht="15">
      <c r="A36" s="429"/>
      <c r="B36" s="379" t="s">
        <v>2484</v>
      </c>
      <c r="C36" s="431">
        <f>'数据-取费表'!N6</f>
        <v>0.97</v>
      </c>
      <c r="D36" s="392">
        <v>100</v>
      </c>
      <c r="E36" s="431">
        <v>0.85</v>
      </c>
      <c r="F36" s="418">
        <f>LOOKUP(E36,110:110,111:111)-LOOKUP(C36,110:110,111:111)+100</f>
        <v>98</v>
      </c>
      <c r="G36" s="431">
        <v>0.85</v>
      </c>
      <c r="H36" s="418">
        <f>LOOKUP(G36,110:110,111:111)-LOOKUP(C36,110:110,111:111)+100</f>
        <v>98</v>
      </c>
      <c r="I36" s="431">
        <v>0.95</v>
      </c>
      <c r="J36" s="392">
        <f>LOOKUP(I36,110:110,111:111)-LOOKUP(C36,110:110,111:111)+100</f>
        <v>100</v>
      </c>
      <c r="K36" s="567">
        <v>2</v>
      </c>
      <c r="L36" s="2950"/>
      <c r="M36" s="2944"/>
      <c r="N36" s="2944"/>
      <c r="O36" s="2944"/>
      <c r="P36" s="3342"/>
      <c r="Q36" s="1535" t="str">
        <f t="shared" si="11"/>
        <v>成新度</v>
      </c>
      <c r="R36" s="711" t="s">
        <v>17</v>
      </c>
      <c r="S36" s="712">
        <f t="shared" si="12"/>
        <v>98</v>
      </c>
      <c r="T36" s="711" t="s">
        <v>17</v>
      </c>
      <c r="U36" s="712">
        <f t="shared" si="13"/>
        <v>98</v>
      </c>
      <c r="V36" s="711" t="s">
        <v>17</v>
      </c>
      <c r="W36" s="712">
        <f t="shared" si="14"/>
        <v>100</v>
      </c>
      <c r="X36" s="1538"/>
      <c r="Y36" s="3344"/>
      <c r="Z36" s="1539" t="str">
        <f t="shared" si="15"/>
        <v>成新度</v>
      </c>
      <c r="AA36" s="1536">
        <f t="shared" si="3"/>
        <v>1.0204081632653061</v>
      </c>
      <c r="AB36" s="1536">
        <f t="shared" si="4"/>
        <v>1.0204081632653061</v>
      </c>
      <c r="AC36" s="1536">
        <f t="shared" si="5"/>
        <v>1</v>
      </c>
    </row>
    <row r="37" spans="1:29" s="113" customFormat="1" ht="15">
      <c r="A37" s="430"/>
      <c r="B37" s="379" t="s">
        <v>2485</v>
      </c>
      <c r="C37" s="2091"/>
      <c r="D37" s="130">
        <v>100</v>
      </c>
      <c r="E37" s="2091"/>
      <c r="F37" s="418">
        <f>SUMIF(112:112,E37,113:113)-SUMIF(112:112,C37,113:113)+100</f>
        <v>100</v>
      </c>
      <c r="G37" s="2091"/>
      <c r="H37" s="392">
        <f>SUMIF(112:112,G37,113:113)-SUMIF(112:112,C37,113:113)+100</f>
        <v>100</v>
      </c>
      <c r="I37" s="2091"/>
      <c r="J37" s="392">
        <f>SUMIF(112:112,I37,113:113)-SUMIF(112:112,C37,113:113)+100</f>
        <v>100</v>
      </c>
      <c r="K37" s="567"/>
      <c r="L37" s="2945"/>
      <c r="M37" s="2946"/>
      <c r="N37" s="2946"/>
      <c r="O37" s="2946"/>
      <c r="P37" s="3342"/>
      <c r="Q37" s="1526" t="str">
        <f t="shared" si="11"/>
        <v>市政基础设施</v>
      </c>
      <c r="R37" s="707" t="s">
        <v>17</v>
      </c>
      <c r="S37" s="708">
        <f t="shared" si="12"/>
        <v>100</v>
      </c>
      <c r="T37" s="707" t="s">
        <v>17</v>
      </c>
      <c r="U37" s="708">
        <f t="shared" si="13"/>
        <v>100</v>
      </c>
      <c r="V37" s="707" t="s">
        <v>17</v>
      </c>
      <c r="W37" s="708">
        <f t="shared" si="14"/>
        <v>100</v>
      </c>
      <c r="X37" s="709"/>
      <c r="Y37" s="3344"/>
      <c r="Z37" s="55" t="str">
        <f t="shared" si="15"/>
        <v>市政基础设施</v>
      </c>
      <c r="AA37" s="710">
        <f t="shared" si="3"/>
        <v>1</v>
      </c>
      <c r="AB37" s="710">
        <f t="shared" si="4"/>
        <v>1</v>
      </c>
      <c r="AC37" s="710">
        <f t="shared" si="5"/>
        <v>1</v>
      </c>
    </row>
    <row r="38" spans="1:29" ht="15">
      <c r="A38" s="429"/>
      <c r="B38" s="379" t="s">
        <v>2486</v>
      </c>
      <c r="C38" s="2091" t="s">
        <v>3215</v>
      </c>
      <c r="D38" s="392">
        <v>100</v>
      </c>
      <c r="E38" s="2091" t="s">
        <v>3215</v>
      </c>
      <c r="F38" s="418">
        <f>SUMIF(114:114,E38,115:115)-SUMIF(114:114,C38,115:115)+100</f>
        <v>100</v>
      </c>
      <c r="G38" s="2091" t="s">
        <v>3215</v>
      </c>
      <c r="H38" s="392">
        <f>SUMIF(114:114,G38,115:115)-SUMIF(114:114,C38,115:115)+100</f>
        <v>100</v>
      </c>
      <c r="I38" s="2091" t="s">
        <v>3215</v>
      </c>
      <c r="J38" s="392">
        <f>SUMIF(114:114,I38,115:115)-SUMIF(114:114,C38,115:115)+100</f>
        <v>100</v>
      </c>
      <c r="K38" s="567">
        <v>5</v>
      </c>
      <c r="L38" s="2950"/>
      <c r="M38" s="2944"/>
      <c r="N38" s="2944"/>
      <c r="O38" s="2944"/>
      <c r="P38" s="3342" t="s">
        <v>2387</v>
      </c>
      <c r="Q38" s="1535" t="str">
        <f t="shared" si="11"/>
        <v>业态</v>
      </c>
      <c r="R38" s="711" t="s">
        <v>17</v>
      </c>
      <c r="S38" s="712">
        <f t="shared" si="12"/>
        <v>100</v>
      </c>
      <c r="T38" s="711" t="s">
        <v>17</v>
      </c>
      <c r="U38" s="712">
        <f t="shared" si="13"/>
        <v>100</v>
      </c>
      <c r="V38" s="711" t="s">
        <v>17</v>
      </c>
      <c r="W38" s="712">
        <f t="shared" si="14"/>
        <v>100</v>
      </c>
      <c r="X38" s="1538"/>
      <c r="Y38" s="3344" t="s">
        <v>2387</v>
      </c>
      <c r="Z38" s="1539" t="str">
        <f t="shared" si="15"/>
        <v>业态</v>
      </c>
      <c r="AA38" s="1536">
        <f t="shared" si="3"/>
        <v>1</v>
      </c>
      <c r="AB38" s="1536">
        <f t="shared" si="4"/>
        <v>1</v>
      </c>
      <c r="AC38" s="1536">
        <f t="shared" si="5"/>
        <v>1</v>
      </c>
    </row>
    <row r="39" spans="1:29" ht="15">
      <c r="A39" s="429"/>
      <c r="B39" s="379" t="s">
        <v>2487</v>
      </c>
      <c r="C39" s="2091" t="s">
        <v>3227</v>
      </c>
      <c r="D39" s="392">
        <v>100</v>
      </c>
      <c r="E39" s="2091" t="s">
        <v>3225</v>
      </c>
      <c r="F39" s="418">
        <f>SUMIF(116:116,E39,117:117)-SUMIF(116:116,C39,117:117)+100</f>
        <v>105</v>
      </c>
      <c r="G39" s="2091" t="s">
        <v>3227</v>
      </c>
      <c r="H39" s="392">
        <f>SUMIF(116:116,G39,117:117)-SUMIF(116:116,C39,117:117)+100</f>
        <v>100</v>
      </c>
      <c r="I39" s="2091" t="s">
        <v>3227</v>
      </c>
      <c r="J39" s="392">
        <f>SUMIF(116:116,I39,117:117)-SUMIF(116:116,C39,117:117)+100</f>
        <v>100</v>
      </c>
      <c r="K39" s="567">
        <v>5</v>
      </c>
      <c r="L39" s="2950"/>
      <c r="M39" s="2944"/>
      <c r="N39" s="2944"/>
      <c r="O39" s="2944"/>
      <c r="P39" s="3342"/>
      <c r="Q39" s="1535" t="str">
        <f t="shared" si="11"/>
        <v>层高</v>
      </c>
      <c r="R39" s="711" t="s">
        <v>17</v>
      </c>
      <c r="S39" s="712">
        <f t="shared" si="12"/>
        <v>105</v>
      </c>
      <c r="T39" s="711" t="s">
        <v>17</v>
      </c>
      <c r="U39" s="712">
        <f t="shared" si="13"/>
        <v>100</v>
      </c>
      <c r="V39" s="711" t="s">
        <v>17</v>
      </c>
      <c r="W39" s="712">
        <f t="shared" si="14"/>
        <v>100</v>
      </c>
      <c r="X39" s="1538"/>
      <c r="Y39" s="3344"/>
      <c r="Z39" s="1539" t="str">
        <f t="shared" si="15"/>
        <v>层高</v>
      </c>
      <c r="AA39" s="1536">
        <f t="shared" si="3"/>
        <v>0.95238095238095233</v>
      </c>
      <c r="AB39" s="1536">
        <f t="shared" si="4"/>
        <v>1</v>
      </c>
      <c r="AC39" s="1536">
        <f t="shared" si="5"/>
        <v>1</v>
      </c>
    </row>
    <row r="40" spans="1:29" ht="15">
      <c r="A40" s="429"/>
      <c r="B40" s="379" t="s">
        <v>2488</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50"/>
      <c r="M40" s="2944"/>
      <c r="N40" s="2944"/>
      <c r="O40" s="2944"/>
      <c r="P40" s="3342"/>
      <c r="Q40" s="1535" t="str">
        <f t="shared" si="11"/>
        <v>单套建筑面积</v>
      </c>
      <c r="R40" s="711" t="s">
        <v>17</v>
      </c>
      <c r="S40" s="712">
        <f t="shared" si="12"/>
        <v>100</v>
      </c>
      <c r="T40" s="711" t="s">
        <v>17</v>
      </c>
      <c r="U40" s="712">
        <f t="shared" si="13"/>
        <v>100</v>
      </c>
      <c r="V40" s="711" t="s">
        <v>17</v>
      </c>
      <c r="W40" s="712">
        <f t="shared" si="14"/>
        <v>100</v>
      </c>
      <c r="X40" s="1538"/>
      <c r="Y40" s="3344"/>
      <c r="Z40" s="1539" t="str">
        <f t="shared" si="15"/>
        <v>单套建筑面积</v>
      </c>
      <c r="AA40" s="1536">
        <f t="shared" si="3"/>
        <v>1</v>
      </c>
      <c r="AB40" s="1536">
        <f t="shared" si="4"/>
        <v>1</v>
      </c>
      <c r="AC40" s="1536">
        <f t="shared" si="5"/>
        <v>1</v>
      </c>
    </row>
    <row r="41" spans="1:29" s="428" customFormat="1" ht="15">
      <c r="A41" s="425"/>
      <c r="B41" s="1537" t="s">
        <v>2489</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9"/>
      <c r="M41" s="2951"/>
      <c r="N41" s="2951"/>
      <c r="O41" s="2951"/>
      <c r="P41" s="3342"/>
      <c r="Q41" s="713" t="str">
        <f t="shared" si="11"/>
        <v>进深比</v>
      </c>
      <c r="R41" s="714" t="s">
        <v>17</v>
      </c>
      <c r="S41" s="715">
        <f t="shared" si="12"/>
        <v>100</v>
      </c>
      <c r="T41" s="714" t="s">
        <v>17</v>
      </c>
      <c r="U41" s="715">
        <f t="shared" si="13"/>
        <v>100</v>
      </c>
      <c r="V41" s="714" t="s">
        <v>17</v>
      </c>
      <c r="W41" s="715">
        <f t="shared" si="14"/>
        <v>100</v>
      </c>
      <c r="X41" s="716"/>
      <c r="Y41" s="3344"/>
      <c r="Z41" s="717" t="str">
        <f t="shared" si="15"/>
        <v>进深比</v>
      </c>
      <c r="AA41" s="1536">
        <f t="shared" si="3"/>
        <v>1</v>
      </c>
      <c r="AB41" s="1536">
        <f t="shared" si="4"/>
        <v>1</v>
      </c>
      <c r="AC41" s="1536">
        <f t="shared" si="5"/>
        <v>1</v>
      </c>
    </row>
    <row r="42" spans="1:29" ht="15">
      <c r="A42" s="429"/>
      <c r="B42" s="379" t="s">
        <v>2490</v>
      </c>
      <c r="C42" s="2091" t="s">
        <v>3220</v>
      </c>
      <c r="D42" s="392">
        <v>100</v>
      </c>
      <c r="E42" s="2091" t="s">
        <v>3218</v>
      </c>
      <c r="F42" s="418">
        <f>SUMIF(122:122,E42,123:123)-SUMIF(122:122,C42,123:123)+100</f>
        <v>102</v>
      </c>
      <c r="G42" s="2091" t="s">
        <v>3220</v>
      </c>
      <c r="H42" s="392">
        <f>SUMIF(122:122,G42,123:123)-SUMIF(122:122,C42,123:123)+100</f>
        <v>100</v>
      </c>
      <c r="I42" s="2091" t="s">
        <v>3220</v>
      </c>
      <c r="J42" s="392">
        <f>SUMIF(122:122,I42,123:123)-SUMIF(122:122,C42,123:123)+100</f>
        <v>100</v>
      </c>
      <c r="K42" s="567">
        <v>2</v>
      </c>
      <c r="L42" s="2950"/>
      <c r="M42" s="2944"/>
      <c r="N42" s="2944"/>
      <c r="O42" s="2944"/>
      <c r="P42" s="3342"/>
      <c r="Q42" s="1535" t="str">
        <f t="shared" si="11"/>
        <v>内部装修</v>
      </c>
      <c r="R42" s="711" t="s">
        <v>17</v>
      </c>
      <c r="S42" s="712">
        <f t="shared" si="12"/>
        <v>102</v>
      </c>
      <c r="T42" s="711" t="s">
        <v>17</v>
      </c>
      <c r="U42" s="712">
        <f t="shared" si="13"/>
        <v>100</v>
      </c>
      <c r="V42" s="711" t="s">
        <v>17</v>
      </c>
      <c r="W42" s="712">
        <f t="shared" si="14"/>
        <v>100</v>
      </c>
      <c r="X42" s="1538"/>
      <c r="Y42" s="3344"/>
      <c r="Z42" s="1539" t="str">
        <f t="shared" si="15"/>
        <v>内部装修</v>
      </c>
      <c r="AA42" s="1536">
        <f t="shared" si="3"/>
        <v>0.98039215686274506</v>
      </c>
      <c r="AB42" s="1536">
        <f t="shared" si="4"/>
        <v>1</v>
      </c>
      <c r="AC42" s="1536">
        <f t="shared" si="5"/>
        <v>1</v>
      </c>
    </row>
    <row r="43" spans="1:29" ht="15">
      <c r="A43" s="429"/>
      <c r="B43" s="379" t="s">
        <v>2398</v>
      </c>
      <c r="C43" s="2091"/>
      <c r="D43" s="392">
        <v>100</v>
      </c>
      <c r="E43" s="2091"/>
      <c r="F43" s="418">
        <f>SUMIF(124:124,E43,125:125)-SUMIF(124:124,C43,125:125)+100</f>
        <v>100</v>
      </c>
      <c r="G43" s="2091"/>
      <c r="H43" s="392">
        <f>SUMIF(124:124,G43,125:125)-SUMIF(124:124,C43,125:125)+100</f>
        <v>100</v>
      </c>
      <c r="I43" s="2091"/>
      <c r="J43" s="392">
        <f>SUMIF(124:124,I43,125:125)-SUMIF(124:124,C43,125:125)+100</f>
        <v>100</v>
      </c>
      <c r="K43" s="567"/>
      <c r="L43" s="2950"/>
      <c r="M43" s="2944"/>
      <c r="N43" s="2944"/>
      <c r="O43" s="2944"/>
      <c r="P43" s="3342"/>
      <c r="Q43" s="1535" t="str">
        <f t="shared" si="11"/>
        <v>内部装修维护情况</v>
      </c>
      <c r="R43" s="711" t="s">
        <v>17</v>
      </c>
      <c r="S43" s="712">
        <f t="shared" si="12"/>
        <v>100</v>
      </c>
      <c r="T43" s="711" t="s">
        <v>17</v>
      </c>
      <c r="U43" s="712">
        <f t="shared" si="13"/>
        <v>100</v>
      </c>
      <c r="V43" s="711" t="s">
        <v>17</v>
      </c>
      <c r="W43" s="712">
        <f t="shared" si="14"/>
        <v>100</v>
      </c>
      <c r="X43" s="1538"/>
      <c r="Y43" s="3344"/>
      <c r="Z43" s="1539" t="str">
        <f t="shared" si="15"/>
        <v>内部装修维护情况</v>
      </c>
      <c r="AA43" s="1536">
        <f t="shared" si="3"/>
        <v>1</v>
      </c>
      <c r="AB43" s="1536">
        <f t="shared" si="4"/>
        <v>1</v>
      </c>
      <c r="AC43" s="1536">
        <f t="shared" si="5"/>
        <v>1</v>
      </c>
    </row>
    <row r="44" spans="1:29" s="113" customFormat="1" ht="15">
      <c r="A44" s="430"/>
      <c r="B44" s="129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5"/>
      <c r="M44" s="2946"/>
      <c r="N44" s="2946"/>
      <c r="O44" s="2946"/>
      <c r="P44" s="3342"/>
      <c r="Q44" s="1526">
        <f t="shared" si="11"/>
        <v>111</v>
      </c>
      <c r="R44" s="707" t="s">
        <v>17</v>
      </c>
      <c r="S44" s="708">
        <f t="shared" si="12"/>
        <v>100</v>
      </c>
      <c r="T44" s="707" t="s">
        <v>17</v>
      </c>
      <c r="U44" s="708">
        <f t="shared" si="13"/>
        <v>100</v>
      </c>
      <c r="V44" s="707" t="s">
        <v>17</v>
      </c>
      <c r="W44" s="708">
        <f t="shared" si="14"/>
        <v>100</v>
      </c>
      <c r="X44" s="709"/>
      <c r="Y44" s="3344"/>
      <c r="Z44" s="55">
        <f t="shared" si="15"/>
        <v>111</v>
      </c>
      <c r="AA44" s="710">
        <f t="shared" si="3"/>
        <v>1</v>
      </c>
      <c r="AB44" s="710">
        <f t="shared" si="4"/>
        <v>1</v>
      </c>
      <c r="AC44" s="710">
        <f t="shared" si="5"/>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50"/>
      <c r="M45" s="2944"/>
      <c r="N45" s="2944"/>
      <c r="O45" s="2944"/>
      <c r="P45" s="3342"/>
      <c r="Q45" s="1535">
        <f t="shared" si="11"/>
        <v>111</v>
      </c>
      <c r="R45" s="711" t="s">
        <v>17</v>
      </c>
      <c r="S45" s="712">
        <f t="shared" si="12"/>
        <v>100</v>
      </c>
      <c r="T45" s="711" t="s">
        <v>17</v>
      </c>
      <c r="U45" s="712">
        <f t="shared" si="13"/>
        <v>100</v>
      </c>
      <c r="V45" s="711" t="s">
        <v>17</v>
      </c>
      <c r="W45" s="712">
        <f t="shared" si="14"/>
        <v>100</v>
      </c>
      <c r="X45" s="1538"/>
      <c r="Y45" s="3344"/>
      <c r="Z45" s="1539">
        <f t="shared" si="15"/>
        <v>111</v>
      </c>
      <c r="AA45" s="1536">
        <f t="shared" si="3"/>
        <v>1</v>
      </c>
      <c r="AB45" s="1536">
        <f t="shared" si="4"/>
        <v>1</v>
      </c>
      <c r="AC45" s="1536">
        <f t="shared" si="5"/>
        <v>1</v>
      </c>
    </row>
    <row r="46" spans="1:29" ht="15.75" thickBot="1">
      <c r="A46" s="435"/>
      <c r="B46" s="2080">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50"/>
      <c r="M46" s="2944"/>
      <c r="N46" s="2944"/>
      <c r="O46" s="2944"/>
      <c r="P46" s="3343"/>
      <c r="Q46" s="1535">
        <f t="shared" si="11"/>
        <v>111</v>
      </c>
      <c r="R46" s="711" t="s">
        <v>17</v>
      </c>
      <c r="S46" s="712">
        <f t="shared" si="12"/>
        <v>100</v>
      </c>
      <c r="T46" s="711" t="s">
        <v>17</v>
      </c>
      <c r="U46" s="712">
        <f t="shared" si="13"/>
        <v>100</v>
      </c>
      <c r="V46" s="711" t="s">
        <v>17</v>
      </c>
      <c r="W46" s="712">
        <f t="shared" si="14"/>
        <v>100</v>
      </c>
      <c r="X46" s="1538"/>
      <c r="Y46" s="3345"/>
      <c r="Z46" s="1539">
        <f t="shared" si="15"/>
        <v>111</v>
      </c>
      <c r="AA46" s="1536">
        <f t="shared" si="3"/>
        <v>1</v>
      </c>
      <c r="AB46" s="1536">
        <f t="shared" si="4"/>
        <v>1</v>
      </c>
      <c r="AC46" s="1536">
        <f t="shared" si="5"/>
        <v>1</v>
      </c>
    </row>
    <row r="47" spans="1:29" ht="15">
      <c r="A47" s="436" t="s">
        <v>2399</v>
      </c>
      <c r="B47" s="437"/>
      <c r="C47" s="1313" t="s">
        <v>1</v>
      </c>
      <c r="D47" s="1314"/>
      <c r="E47" s="1315">
        <v>29200</v>
      </c>
      <c r="F47" s="1316"/>
      <c r="G47" s="1317">
        <v>23000</v>
      </c>
      <c r="H47" s="1318"/>
      <c r="I47" s="1315">
        <v>25200</v>
      </c>
      <c r="J47" s="1318"/>
      <c r="K47" s="720"/>
      <c r="L47" s="2952"/>
      <c r="M47" s="2953"/>
      <c r="N47" s="2944"/>
      <c r="O47" s="2953"/>
      <c r="P47" s="3346" t="str">
        <f>A47</f>
        <v>成交单价（元/平方米）</v>
      </c>
      <c r="Q47" s="3346"/>
      <c r="R47" s="3307">
        <f>E47</f>
        <v>29200</v>
      </c>
      <c r="S47" s="3307"/>
      <c r="T47" s="3307">
        <f>G47</f>
        <v>23000</v>
      </c>
      <c r="U47" s="3307"/>
      <c r="V47" s="3307">
        <f>I47</f>
        <v>25200</v>
      </c>
      <c r="W47" s="3307"/>
      <c r="X47" s="696"/>
      <c r="Y47" s="718"/>
      <c r="Z47" s="696"/>
      <c r="AA47" s="696"/>
      <c r="AB47" s="696"/>
      <c r="AC47" s="696"/>
    </row>
    <row r="48" spans="1:29" ht="15.75" thickBot="1">
      <c r="A48" s="443" t="s">
        <v>2491</v>
      </c>
      <c r="B48" s="444"/>
      <c r="C48" s="1319">
        <f>R49</f>
        <v>28174</v>
      </c>
      <c r="D48" s="2537" t="s">
        <v>2881</v>
      </c>
      <c r="E48" s="1320">
        <f>R48</f>
        <v>31892</v>
      </c>
      <c r="F48" s="2538"/>
      <c r="G48" s="1319">
        <f>T48</f>
        <v>26904</v>
      </c>
      <c r="H48" s="2538"/>
      <c r="I48" s="1320">
        <f>V48</f>
        <v>25725</v>
      </c>
      <c r="J48" s="2538"/>
      <c r="K48" s="2540">
        <f>F48+H48+J48</f>
        <v>0</v>
      </c>
      <c r="L48" s="2952"/>
      <c r="M48" s="2953"/>
      <c r="N48" s="2944"/>
      <c r="O48" s="2953"/>
      <c r="P48" s="3346" t="str">
        <f>A48</f>
        <v>比较价值（元/平方米）</v>
      </c>
      <c r="Q48" s="3346"/>
      <c r="R48" s="3347">
        <f>IF(F1="售价",ROUND(PRODUCT(R47,AA7:AA46),0),ROUND(PRODUCT(R47,AA7:AA46),1))</f>
        <v>31892</v>
      </c>
      <c r="S48" s="3347"/>
      <c r="T48" s="3347">
        <f>IF(F1="售价",ROUND(PRODUCT(T47,AB7:AB46),0),ROUND(PRODUCT(T47,AB7:AB46),1))</f>
        <v>26904</v>
      </c>
      <c r="U48" s="3347"/>
      <c r="V48" s="3347">
        <f>IF(F1="售价",ROUND(PRODUCT(V47,AC7:AC46),0),ROUND(PRODUCT(V47,AC7:AC46),1))</f>
        <v>25725</v>
      </c>
      <c r="W48" s="3347"/>
      <c r="X48" s="696"/>
      <c r="Y48" s="696"/>
      <c r="Z48" s="696"/>
      <c r="AA48" s="696"/>
      <c r="AB48" s="696"/>
      <c r="AC48" s="696"/>
    </row>
    <row r="49" spans="1:29" ht="15.75" thickBot="1">
      <c r="A49" s="447" t="s">
        <v>2492</v>
      </c>
      <c r="B49" s="448"/>
      <c r="C49" s="1322">
        <f>R49</f>
        <v>28174</v>
      </c>
      <c r="D49" s="1322"/>
      <c r="E49" s="1322"/>
      <c r="F49" s="1322"/>
      <c r="G49" s="1322"/>
      <c r="H49" s="1322"/>
      <c r="I49" s="1322"/>
      <c r="J49" s="1322"/>
      <c r="K49" s="721"/>
      <c r="L49" s="2952"/>
      <c r="M49" s="2953"/>
      <c r="N49" s="2944"/>
      <c r="O49" s="2953"/>
      <c r="P49" s="3348" t="str">
        <f>A49</f>
        <v>估价对象XX用房的比较价值（楼面单价，元/平方米）</v>
      </c>
      <c r="Q49" s="3349"/>
      <c r="R49" s="3350">
        <f>IF(F1="售价",ROUND(IF(D48="简单平均",AVERAGE(R48:V48),R48*F48+T48*H48+V48*J48),0),ROUND(IF(D48="简单平均",AVERAGE(R48:V48),R48*F48+T48*H48+V48*J48),1))</f>
        <v>28174</v>
      </c>
      <c r="S49" s="3350"/>
      <c r="T49" s="3350"/>
      <c r="U49" s="3350"/>
      <c r="V49" s="3350"/>
      <c r="W49" s="3350"/>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2" t="s">
        <v>2493</v>
      </c>
      <c r="D52" s="453"/>
      <c r="E52" s="454">
        <f>IF(E47&lt;E48,E48/E47-1,E47/E48-1)</f>
        <v>9.2191780821917702E-2</v>
      </c>
      <c r="F52" s="455" t="str">
        <f>IF(OR(E52&gt;=0.3,E52&lt;=-0.3),"超过30%","")</f>
        <v/>
      </c>
      <c r="G52" s="454">
        <f>IF(G47&lt;G48,G48/G47-1,G47/G48-1)</f>
        <v>0.16973913043478261</v>
      </c>
      <c r="H52" s="455" t="str">
        <f>IF(OR(G52&gt;=0.3,G52&lt;=-0.3),"超过30%","")</f>
        <v/>
      </c>
      <c r="I52" s="454">
        <f>IF(I47&lt;I48,I48/I47-1,I47/I48-1)</f>
        <v>2.0833333333333259E-2</v>
      </c>
      <c r="J52" s="455"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2" t="s">
        <v>2494</v>
      </c>
      <c r="D53" s="456"/>
      <c r="E53" s="454">
        <f>IF(E48&lt;G48,G48/E48-1,E48/G48-1)</f>
        <v>0.18539994052928943</v>
      </c>
      <c r="F53" s="455" t="str">
        <f>IF(OR(E53&gt;=0.2,E53&lt;=-0.2),"超过20%","")</f>
        <v/>
      </c>
      <c r="G53" s="454">
        <f>IF(G48&lt;I48,I48/G48-1,G48/I48-1)</f>
        <v>4.5830903790087474E-2</v>
      </c>
      <c r="H53" s="455" t="str">
        <f>IF(OR(G53&gt;=0.2,G53&lt;=-0.2),"超过20%","")</f>
        <v/>
      </c>
      <c r="I53" s="454">
        <f>IF(I48&lt;E48,E48/I48-1,I48/E48-1)</f>
        <v>0.23972789115646265</v>
      </c>
      <c r="J53" s="455"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7" customFormat="1" ht="13.5" customHeight="1">
      <c r="A54" s="2956"/>
      <c r="B54" s="2956"/>
      <c r="C54" s="452" t="s">
        <v>2495</v>
      </c>
      <c r="D54" s="456"/>
      <c r="E54" s="454">
        <f>IF(E47&lt;G47,G47/E47-1,E47/G47-1)</f>
        <v>0.26956521739130435</v>
      </c>
      <c r="F54" s="455" t="str">
        <f>IF(OR(E54&gt;=0.3,E54&lt;=-0.3),"超过30%","")</f>
        <v/>
      </c>
      <c r="G54" s="454">
        <f>IF(G47&lt;I47,I47/G47-1,G47/I47-1)</f>
        <v>9.565217391304337E-2</v>
      </c>
      <c r="H54" s="455" t="str">
        <f>IF(OR(G54&gt;=0.3,G54&lt;=-0.3),"超过30%","")</f>
        <v/>
      </c>
      <c r="I54" s="454">
        <f>IF(I47&lt;E47,E47/I47-1,I47/E47-1)</f>
        <v>0.15873015873015883</v>
      </c>
      <c r="J54" s="455"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7"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3" customFormat="1" ht="15">
      <c r="A58" s="460" t="s">
        <v>2370</v>
      </c>
      <c r="B58" s="461"/>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3" customFormat="1" ht="15">
      <c r="A59" s="464"/>
      <c r="B59" s="465"/>
      <c r="C59" s="1342">
        <v>100</v>
      </c>
      <c r="D59" s="467">
        <f>C59-$C$60</f>
        <v>100</v>
      </c>
      <c r="E59" s="467">
        <f t="shared" ref="E59:M59" si="17">D59-$C$60</f>
        <v>100</v>
      </c>
      <c r="F59" s="467">
        <f t="shared" si="17"/>
        <v>100</v>
      </c>
      <c r="G59" s="467">
        <f t="shared" si="17"/>
        <v>100</v>
      </c>
      <c r="H59" s="467">
        <f t="shared" si="17"/>
        <v>100</v>
      </c>
      <c r="I59" s="467">
        <f t="shared" si="17"/>
        <v>100</v>
      </c>
      <c r="J59" s="467">
        <f t="shared" si="17"/>
        <v>100</v>
      </c>
      <c r="K59" s="467">
        <f t="shared" si="17"/>
        <v>100</v>
      </c>
      <c r="L59" s="467">
        <f t="shared" si="17"/>
        <v>100</v>
      </c>
      <c r="M59" s="467">
        <f t="shared" si="17"/>
        <v>100</v>
      </c>
      <c r="N59" s="467"/>
      <c r="O59" s="468"/>
      <c r="P59" s="2970"/>
      <c r="Q59" s="2887"/>
      <c r="R59" s="2887"/>
      <c r="S59" s="2887"/>
      <c r="T59" s="2887"/>
      <c r="U59" s="2887"/>
      <c r="V59" s="2887"/>
      <c r="W59" s="2887"/>
      <c r="X59" s="2887"/>
      <c r="Y59" s="2887"/>
      <c r="Z59" s="2887"/>
      <c r="AA59" s="2887"/>
      <c r="AB59" s="2887"/>
      <c r="AC59" s="2887"/>
    </row>
    <row r="60" spans="1:29" s="113" customFormat="1" ht="15.75" thickBot="1">
      <c r="A60" s="470" t="s">
        <v>2407</v>
      </c>
      <c r="B60" s="471"/>
      <c r="C60" s="472">
        <v>0</v>
      </c>
      <c r="D60" s="473"/>
      <c r="E60" s="473"/>
      <c r="F60" s="473"/>
      <c r="G60" s="473"/>
      <c r="H60" s="473"/>
      <c r="I60" s="473"/>
      <c r="J60" s="473"/>
      <c r="K60" s="473"/>
      <c r="L60" s="473"/>
      <c r="M60" s="474"/>
      <c r="N60" s="473"/>
      <c r="O60" s="474"/>
      <c r="P60" s="2970"/>
      <c r="Q60" s="2967"/>
      <c r="R60" s="2887"/>
      <c r="S60" s="2887"/>
      <c r="T60" s="2887"/>
      <c r="U60" s="2887"/>
      <c r="V60" s="2887"/>
      <c r="W60" s="2887"/>
      <c r="X60" s="2887"/>
      <c r="Y60" s="2887"/>
      <c r="Z60" s="2887"/>
      <c r="AA60" s="2887"/>
      <c r="AB60" s="2887"/>
      <c r="AC60" s="2887"/>
    </row>
    <row r="61" spans="1:29" s="113" customFormat="1" ht="15">
      <c r="A61" s="476" t="s">
        <v>2372</v>
      </c>
      <c r="B61" s="465"/>
      <c r="C61" s="477" t="s">
        <v>2474</v>
      </c>
      <c r="D61" s="478"/>
      <c r="E61" s="478"/>
      <c r="F61" s="478"/>
      <c r="G61" s="478"/>
      <c r="H61" s="478"/>
      <c r="I61" s="478"/>
      <c r="J61" s="478"/>
      <c r="K61" s="478"/>
      <c r="L61" s="479"/>
      <c r="M61" s="480"/>
      <c r="N61" s="2980"/>
      <c r="O61" s="2980"/>
      <c r="P61" s="2971"/>
      <c r="Q61" s="2967"/>
      <c r="R61" s="2887"/>
      <c r="S61" s="2887"/>
      <c r="T61" s="2887"/>
      <c r="U61" s="2887"/>
      <c r="V61" s="2887"/>
      <c r="W61" s="2887"/>
      <c r="X61" s="2887"/>
      <c r="Y61" s="2887"/>
      <c r="Z61" s="2887"/>
      <c r="AA61" s="2887"/>
      <c r="AB61" s="2887"/>
      <c r="AC61" s="2887"/>
    </row>
    <row r="62" spans="1:29" s="113" customFormat="1" ht="15.75" thickBot="1">
      <c r="A62" s="476"/>
      <c r="B62" s="465"/>
      <c r="C62" s="466">
        <v>100</v>
      </c>
      <c r="D62" s="467"/>
      <c r="E62" s="467"/>
      <c r="F62" s="467"/>
      <c r="G62" s="467"/>
      <c r="H62" s="467"/>
      <c r="I62" s="467"/>
      <c r="J62" s="467"/>
      <c r="K62" s="467"/>
      <c r="L62" s="467"/>
      <c r="M62" s="469"/>
      <c r="N62" s="2980"/>
      <c r="O62" s="2980"/>
      <c r="P62" s="2970"/>
      <c r="Q62" s="2967"/>
      <c r="R62" s="2887"/>
      <c r="S62" s="2887"/>
      <c r="T62" s="2887"/>
      <c r="U62" s="2887"/>
      <c r="V62" s="2887"/>
      <c r="W62" s="2887"/>
      <c r="X62" s="2887"/>
      <c r="Y62" s="2887"/>
      <c r="Z62" s="2887"/>
      <c r="AA62" s="2887"/>
      <c r="AB62" s="2887"/>
      <c r="AC62" s="2887"/>
    </row>
    <row r="63" spans="1:29">
      <c r="A63" s="482" t="s">
        <v>2410</v>
      </c>
      <c r="B63" s="483" t="s">
        <v>2376</v>
      </c>
      <c r="C63" s="484" t="str">
        <f>C9</f>
        <v>商业</v>
      </c>
      <c r="D63" s="485"/>
      <c r="E63" s="485"/>
      <c r="F63" s="485"/>
      <c r="G63" s="485"/>
      <c r="H63" s="485"/>
      <c r="I63" s="485"/>
      <c r="J63" s="485"/>
      <c r="K63" s="486"/>
      <c r="L63" s="487"/>
      <c r="M63" s="488"/>
      <c r="N63" s="2981"/>
      <c r="O63" s="2981"/>
      <c r="P63" s="2972"/>
      <c r="Q63" s="2967"/>
      <c r="R63" s="2953"/>
      <c r="S63" s="2953"/>
      <c r="T63" s="2953"/>
      <c r="U63" s="2953"/>
      <c r="V63" s="2953"/>
      <c r="W63" s="2953"/>
      <c r="X63" s="2953"/>
      <c r="Y63" s="2953"/>
      <c r="Z63" s="2953"/>
      <c r="AA63" s="2953"/>
      <c r="AB63" s="2953"/>
      <c r="AC63" s="2953"/>
    </row>
    <row r="64" spans="1:29" ht="15.75" thickBot="1">
      <c r="A64" s="489"/>
      <c r="B64" s="490"/>
      <c r="C64" s="491">
        <v>100</v>
      </c>
      <c r="D64" s="491"/>
      <c r="E64" s="491"/>
      <c r="F64" s="491"/>
      <c r="G64" s="491"/>
      <c r="H64" s="491"/>
      <c r="I64" s="491"/>
      <c r="J64" s="491"/>
      <c r="K64" s="491"/>
      <c r="L64" s="491"/>
      <c r="M64" s="492"/>
      <c r="N64" s="2982"/>
      <c r="O64" s="2982"/>
      <c r="P64" s="2972"/>
      <c r="Q64" s="2967"/>
      <c r="R64" s="2953"/>
      <c r="S64" s="2953"/>
      <c r="T64" s="2953"/>
      <c r="U64" s="2953"/>
      <c r="V64" s="2953"/>
      <c r="W64" s="2953"/>
      <c r="X64" s="2953"/>
      <c r="Y64" s="2953"/>
      <c r="Z64" s="2953"/>
      <c r="AA64" s="2953"/>
      <c r="AB64" s="2953"/>
      <c r="AC64" s="2953"/>
    </row>
    <row r="65" spans="1:29" ht="27.75" thickTop="1">
      <c r="A65" s="489"/>
      <c r="B65" s="493" t="s">
        <v>2379</v>
      </c>
      <c r="C65" s="494" t="s">
        <v>2411</v>
      </c>
      <c r="D65" s="494" t="s">
        <v>2412</v>
      </c>
      <c r="E65" s="494" t="s">
        <v>2413</v>
      </c>
      <c r="F65" s="494" t="s">
        <v>2414</v>
      </c>
      <c r="G65" s="494" t="s">
        <v>2415</v>
      </c>
      <c r="H65" s="494" t="s">
        <v>2416</v>
      </c>
      <c r="I65" s="494" t="s">
        <v>2417</v>
      </c>
      <c r="J65" s="494"/>
      <c r="K65" s="495"/>
      <c r="L65" s="496"/>
      <c r="M65" s="497"/>
      <c r="N65" s="2981"/>
      <c r="O65" s="2981"/>
      <c r="P65" s="2972"/>
      <c r="Q65" s="2967"/>
      <c r="R65" s="2953"/>
      <c r="S65" s="2953"/>
      <c r="T65" s="2953"/>
      <c r="U65" s="2953"/>
      <c r="V65" s="2953"/>
      <c r="W65" s="2953"/>
      <c r="X65" s="2953"/>
      <c r="Y65" s="2953"/>
      <c r="Z65" s="2953"/>
      <c r="AA65" s="2953"/>
      <c r="AB65" s="2953"/>
      <c r="AC65" s="2953"/>
    </row>
    <row r="66" spans="1:29" ht="15.75" thickBot="1">
      <c r="A66" s="489"/>
      <c r="B66" s="498"/>
      <c r="C66" s="499" t="s">
        <v>24</v>
      </c>
      <c r="D66" s="499" t="s">
        <v>25</v>
      </c>
      <c r="E66" s="499" t="s">
        <v>26</v>
      </c>
      <c r="F66" s="499">
        <v>100</v>
      </c>
      <c r="G66" s="499">
        <f>F66-$K10</f>
        <v>98</v>
      </c>
      <c r="H66" s="499">
        <f>G66-$K10</f>
        <v>96</v>
      </c>
      <c r="I66" s="499">
        <f>H66-$K10</f>
        <v>94</v>
      </c>
      <c r="J66" s="499"/>
      <c r="K66" s="499"/>
      <c r="L66" s="499"/>
      <c r="M66" s="500"/>
      <c r="N66" s="2982"/>
      <c r="O66" s="2982"/>
      <c r="P66" s="2972"/>
      <c r="Q66" s="2967"/>
      <c r="R66" s="2953"/>
      <c r="S66" s="2953"/>
      <c r="T66" s="2953"/>
      <c r="U66" s="2953"/>
      <c r="V66" s="2953"/>
      <c r="W66" s="2953"/>
      <c r="X66" s="2953"/>
      <c r="Y66" s="2953"/>
      <c r="Z66" s="2953"/>
      <c r="AA66" s="2953"/>
      <c r="AB66" s="2953"/>
      <c r="AC66" s="2953"/>
    </row>
    <row r="67" spans="1:29" ht="15.75" thickTop="1">
      <c r="A67" s="489"/>
      <c r="B67" s="501" t="s">
        <v>2380</v>
      </c>
      <c r="C67" s="502" t="str">
        <f>C68&amp;"（含）"&amp;"-"&amp;D68</f>
        <v>0（含）-</v>
      </c>
      <c r="D67" s="502" t="str">
        <f t="shared" ref="D67:L67" si="18">D68&amp;"（含）"&amp;"-"&amp;E68</f>
        <v>（含）-</v>
      </c>
      <c r="E67" s="502" t="str">
        <f t="shared" si="18"/>
        <v>（含）-</v>
      </c>
      <c r="F67" s="502" t="str">
        <f t="shared" si="18"/>
        <v>（含）-</v>
      </c>
      <c r="G67" s="502" t="str">
        <f t="shared" si="18"/>
        <v>（含）-</v>
      </c>
      <c r="H67" s="502" t="str">
        <f t="shared" si="18"/>
        <v>（含）-</v>
      </c>
      <c r="I67" s="502" t="str">
        <f t="shared" si="18"/>
        <v>（含）-</v>
      </c>
      <c r="J67" s="502" t="str">
        <f t="shared" si="18"/>
        <v>（含）-</v>
      </c>
      <c r="K67" s="502" t="str">
        <f t="shared" si="18"/>
        <v>（含）-</v>
      </c>
      <c r="L67" s="502" t="str">
        <f t="shared" si="18"/>
        <v>（含）-</v>
      </c>
      <c r="M67" s="405"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9"/>
      <c r="B68" s="503"/>
      <c r="C68" s="504">
        <v>0</v>
      </c>
      <c r="D68" s="504"/>
      <c r="E68" s="504"/>
      <c r="F68" s="504"/>
      <c r="G68" s="504"/>
      <c r="H68" s="504"/>
      <c r="I68" s="504"/>
      <c r="J68" s="504"/>
      <c r="K68" s="505"/>
      <c r="L68" s="506"/>
      <c r="M68" s="507"/>
      <c r="N68" s="2981"/>
      <c r="O68" s="2981"/>
      <c r="P68" s="2972"/>
      <c r="Q68" s="2967"/>
      <c r="R68" s="2953"/>
      <c r="S68" s="2953"/>
      <c r="T68" s="2953"/>
      <c r="U68" s="2953"/>
      <c r="V68" s="2953"/>
      <c r="W68" s="2953"/>
      <c r="X68" s="2953"/>
      <c r="Y68" s="2953"/>
      <c r="Z68" s="2953"/>
      <c r="AA68" s="2953"/>
      <c r="AB68" s="2953"/>
      <c r="AC68" s="2953"/>
    </row>
    <row r="69" spans="1:29" ht="15.75" thickBot="1">
      <c r="A69" s="489"/>
      <c r="B69" s="490"/>
      <c r="C69" s="499">
        <v>100</v>
      </c>
      <c r="D69" s="499">
        <f t="shared" ref="D69:M69" si="19">C69-$K11</f>
        <v>100</v>
      </c>
      <c r="E69" s="499">
        <f t="shared" si="19"/>
        <v>100</v>
      </c>
      <c r="F69" s="499">
        <f t="shared" si="19"/>
        <v>100</v>
      </c>
      <c r="G69" s="499">
        <f t="shared" si="19"/>
        <v>100</v>
      </c>
      <c r="H69" s="499">
        <f t="shared" si="19"/>
        <v>100</v>
      </c>
      <c r="I69" s="499">
        <f t="shared" si="19"/>
        <v>100</v>
      </c>
      <c r="J69" s="499">
        <f t="shared" si="19"/>
        <v>100</v>
      </c>
      <c r="K69" s="499">
        <f t="shared" si="19"/>
        <v>100</v>
      </c>
      <c r="L69" s="499">
        <f t="shared" si="19"/>
        <v>100</v>
      </c>
      <c r="M69" s="500">
        <f t="shared" si="19"/>
        <v>100</v>
      </c>
      <c r="N69" s="2982"/>
      <c r="O69" s="2982"/>
      <c r="P69" s="2972"/>
      <c r="Q69" s="2967"/>
      <c r="R69" s="2953"/>
      <c r="S69" s="2953"/>
      <c r="T69" s="2953"/>
      <c r="U69" s="2953"/>
      <c r="V69" s="2953"/>
      <c r="W69" s="2953"/>
      <c r="X69" s="2953"/>
      <c r="Y69" s="2953"/>
      <c r="Z69" s="2953"/>
      <c r="AA69" s="2953"/>
      <c r="AB69" s="2953"/>
      <c r="AC69" s="2953"/>
    </row>
    <row r="70" spans="1:29" s="428" customFormat="1" ht="15.75" thickTop="1">
      <c r="A70" s="508"/>
      <c r="B70" s="493">
        <f>B12</f>
        <v>111</v>
      </c>
      <c r="C70" s="509"/>
      <c r="D70" s="509"/>
      <c r="E70" s="509"/>
      <c r="F70" s="509"/>
      <c r="G70" s="509"/>
      <c r="H70" s="510"/>
      <c r="I70" s="510"/>
      <c r="J70" s="510"/>
      <c r="K70" s="510"/>
      <c r="L70" s="511"/>
      <c r="M70" s="512"/>
      <c r="N70" s="2983"/>
      <c r="O70" s="2983"/>
      <c r="P70" s="2973"/>
      <c r="Q70" s="2974"/>
      <c r="R70" s="2975"/>
      <c r="S70" s="2975"/>
      <c r="T70" s="2975"/>
      <c r="U70" s="2975"/>
      <c r="V70" s="2975"/>
      <c r="W70" s="2975"/>
      <c r="X70" s="2975"/>
      <c r="Y70" s="2975"/>
      <c r="Z70" s="2975"/>
      <c r="AA70" s="2975"/>
      <c r="AB70" s="2975"/>
      <c r="AC70" s="2975"/>
    </row>
    <row r="71" spans="1:29" s="428" customFormat="1" ht="15.75" thickBot="1">
      <c r="A71" s="508"/>
      <c r="B71" s="498"/>
      <c r="C71" s="515"/>
      <c r="D71" s="491"/>
      <c r="E71" s="491"/>
      <c r="F71" s="491"/>
      <c r="G71" s="491"/>
      <c r="H71" s="491"/>
      <c r="I71" s="491"/>
      <c r="J71" s="491"/>
      <c r="K71" s="491"/>
      <c r="L71" s="491"/>
      <c r="M71" s="492"/>
      <c r="N71" s="2982"/>
      <c r="O71" s="2982"/>
      <c r="P71" s="2973"/>
      <c r="Q71" s="2974"/>
      <c r="R71" s="2975"/>
      <c r="S71" s="2975"/>
      <c r="T71" s="2975"/>
      <c r="U71" s="2975"/>
      <c r="V71" s="2975"/>
      <c r="W71" s="2975"/>
      <c r="X71" s="2975"/>
      <c r="Y71" s="2975"/>
      <c r="Z71" s="2975"/>
      <c r="AA71" s="2975"/>
      <c r="AB71" s="2975"/>
      <c r="AC71" s="2975"/>
    </row>
    <row r="72" spans="1:29" s="428" customFormat="1" ht="15.75" thickTop="1">
      <c r="A72" s="508"/>
      <c r="B72" s="493">
        <f>B13</f>
        <v>111</v>
      </c>
      <c r="C72" s="509"/>
      <c r="D72" s="509"/>
      <c r="E72" s="509"/>
      <c r="F72" s="509"/>
      <c r="G72" s="509"/>
      <c r="H72" s="510"/>
      <c r="I72" s="510"/>
      <c r="J72" s="510"/>
      <c r="K72" s="510"/>
      <c r="L72" s="511"/>
      <c r="M72" s="512"/>
      <c r="N72" s="2983"/>
      <c r="O72" s="2983"/>
      <c r="P72" s="2976"/>
      <c r="Q72" s="2977"/>
      <c r="R72" s="2975"/>
      <c r="S72" s="2975"/>
      <c r="T72" s="2975"/>
      <c r="U72" s="2975"/>
      <c r="V72" s="2975"/>
      <c r="W72" s="2975"/>
      <c r="X72" s="2975"/>
      <c r="Y72" s="2975"/>
      <c r="Z72" s="2975"/>
      <c r="AA72" s="2975"/>
      <c r="AB72" s="2975"/>
      <c r="AC72" s="2975"/>
    </row>
    <row r="73" spans="1:29" s="428" customFormat="1" ht="15.75" thickBot="1">
      <c r="A73" s="508"/>
      <c r="B73" s="498"/>
      <c r="C73" s="515"/>
      <c r="D73" s="491"/>
      <c r="E73" s="491"/>
      <c r="F73" s="491"/>
      <c r="G73" s="515"/>
      <c r="H73" s="517"/>
      <c r="I73" s="517"/>
      <c r="J73" s="517"/>
      <c r="K73" s="517"/>
      <c r="L73" s="517"/>
      <c r="M73" s="518"/>
      <c r="N73" s="2983"/>
      <c r="O73" s="2983"/>
      <c r="P73" s="2973"/>
      <c r="Q73" s="2974"/>
      <c r="R73" s="2975"/>
      <c r="S73" s="2975"/>
      <c r="T73" s="2975"/>
      <c r="U73" s="2975"/>
      <c r="V73" s="2975"/>
      <c r="W73" s="2975"/>
      <c r="X73" s="2975"/>
      <c r="Y73" s="2975"/>
      <c r="Z73" s="2975"/>
      <c r="AA73" s="2975"/>
      <c r="AB73" s="2975"/>
      <c r="AC73" s="2975"/>
    </row>
    <row r="74" spans="1:29" s="428" customFormat="1" ht="15.75" thickTop="1">
      <c r="A74" s="508"/>
      <c r="B74" s="501">
        <f>B14</f>
        <v>111</v>
      </c>
      <c r="C74" s="509"/>
      <c r="D74" s="509"/>
      <c r="E74" s="509"/>
      <c r="F74" s="509"/>
      <c r="G74" s="478"/>
      <c r="H74" s="519"/>
      <c r="I74" s="519"/>
      <c r="J74" s="519"/>
      <c r="K74" s="519"/>
      <c r="L74" s="520"/>
      <c r="M74" s="521"/>
      <c r="N74" s="2983"/>
      <c r="O74" s="2983"/>
      <c r="P74" s="2978"/>
      <c r="Q74" s="2974"/>
      <c r="R74" s="2975"/>
      <c r="S74" s="2975"/>
      <c r="T74" s="2975"/>
      <c r="U74" s="2975"/>
      <c r="V74" s="2975"/>
      <c r="W74" s="2975"/>
      <c r="X74" s="2975"/>
      <c r="Y74" s="2975"/>
      <c r="Z74" s="2975"/>
      <c r="AA74" s="2975"/>
      <c r="AB74" s="2975"/>
      <c r="AC74" s="2975"/>
    </row>
    <row r="75" spans="1:29" s="428" customFormat="1" ht="15.75" thickBot="1">
      <c r="A75" s="523"/>
      <c r="B75" s="524"/>
      <c r="C75" s="525"/>
      <c r="D75" s="525"/>
      <c r="E75" s="525"/>
      <c r="F75" s="525"/>
      <c r="G75" s="525"/>
      <c r="H75" s="526"/>
      <c r="I75" s="526"/>
      <c r="J75" s="526"/>
      <c r="K75" s="526"/>
      <c r="L75" s="526"/>
      <c r="M75" s="527"/>
      <c r="N75" s="2983"/>
      <c r="O75" s="2983"/>
      <c r="P75" s="2973"/>
      <c r="Q75" s="2974"/>
      <c r="R75" s="2975"/>
      <c r="S75" s="2975"/>
      <c r="T75" s="2975"/>
      <c r="U75" s="2975"/>
      <c r="V75" s="2975"/>
      <c r="W75" s="2975"/>
      <c r="X75" s="2975"/>
      <c r="Y75" s="2975"/>
      <c r="Z75" s="2975"/>
      <c r="AA75" s="2975"/>
      <c r="AB75" s="2975"/>
      <c r="AC75" s="2975"/>
    </row>
    <row r="76" spans="1:29">
      <c r="A76" s="482" t="s">
        <v>2381</v>
      </c>
      <c r="B76" s="483" t="s">
        <v>2418</v>
      </c>
      <c r="C76" s="528" t="s">
        <v>2419</v>
      </c>
      <c r="D76" s="528" t="s">
        <v>2420</v>
      </c>
      <c r="E76" s="528" t="s">
        <v>2421</v>
      </c>
      <c r="F76" s="528" t="s">
        <v>2422</v>
      </c>
      <c r="G76" s="528" t="s">
        <v>2423</v>
      </c>
      <c r="H76" s="484"/>
      <c r="I76" s="484"/>
      <c r="J76" s="484"/>
      <c r="K76" s="529"/>
      <c r="L76" s="530"/>
      <c r="M76" s="531"/>
      <c r="N76" s="2981"/>
      <c r="O76" s="2981"/>
      <c r="P76" s="2979"/>
      <c r="Q76" s="2967"/>
      <c r="R76" s="2953"/>
      <c r="S76" s="2953"/>
      <c r="T76" s="2953"/>
      <c r="U76" s="2953"/>
      <c r="V76" s="2953"/>
      <c r="W76" s="2953"/>
      <c r="X76" s="2953"/>
      <c r="Y76" s="2953"/>
      <c r="Z76" s="2953"/>
      <c r="AA76" s="2953"/>
      <c r="AB76" s="2953"/>
      <c r="AC76" s="2953"/>
    </row>
    <row r="77" spans="1:29" ht="15.75" thickBot="1">
      <c r="A77" s="489"/>
      <c r="B77" s="498"/>
      <c r="C77" s="499">
        <v>100</v>
      </c>
      <c r="D77" s="499">
        <f>C77-$K15</f>
        <v>97</v>
      </c>
      <c r="E77" s="499">
        <f>D77-$K15</f>
        <v>94</v>
      </c>
      <c r="F77" s="499">
        <f>E77-$K15</f>
        <v>91</v>
      </c>
      <c r="G77" s="499">
        <f>F77-$K15</f>
        <v>88</v>
      </c>
      <c r="H77" s="499"/>
      <c r="I77" s="499"/>
      <c r="J77" s="499"/>
      <c r="K77" s="499"/>
      <c r="L77" s="499"/>
      <c r="M77" s="500"/>
      <c r="N77" s="2982"/>
      <c r="O77" s="2982"/>
      <c r="P77" s="2972"/>
      <c r="Q77" s="2967"/>
      <c r="R77" s="2953"/>
      <c r="S77" s="2953"/>
      <c r="T77" s="2953"/>
      <c r="U77" s="2953"/>
      <c r="V77" s="2953"/>
      <c r="W77" s="2953"/>
      <c r="X77" s="2953"/>
      <c r="Y77" s="2953"/>
      <c r="Z77" s="2953"/>
      <c r="AA77" s="2953"/>
      <c r="AB77" s="2953"/>
      <c r="AC77" s="2953"/>
    </row>
    <row r="78" spans="1:29" ht="15.75" thickTop="1">
      <c r="A78" s="489"/>
      <c r="B78" s="493" t="s">
        <v>2424</v>
      </c>
      <c r="C78" s="533" t="s">
        <v>2419</v>
      </c>
      <c r="D78" s="533" t="s">
        <v>2420</v>
      </c>
      <c r="E78" s="533" t="s">
        <v>2421</v>
      </c>
      <c r="F78" s="533" t="s">
        <v>2422</v>
      </c>
      <c r="G78" s="533" t="s">
        <v>2423</v>
      </c>
      <c r="H78" s="494"/>
      <c r="I78" s="494"/>
      <c r="J78" s="494"/>
      <c r="K78" s="495"/>
      <c r="L78" s="496"/>
      <c r="M78" s="497"/>
      <c r="N78" s="2981"/>
      <c r="O78" s="2981"/>
      <c r="P78" s="2972"/>
      <c r="Q78" s="2967"/>
      <c r="R78" s="2953"/>
      <c r="S78" s="2953"/>
      <c r="T78" s="2953"/>
      <c r="U78" s="2953"/>
      <c r="V78" s="2953"/>
      <c r="W78" s="2953"/>
      <c r="X78" s="2953"/>
      <c r="Y78" s="2953"/>
      <c r="Z78" s="2953"/>
      <c r="AA78" s="2953"/>
      <c r="AB78" s="2953"/>
      <c r="AC78" s="2953"/>
    </row>
    <row r="79" spans="1:29" ht="15.75" thickBot="1">
      <c r="A79" s="489"/>
      <c r="B79" s="498"/>
      <c r="C79" s="499">
        <v>100</v>
      </c>
      <c r="D79" s="499">
        <f>C79-$K17</f>
        <v>98</v>
      </c>
      <c r="E79" s="499">
        <f>D79-$K17</f>
        <v>96</v>
      </c>
      <c r="F79" s="499">
        <f>E79-$K17</f>
        <v>94</v>
      </c>
      <c r="G79" s="499">
        <f>F79-$K17</f>
        <v>92</v>
      </c>
      <c r="H79" s="499"/>
      <c r="I79" s="499"/>
      <c r="J79" s="499"/>
      <c r="K79" s="499"/>
      <c r="L79" s="499"/>
      <c r="M79" s="500"/>
      <c r="N79" s="2982"/>
      <c r="O79" s="2982"/>
      <c r="P79" s="2972"/>
      <c r="Q79" s="2967"/>
      <c r="R79" s="2953"/>
      <c r="S79" s="2953"/>
      <c r="T79" s="2953"/>
      <c r="U79" s="2953"/>
      <c r="V79" s="2953"/>
      <c r="W79" s="2953"/>
      <c r="X79" s="2953"/>
      <c r="Y79" s="2953"/>
      <c r="Z79" s="2953"/>
      <c r="AA79" s="2953"/>
      <c r="AB79" s="2953"/>
      <c r="AC79" s="2953"/>
    </row>
    <row r="80" spans="1:29" ht="15.75" thickTop="1">
      <c r="A80" s="489"/>
      <c r="B80" s="493" t="s">
        <v>2425</v>
      </c>
      <c r="C80" s="533" t="s">
        <v>2419</v>
      </c>
      <c r="D80" s="533" t="s">
        <v>2420</v>
      </c>
      <c r="E80" s="533" t="s">
        <v>2421</v>
      </c>
      <c r="F80" s="533" t="s">
        <v>2422</v>
      </c>
      <c r="G80" s="533" t="s">
        <v>2423</v>
      </c>
      <c r="H80" s="494"/>
      <c r="I80" s="494"/>
      <c r="J80" s="494"/>
      <c r="K80" s="495"/>
      <c r="L80" s="496"/>
      <c r="M80" s="497"/>
      <c r="N80" s="2981"/>
      <c r="O80" s="2981"/>
      <c r="P80" s="2972"/>
      <c r="Q80" s="2967"/>
      <c r="R80" s="2953"/>
      <c r="S80" s="2953"/>
      <c r="T80" s="2953"/>
      <c r="U80" s="2953"/>
      <c r="V80" s="2953"/>
      <c r="W80" s="2953"/>
      <c r="X80" s="2953"/>
      <c r="Y80" s="2953"/>
      <c r="Z80" s="2953"/>
      <c r="AA80" s="2953"/>
      <c r="AB80" s="2953"/>
      <c r="AC80" s="2953"/>
    </row>
    <row r="81" spans="1:29" ht="15.75" thickBot="1">
      <c r="A81" s="489"/>
      <c r="B81" s="498"/>
      <c r="C81" s="499">
        <v>100</v>
      </c>
      <c r="D81" s="499">
        <f>C81-$K19</f>
        <v>98</v>
      </c>
      <c r="E81" s="499">
        <f>D81-$K19</f>
        <v>96</v>
      </c>
      <c r="F81" s="499">
        <f>E81-$K19</f>
        <v>94</v>
      </c>
      <c r="G81" s="499">
        <f>F81-$K19</f>
        <v>92</v>
      </c>
      <c r="H81" s="499"/>
      <c r="I81" s="499"/>
      <c r="J81" s="499"/>
      <c r="K81" s="499"/>
      <c r="L81" s="499"/>
      <c r="M81" s="500"/>
      <c r="N81" s="2982"/>
      <c r="O81" s="2982"/>
      <c r="P81" s="2972"/>
      <c r="Q81" s="2967"/>
      <c r="R81" s="2953"/>
      <c r="S81" s="2953"/>
      <c r="T81" s="2953"/>
      <c r="U81" s="2953"/>
      <c r="V81" s="2953"/>
      <c r="W81" s="2953"/>
      <c r="X81" s="2953"/>
      <c r="Y81" s="2953"/>
      <c r="Z81" s="2953"/>
      <c r="AA81" s="2953"/>
      <c r="AB81" s="2953"/>
      <c r="AC81" s="2953"/>
    </row>
    <row r="82" spans="1:29" ht="15.75" thickTop="1">
      <c r="A82" s="489"/>
      <c r="B82" s="501" t="s">
        <v>2477</v>
      </c>
      <c r="C82" s="614" t="s">
        <v>2497</v>
      </c>
      <c r="D82" s="614" t="s">
        <v>2498</v>
      </c>
      <c r="E82" s="614" t="s">
        <v>2499</v>
      </c>
      <c r="F82" s="614" t="s">
        <v>2500</v>
      </c>
      <c r="G82" s="614" t="s">
        <v>2501</v>
      </c>
      <c r="H82" s="494"/>
      <c r="I82" s="494"/>
      <c r="J82" s="494"/>
      <c r="K82" s="494"/>
      <c r="L82" s="494"/>
      <c r="M82" s="1288"/>
      <c r="N82" s="2982"/>
      <c r="O82" s="2982"/>
      <c r="P82" s="2972"/>
      <c r="Q82" s="2967"/>
      <c r="R82" s="2953"/>
      <c r="S82" s="2953"/>
      <c r="T82" s="2953"/>
      <c r="U82" s="2953"/>
      <c r="V82" s="2953"/>
      <c r="W82" s="2953"/>
      <c r="X82" s="2953"/>
      <c r="Y82" s="2953"/>
      <c r="Z82" s="2953"/>
      <c r="AA82" s="2953"/>
      <c r="AB82" s="2953"/>
      <c r="AC82" s="2953"/>
    </row>
    <row r="83" spans="1:29" ht="15.75" thickBot="1">
      <c r="A83" s="489"/>
      <c r="B83" s="501"/>
      <c r="C83" s="499">
        <v>100</v>
      </c>
      <c r="D83" s="499">
        <f>C83-$K21</f>
        <v>99</v>
      </c>
      <c r="E83" s="499">
        <f t="shared" ref="E83:G83" si="20">D83-$K21</f>
        <v>98</v>
      </c>
      <c r="F83" s="499">
        <f t="shared" si="20"/>
        <v>97</v>
      </c>
      <c r="G83" s="499">
        <f t="shared" si="20"/>
        <v>96</v>
      </c>
      <c r="H83" s="614"/>
      <c r="I83" s="614"/>
      <c r="J83" s="614"/>
      <c r="K83" s="614"/>
      <c r="L83" s="614"/>
      <c r="M83" s="407"/>
      <c r="N83" s="2982"/>
      <c r="O83" s="2982"/>
      <c r="P83" s="2972"/>
      <c r="Q83" s="2967"/>
      <c r="R83" s="2953"/>
      <c r="S83" s="2953"/>
      <c r="T83" s="2953"/>
      <c r="U83" s="2953"/>
      <c r="V83" s="2953"/>
      <c r="W83" s="2953"/>
      <c r="X83" s="2953"/>
      <c r="Y83" s="2953"/>
      <c r="Z83" s="2953"/>
      <c r="AA83" s="2953"/>
      <c r="AB83" s="2953"/>
      <c r="AC83" s="2953"/>
    </row>
    <row r="84" spans="1:29" ht="15.75" thickTop="1">
      <c r="A84" s="489"/>
      <c r="B84" s="493" t="s">
        <v>2431</v>
      </c>
      <c r="C84" s="533" t="s">
        <v>2419</v>
      </c>
      <c r="D84" s="533" t="s">
        <v>2420</v>
      </c>
      <c r="E84" s="533" t="s">
        <v>2421</v>
      </c>
      <c r="F84" s="533" t="s">
        <v>2422</v>
      </c>
      <c r="G84" s="533" t="s">
        <v>2423</v>
      </c>
      <c r="H84" s="494"/>
      <c r="I84" s="494"/>
      <c r="J84" s="494"/>
      <c r="K84" s="495"/>
      <c r="L84" s="496"/>
      <c r="M84" s="497"/>
      <c r="N84" s="2981"/>
      <c r="O84" s="2981"/>
      <c r="P84" s="2972"/>
      <c r="Q84" s="2967"/>
      <c r="R84" s="2953"/>
      <c r="S84" s="2953"/>
      <c r="T84" s="2953"/>
      <c r="U84" s="2953"/>
      <c r="V84" s="2953"/>
      <c r="W84" s="2953"/>
      <c r="X84" s="2953"/>
      <c r="Y84" s="2953"/>
      <c r="Z84" s="2953"/>
      <c r="AA84" s="2953"/>
      <c r="AB84" s="2953"/>
      <c r="AC84" s="2953"/>
    </row>
    <row r="85" spans="1:29" ht="15.75" thickBot="1">
      <c r="A85" s="489"/>
      <c r="B85" s="498"/>
      <c r="C85" s="499">
        <v>100</v>
      </c>
      <c r="D85" s="499">
        <f>C85-$K23</f>
        <v>98</v>
      </c>
      <c r="E85" s="499">
        <f>D85-$K23</f>
        <v>96</v>
      </c>
      <c r="F85" s="499">
        <f>E85-$K23</f>
        <v>94</v>
      </c>
      <c r="G85" s="499">
        <f>F85-$K23</f>
        <v>92</v>
      </c>
      <c r="H85" s="499"/>
      <c r="I85" s="499"/>
      <c r="J85" s="499"/>
      <c r="K85" s="499"/>
      <c r="L85" s="499"/>
      <c r="M85" s="500"/>
      <c r="N85" s="2982"/>
      <c r="O85" s="2982"/>
      <c r="P85" s="2972"/>
      <c r="Q85" s="2967"/>
      <c r="R85" s="2953"/>
      <c r="S85" s="2953"/>
      <c r="T85" s="2953"/>
      <c r="U85" s="2953"/>
      <c r="V85" s="2953"/>
      <c r="W85" s="2953"/>
      <c r="X85" s="2953"/>
      <c r="Y85" s="2953"/>
      <c r="Z85" s="2953"/>
      <c r="AA85" s="2953"/>
      <c r="AB85" s="2953"/>
      <c r="AC85" s="2953"/>
    </row>
    <row r="86" spans="1:29" s="113" customFormat="1" ht="15.75" thickTop="1">
      <c r="A86" s="534"/>
      <c r="B86" s="493" t="s">
        <v>2502</v>
      </c>
      <c r="C86" s="509"/>
      <c r="D86" s="509"/>
      <c r="E86" s="509"/>
      <c r="F86" s="509"/>
      <c r="G86" s="509"/>
      <c r="H86" s="509"/>
      <c r="I86" s="509"/>
      <c r="J86" s="509"/>
      <c r="K86" s="509"/>
      <c r="L86" s="535"/>
      <c r="M86" s="536"/>
      <c r="N86" s="2980"/>
      <c r="O86" s="2980"/>
      <c r="P86" s="2972"/>
      <c r="Q86" s="2967"/>
      <c r="R86" s="2887"/>
      <c r="S86" s="2887"/>
      <c r="T86" s="2887"/>
      <c r="U86" s="2887"/>
      <c r="V86" s="2887"/>
      <c r="W86" s="2887"/>
      <c r="X86" s="2887"/>
      <c r="Y86" s="2887"/>
      <c r="Z86" s="2887"/>
      <c r="AA86" s="2887"/>
      <c r="AB86" s="2887"/>
      <c r="AC86" s="2887"/>
    </row>
    <row r="87" spans="1:29" s="113" customFormat="1" ht="15.75" thickBot="1">
      <c r="A87" s="534"/>
      <c r="B87" s="498"/>
      <c r="C87" s="537">
        <v>100</v>
      </c>
      <c r="D87" s="499">
        <f t="shared" ref="D87:M87" si="21">C87-$K25</f>
        <v>100</v>
      </c>
      <c r="E87" s="499">
        <f t="shared" si="21"/>
        <v>100</v>
      </c>
      <c r="F87" s="499">
        <f t="shared" si="21"/>
        <v>100</v>
      </c>
      <c r="G87" s="499">
        <f t="shared" si="21"/>
        <v>100</v>
      </c>
      <c r="H87" s="499">
        <f t="shared" si="21"/>
        <v>100</v>
      </c>
      <c r="I87" s="499">
        <f t="shared" si="21"/>
        <v>100</v>
      </c>
      <c r="J87" s="499">
        <f t="shared" si="21"/>
        <v>100</v>
      </c>
      <c r="K87" s="499">
        <f t="shared" si="21"/>
        <v>100</v>
      </c>
      <c r="L87" s="499">
        <f t="shared" si="21"/>
        <v>100</v>
      </c>
      <c r="M87" s="499">
        <f t="shared" si="21"/>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4"/>
      <c r="B88" s="493" t="str">
        <f>B26</f>
        <v>平面位置/可视性</v>
      </c>
      <c r="C88" s="509"/>
      <c r="D88" s="509"/>
      <c r="E88" s="509"/>
      <c r="F88" s="2112"/>
      <c r="G88" s="509"/>
      <c r="H88" s="509"/>
      <c r="I88" s="509"/>
      <c r="J88" s="509"/>
      <c r="K88" s="509"/>
      <c r="L88" s="509"/>
      <c r="M88" s="536"/>
      <c r="N88" s="2980"/>
      <c r="O88" s="2980"/>
      <c r="P88" s="2972"/>
      <c r="Q88" s="2967"/>
      <c r="R88" s="2887"/>
      <c r="S88" s="2887"/>
      <c r="T88" s="2887"/>
      <c r="U88" s="2887"/>
      <c r="V88" s="2887"/>
      <c r="W88" s="2887"/>
      <c r="X88" s="2887"/>
      <c r="Y88" s="2887"/>
      <c r="Z88" s="2887"/>
      <c r="AA88" s="2887"/>
      <c r="AB88" s="2887"/>
      <c r="AC88" s="2887"/>
    </row>
    <row r="89" spans="1:29" s="113" customFormat="1" ht="15.75" thickBot="1">
      <c r="A89" s="534"/>
      <c r="B89" s="498"/>
      <c r="C89" s="515"/>
      <c r="D89" s="491"/>
      <c r="E89" s="491"/>
      <c r="F89" s="491"/>
      <c r="G89" s="491"/>
      <c r="H89" s="491"/>
      <c r="I89" s="491"/>
      <c r="J89" s="491"/>
      <c r="K89" s="491"/>
      <c r="L89" s="491"/>
      <c r="M89" s="491"/>
      <c r="N89" s="2982"/>
      <c r="O89" s="2982"/>
      <c r="P89" s="2972"/>
      <c r="Q89" s="2967"/>
      <c r="R89" s="2887"/>
      <c r="S89" s="2887"/>
      <c r="T89" s="2887"/>
      <c r="U89" s="2887"/>
      <c r="V89" s="2887"/>
      <c r="W89" s="2887"/>
      <c r="X89" s="2887"/>
      <c r="Y89" s="2887"/>
      <c r="Z89" s="2887"/>
      <c r="AA89" s="2887"/>
      <c r="AB89" s="2887"/>
      <c r="AC89" s="2887"/>
    </row>
    <row r="90" spans="1:29" s="428" customFormat="1" ht="15.75" thickTop="1">
      <c r="A90" s="508"/>
      <c r="B90" s="493" t="str">
        <f>B27</f>
        <v>人流量</v>
      </c>
      <c r="C90" s="3069" t="s">
        <v>3198</v>
      </c>
      <c r="D90" s="3069" t="s">
        <v>3200</v>
      </c>
      <c r="E90" s="3069" t="s">
        <v>3201</v>
      </c>
      <c r="F90" s="3069" t="s">
        <v>3202</v>
      </c>
      <c r="G90" s="3069" t="s">
        <v>3203</v>
      </c>
      <c r="H90" s="510"/>
      <c r="I90" s="510"/>
      <c r="J90" s="510"/>
      <c r="K90" s="510"/>
      <c r="L90" s="511"/>
      <c r="M90" s="512"/>
      <c r="N90" s="2983"/>
      <c r="O90" s="2983"/>
      <c r="P90" s="2973"/>
      <c r="Q90" s="2974"/>
      <c r="R90" s="2975"/>
      <c r="S90" s="2975"/>
      <c r="T90" s="2975"/>
      <c r="U90" s="2975"/>
      <c r="V90" s="2975"/>
      <c r="W90" s="2975"/>
      <c r="X90" s="2975"/>
      <c r="Y90" s="2975"/>
      <c r="Z90" s="2975"/>
      <c r="AA90" s="2975"/>
      <c r="AB90" s="2975"/>
      <c r="AC90" s="2975"/>
    </row>
    <row r="91" spans="1:29" s="428" customFormat="1" ht="15.75" thickBot="1">
      <c r="A91" s="508"/>
      <c r="B91" s="498"/>
      <c r="C91" s="537">
        <v>100</v>
      </c>
      <c r="D91" s="499">
        <f>C91-$K27</f>
        <v>98</v>
      </c>
      <c r="E91" s="499">
        <f t="shared" ref="E91:M91" si="22">D91-$K27</f>
        <v>96</v>
      </c>
      <c r="F91" s="499">
        <f t="shared" si="22"/>
        <v>94</v>
      </c>
      <c r="G91" s="499">
        <f t="shared" si="22"/>
        <v>92</v>
      </c>
      <c r="H91" s="499">
        <f t="shared" si="22"/>
        <v>90</v>
      </c>
      <c r="I91" s="499">
        <f t="shared" si="22"/>
        <v>88</v>
      </c>
      <c r="J91" s="499">
        <f t="shared" si="22"/>
        <v>86</v>
      </c>
      <c r="K91" s="499">
        <f t="shared" si="22"/>
        <v>84</v>
      </c>
      <c r="L91" s="499">
        <f t="shared" si="22"/>
        <v>82</v>
      </c>
      <c r="M91" s="499">
        <f t="shared" si="22"/>
        <v>80</v>
      </c>
      <c r="N91" s="2983"/>
      <c r="O91" s="2983"/>
      <c r="P91" s="2973"/>
      <c r="Q91" s="2974"/>
      <c r="R91" s="2975"/>
      <c r="S91" s="2975"/>
      <c r="T91" s="2975"/>
      <c r="U91" s="2975"/>
      <c r="V91" s="2975"/>
      <c r="W91" s="2975"/>
      <c r="X91" s="2975"/>
      <c r="Y91" s="2975"/>
      <c r="Z91" s="2975"/>
      <c r="AA91" s="2975"/>
      <c r="AB91" s="2975"/>
      <c r="AC91" s="2975"/>
    </row>
    <row r="92" spans="1:29" ht="15.75" thickTop="1">
      <c r="A92" s="489"/>
      <c r="B92" s="493" t="str">
        <f>B28</f>
        <v>楼层</v>
      </c>
      <c r="C92" s="509" t="s">
        <v>3204</v>
      </c>
      <c r="D92" s="509"/>
      <c r="E92" s="509"/>
      <c r="F92" s="509"/>
      <c r="G92" s="509"/>
      <c r="H92" s="509"/>
      <c r="I92" s="509"/>
      <c r="J92" s="509"/>
      <c r="K92" s="509"/>
      <c r="L92" s="535"/>
      <c r="M92" s="536"/>
      <c r="N92" s="2981"/>
      <c r="O92" s="2981"/>
      <c r="P92" s="2972"/>
      <c r="Q92" s="2967"/>
      <c r="R92" s="2953"/>
      <c r="S92" s="2953"/>
      <c r="T92" s="2953"/>
      <c r="U92" s="2953"/>
      <c r="V92" s="2953"/>
      <c r="W92" s="2953"/>
      <c r="X92" s="2953"/>
      <c r="Y92" s="2953"/>
      <c r="Z92" s="2953"/>
      <c r="AA92" s="2953"/>
      <c r="AB92" s="2953"/>
      <c r="AC92" s="2953"/>
    </row>
    <row r="93" spans="1:29" ht="15.75" thickBot="1">
      <c r="A93" s="489"/>
      <c r="B93" s="498"/>
      <c r="C93" s="491">
        <v>100</v>
      </c>
      <c r="D93" s="491"/>
      <c r="E93" s="491"/>
      <c r="F93" s="491"/>
      <c r="G93" s="491"/>
      <c r="H93" s="491"/>
      <c r="I93" s="491"/>
      <c r="J93" s="491"/>
      <c r="K93" s="491"/>
      <c r="L93" s="491"/>
      <c r="M93" s="492"/>
      <c r="N93" s="2982"/>
      <c r="O93" s="2982"/>
      <c r="P93" s="2972"/>
      <c r="Q93" s="2967"/>
      <c r="R93" s="2953"/>
      <c r="S93" s="2953"/>
      <c r="T93" s="2953"/>
      <c r="U93" s="2953"/>
      <c r="V93" s="2953"/>
      <c r="W93" s="2953"/>
      <c r="X93" s="2953"/>
      <c r="Y93" s="2953"/>
      <c r="Z93" s="2953"/>
      <c r="AA93" s="2953"/>
      <c r="AB93" s="2953"/>
      <c r="AC93" s="2953"/>
    </row>
    <row r="94" spans="1:29" ht="15.75" thickTop="1">
      <c r="A94" s="489"/>
      <c r="B94" s="493">
        <f>B29</f>
        <v>111</v>
      </c>
      <c r="C94" s="509"/>
      <c r="D94" s="509"/>
      <c r="E94" s="509"/>
      <c r="F94" s="509"/>
      <c r="G94" s="538"/>
      <c r="H94" s="538"/>
      <c r="I94" s="538"/>
      <c r="J94" s="538"/>
      <c r="K94" s="539"/>
      <c r="L94" s="540"/>
      <c r="M94" s="541"/>
      <c r="N94" s="2981"/>
      <c r="O94" s="2981"/>
      <c r="P94" s="2972"/>
      <c r="Q94" s="2967"/>
      <c r="R94" s="2953"/>
      <c r="S94" s="2953"/>
      <c r="T94" s="2953"/>
      <c r="U94" s="2953"/>
      <c r="V94" s="2953"/>
      <c r="W94" s="2953"/>
      <c r="X94" s="2953"/>
      <c r="Y94" s="2953"/>
      <c r="Z94" s="2953"/>
      <c r="AA94" s="2953"/>
      <c r="AB94" s="2953"/>
      <c r="AC94" s="2953"/>
    </row>
    <row r="95" spans="1:29" ht="15.75" thickBot="1">
      <c r="A95" s="489"/>
      <c r="B95" s="498"/>
      <c r="C95" s="515"/>
      <c r="D95" s="491"/>
      <c r="E95" s="491"/>
      <c r="F95" s="491"/>
      <c r="G95" s="491"/>
      <c r="H95" s="491"/>
      <c r="I95" s="491"/>
      <c r="J95" s="491"/>
      <c r="K95" s="491"/>
      <c r="L95" s="491"/>
      <c r="M95" s="492"/>
      <c r="N95" s="2982"/>
      <c r="O95" s="2982"/>
      <c r="P95" s="2972"/>
      <c r="Q95" s="2967"/>
      <c r="R95" s="2953"/>
      <c r="S95" s="2953"/>
      <c r="T95" s="2953"/>
      <c r="U95" s="2953"/>
      <c r="V95" s="2953"/>
      <c r="W95" s="2953"/>
      <c r="X95" s="2953"/>
      <c r="Y95" s="2953"/>
      <c r="Z95" s="2953"/>
      <c r="AA95" s="2953"/>
      <c r="AB95" s="2953"/>
      <c r="AC95" s="2953"/>
    </row>
    <row r="96" spans="1:29" ht="15.75" thickTop="1">
      <c r="A96" s="489"/>
      <c r="B96" s="493">
        <f>B30</f>
        <v>111</v>
      </c>
      <c r="C96" s="509"/>
      <c r="D96" s="509"/>
      <c r="E96" s="509"/>
      <c r="F96" s="509"/>
      <c r="G96" s="538"/>
      <c r="H96" s="538"/>
      <c r="I96" s="538"/>
      <c r="J96" s="538"/>
      <c r="K96" s="539"/>
      <c r="L96" s="540"/>
      <c r="M96" s="541"/>
      <c r="N96" s="2981"/>
      <c r="O96" s="2981"/>
      <c r="P96" s="2972"/>
      <c r="Q96" s="2967"/>
      <c r="R96" s="2953"/>
      <c r="S96" s="2953"/>
      <c r="T96" s="2953"/>
      <c r="U96" s="2953"/>
      <c r="V96" s="2953"/>
      <c r="W96" s="2953"/>
      <c r="X96" s="2953"/>
      <c r="Y96" s="2953"/>
      <c r="Z96" s="2953"/>
      <c r="AA96" s="2953"/>
      <c r="AB96" s="2953"/>
      <c r="AC96" s="2953"/>
    </row>
    <row r="97" spans="1:29" ht="15.75" thickBot="1">
      <c r="A97" s="489"/>
      <c r="B97" s="498"/>
      <c r="C97" s="515"/>
      <c r="D97" s="491"/>
      <c r="E97" s="491"/>
      <c r="F97" s="491"/>
      <c r="G97" s="491"/>
      <c r="H97" s="491"/>
      <c r="I97" s="491"/>
      <c r="J97" s="491"/>
      <c r="K97" s="491"/>
      <c r="L97" s="491"/>
      <c r="M97" s="492"/>
      <c r="N97" s="2982"/>
      <c r="O97" s="2982"/>
      <c r="P97" s="2972"/>
      <c r="Q97" s="2967"/>
      <c r="R97" s="2953"/>
      <c r="S97" s="2953"/>
      <c r="T97" s="2953"/>
      <c r="U97" s="2953"/>
      <c r="V97" s="2953"/>
      <c r="W97" s="2953"/>
      <c r="X97" s="2953"/>
      <c r="Y97" s="2953"/>
      <c r="Z97" s="2953"/>
      <c r="AA97" s="2953"/>
      <c r="AB97" s="2953"/>
      <c r="AC97" s="2953"/>
    </row>
    <row r="98" spans="1:29" ht="15.75" thickTop="1">
      <c r="A98" s="489"/>
      <c r="B98" s="501">
        <f>B31</f>
        <v>111</v>
      </c>
      <c r="C98" s="509"/>
      <c r="D98" s="509"/>
      <c r="E98" s="509"/>
      <c r="F98" s="509"/>
      <c r="G98" s="542"/>
      <c r="H98" s="542"/>
      <c r="I98" s="542"/>
      <c r="J98" s="542"/>
      <c r="K98" s="543"/>
      <c r="L98" s="544"/>
      <c r="M98" s="545"/>
      <c r="N98" s="2981"/>
      <c r="O98" s="2981"/>
      <c r="P98" s="2972"/>
      <c r="Q98" s="2967"/>
      <c r="R98" s="2953"/>
      <c r="S98" s="2953"/>
      <c r="T98" s="2953"/>
      <c r="U98" s="2953"/>
      <c r="V98" s="2953"/>
      <c r="W98" s="2953"/>
      <c r="X98" s="2953"/>
      <c r="Y98" s="2953"/>
      <c r="Z98" s="2953"/>
      <c r="AA98" s="2953"/>
      <c r="AB98" s="2953"/>
      <c r="AC98" s="2953"/>
    </row>
    <row r="99" spans="1:29" ht="15.75" thickBot="1">
      <c r="A99" s="2113"/>
      <c r="B99" s="524"/>
      <c r="C99" s="525"/>
      <c r="D99" s="525"/>
      <c r="E99" s="525"/>
      <c r="F99" s="525"/>
      <c r="G99" s="546"/>
      <c r="H99" s="546"/>
      <c r="I99" s="546"/>
      <c r="J99" s="546"/>
      <c r="K99" s="546"/>
      <c r="L99" s="546"/>
      <c r="M99" s="547"/>
      <c r="N99" s="2982"/>
      <c r="O99" s="2982"/>
      <c r="P99" s="2972"/>
      <c r="Q99" s="2967"/>
      <c r="R99" s="2953"/>
      <c r="S99" s="2953"/>
      <c r="T99" s="2953"/>
      <c r="U99" s="2953"/>
      <c r="V99" s="2953"/>
      <c r="W99" s="2953"/>
      <c r="X99" s="2953"/>
      <c r="Y99" s="2953"/>
      <c r="Z99" s="2953"/>
      <c r="AA99" s="2953"/>
      <c r="AB99" s="2953"/>
      <c r="AC99" s="2953"/>
    </row>
    <row r="100" spans="1:29">
      <c r="A100" s="482" t="s">
        <v>2385</v>
      </c>
      <c r="B100" s="483" t="s">
        <v>2503</v>
      </c>
      <c r="C100" s="3070" t="s">
        <v>3206</v>
      </c>
      <c r="D100" s="3070" t="s">
        <v>3207</v>
      </c>
      <c r="E100" s="3070" t="s">
        <v>3209</v>
      </c>
      <c r="F100" s="3070" t="s">
        <v>3211</v>
      </c>
      <c r="G100" s="485"/>
      <c r="H100" s="485"/>
      <c r="I100" s="485"/>
      <c r="J100" s="485"/>
      <c r="K100" s="486"/>
      <c r="L100" s="487"/>
      <c r="M100" s="488"/>
      <c r="N100" s="2981"/>
      <c r="O100" s="2981"/>
      <c r="P100" s="2972"/>
      <c r="Q100" s="2967"/>
      <c r="R100" s="2953"/>
      <c r="S100" s="2953"/>
      <c r="T100" s="2953"/>
      <c r="U100" s="2953"/>
      <c r="V100" s="2953"/>
      <c r="W100" s="2953"/>
      <c r="X100" s="2953"/>
      <c r="Y100" s="2953"/>
      <c r="Z100" s="2953"/>
      <c r="AA100" s="2953"/>
      <c r="AB100" s="2953"/>
      <c r="AC100" s="2953"/>
    </row>
    <row r="101" spans="1:29" ht="15.75" thickBot="1">
      <c r="A101" s="489"/>
      <c r="B101" s="498"/>
      <c r="C101" s="499">
        <v>100</v>
      </c>
      <c r="D101" s="499">
        <f t="shared" ref="D101:M101" si="23">C101-$K32</f>
        <v>98</v>
      </c>
      <c r="E101" s="499">
        <f t="shared" si="23"/>
        <v>96</v>
      </c>
      <c r="F101" s="499">
        <f t="shared" si="23"/>
        <v>94</v>
      </c>
      <c r="G101" s="499">
        <f t="shared" si="23"/>
        <v>92</v>
      </c>
      <c r="H101" s="499">
        <f t="shared" si="23"/>
        <v>90</v>
      </c>
      <c r="I101" s="499">
        <f t="shared" si="23"/>
        <v>88</v>
      </c>
      <c r="J101" s="499">
        <f t="shared" si="23"/>
        <v>86</v>
      </c>
      <c r="K101" s="499">
        <f t="shared" si="23"/>
        <v>84</v>
      </c>
      <c r="L101" s="499">
        <f t="shared" si="23"/>
        <v>82</v>
      </c>
      <c r="M101" s="500">
        <f t="shared" si="23"/>
        <v>80</v>
      </c>
      <c r="N101" s="2982"/>
      <c r="O101" s="2982"/>
      <c r="P101" s="2972"/>
      <c r="Q101" s="2967"/>
      <c r="R101" s="2953"/>
      <c r="S101" s="2953"/>
      <c r="T101" s="2953"/>
      <c r="U101" s="2953"/>
      <c r="V101" s="2953"/>
      <c r="W101" s="2953"/>
      <c r="X101" s="2953"/>
      <c r="Y101" s="2953"/>
      <c r="Z101" s="2953"/>
      <c r="AA101" s="2953"/>
      <c r="AB101" s="2953"/>
      <c r="AC101" s="2953"/>
    </row>
    <row r="102" spans="1:29" ht="29.25" thickTop="1">
      <c r="A102" s="489"/>
      <c r="B102" s="493" t="s">
        <v>2435</v>
      </c>
      <c r="C102" s="533" t="str">
        <f>C103&amp;"(含)"&amp;"-"&amp;D103</f>
        <v>0(含)-200</v>
      </c>
      <c r="D102" s="533" t="str">
        <f t="shared" ref="D102:L102" si="24">D103&amp;"(含)"&amp;"-"&amp;E103</f>
        <v>200(含)-500</v>
      </c>
      <c r="E102" s="533" t="str">
        <f t="shared" si="24"/>
        <v>500(含)-1000</v>
      </c>
      <c r="F102" s="533" t="str">
        <f t="shared" si="24"/>
        <v>1000(含)-3000</v>
      </c>
      <c r="G102" s="533" t="str">
        <f t="shared" si="24"/>
        <v>3000(含)-5000</v>
      </c>
      <c r="H102" s="533" t="str">
        <f t="shared" si="24"/>
        <v>5000(含)-7000</v>
      </c>
      <c r="I102" s="533" t="str">
        <f t="shared" si="24"/>
        <v>7000(含)-</v>
      </c>
      <c r="J102" s="533" t="str">
        <f t="shared" si="24"/>
        <v>(含)-</v>
      </c>
      <c r="K102" s="533" t="str">
        <f t="shared" si="24"/>
        <v>(含)-</v>
      </c>
      <c r="L102" s="533" t="str">
        <f t="shared" si="24"/>
        <v>(含)-</v>
      </c>
      <c r="M102" s="576"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8" customFormat="1">
      <c r="A103" s="548"/>
      <c r="B103" s="549"/>
      <c r="C103" s="550">
        <v>0</v>
      </c>
      <c r="D103" s="550">
        <v>200</v>
      </c>
      <c r="E103" s="550">
        <v>500</v>
      </c>
      <c r="F103" s="550">
        <v>1000</v>
      </c>
      <c r="G103" s="550">
        <v>3000</v>
      </c>
      <c r="H103" s="550">
        <v>5000</v>
      </c>
      <c r="I103" s="550">
        <v>7000</v>
      </c>
      <c r="J103" s="551"/>
      <c r="K103" s="551"/>
      <c r="L103" s="552"/>
      <c r="M103" s="553"/>
      <c r="N103" s="2983"/>
      <c r="O103" s="2983"/>
      <c r="P103" s="2973"/>
      <c r="Q103" s="2974"/>
      <c r="R103" s="2975"/>
      <c r="S103" s="2975"/>
      <c r="T103" s="2975"/>
      <c r="U103" s="2975"/>
      <c r="V103" s="2975"/>
      <c r="W103" s="2975"/>
      <c r="X103" s="2975"/>
      <c r="Y103" s="2975"/>
      <c r="Z103" s="2975"/>
      <c r="AA103" s="2975"/>
      <c r="AB103" s="2975"/>
      <c r="AC103" s="2975"/>
    </row>
    <row r="104" spans="1:29" s="428" customFormat="1" ht="15.75" thickBot="1">
      <c r="A104" s="508"/>
      <c r="B104" s="498"/>
      <c r="C104" s="515">
        <v>100</v>
      </c>
      <c r="D104" s="491">
        <v>100.5</v>
      </c>
      <c r="E104" s="491">
        <v>101</v>
      </c>
      <c r="F104" s="491">
        <v>101.5</v>
      </c>
      <c r="G104" s="491">
        <v>102</v>
      </c>
      <c r="H104" s="491">
        <v>102.5</v>
      </c>
      <c r="I104" s="491">
        <v>103</v>
      </c>
      <c r="J104" s="491"/>
      <c r="K104" s="491"/>
      <c r="L104" s="491"/>
      <c r="M104" s="492"/>
      <c r="N104" s="2982"/>
      <c r="O104" s="2982"/>
      <c r="P104" s="2973"/>
      <c r="Q104" s="2974"/>
      <c r="R104" s="2975"/>
      <c r="S104" s="2975"/>
      <c r="T104" s="2975"/>
      <c r="U104" s="2975"/>
      <c r="V104" s="2975"/>
      <c r="W104" s="2975"/>
      <c r="X104" s="2975"/>
      <c r="Y104" s="2975"/>
      <c r="Z104" s="2975"/>
      <c r="AA104" s="2975"/>
      <c r="AB104" s="2975"/>
      <c r="AC104" s="2975"/>
    </row>
    <row r="105" spans="1:29" ht="15" thickTop="1">
      <c r="A105" s="554"/>
      <c r="B105" s="493" t="s">
        <v>2436</v>
      </c>
      <c r="C105" s="3069" t="s">
        <v>3212</v>
      </c>
      <c r="D105" s="509"/>
      <c r="E105" s="538"/>
      <c r="F105" s="538"/>
      <c r="G105" s="538"/>
      <c r="H105" s="538"/>
      <c r="I105" s="538"/>
      <c r="J105" s="538"/>
      <c r="K105" s="539"/>
      <c r="L105" s="540"/>
      <c r="M105" s="541"/>
      <c r="N105" s="2981"/>
      <c r="O105" s="2981"/>
      <c r="P105" s="2972"/>
      <c r="Q105" s="2967"/>
      <c r="R105" s="2953"/>
      <c r="S105" s="2953"/>
      <c r="T105" s="2953"/>
      <c r="U105" s="2953"/>
      <c r="V105" s="2953"/>
      <c r="W105" s="2953"/>
      <c r="X105" s="2953"/>
      <c r="Y105" s="2953"/>
      <c r="Z105" s="2953"/>
      <c r="AA105" s="2953"/>
      <c r="AB105" s="2953"/>
      <c r="AC105" s="2953"/>
    </row>
    <row r="106" spans="1:29" ht="15.75" thickBot="1">
      <c r="A106" s="489"/>
      <c r="B106" s="498"/>
      <c r="C106" s="499">
        <v>100</v>
      </c>
      <c r="D106" s="499">
        <f t="shared" ref="D106:M106" si="25">C106-$K34</f>
        <v>98</v>
      </c>
      <c r="E106" s="499">
        <f t="shared" si="25"/>
        <v>96</v>
      </c>
      <c r="F106" s="499">
        <f t="shared" si="25"/>
        <v>94</v>
      </c>
      <c r="G106" s="499">
        <f t="shared" si="25"/>
        <v>92</v>
      </c>
      <c r="H106" s="499">
        <f t="shared" si="25"/>
        <v>90</v>
      </c>
      <c r="I106" s="499">
        <f t="shared" si="25"/>
        <v>88</v>
      </c>
      <c r="J106" s="499">
        <f t="shared" si="25"/>
        <v>86</v>
      </c>
      <c r="K106" s="499">
        <f t="shared" si="25"/>
        <v>84</v>
      </c>
      <c r="L106" s="499">
        <f t="shared" si="25"/>
        <v>82</v>
      </c>
      <c r="M106" s="500">
        <f t="shared" si="25"/>
        <v>80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4"/>
      <c r="B107" s="493" t="s">
        <v>2438</v>
      </c>
      <c r="C107" s="509"/>
      <c r="D107" s="509"/>
      <c r="E107" s="509"/>
      <c r="F107" s="538"/>
      <c r="G107" s="538"/>
      <c r="H107" s="538"/>
      <c r="I107" s="538"/>
      <c r="J107" s="538"/>
      <c r="K107" s="539"/>
      <c r="L107" s="540"/>
      <c r="M107" s="541"/>
      <c r="N107" s="2981"/>
      <c r="O107" s="2981"/>
      <c r="P107" s="2972"/>
      <c r="Q107" s="2967"/>
      <c r="R107" s="2953"/>
      <c r="S107" s="2953"/>
      <c r="T107" s="2953"/>
      <c r="U107" s="2953"/>
      <c r="V107" s="2953"/>
      <c r="W107" s="2953"/>
      <c r="X107" s="2953"/>
      <c r="Y107" s="2953"/>
      <c r="Z107" s="2953"/>
      <c r="AA107" s="2953"/>
      <c r="AB107" s="2953"/>
      <c r="AC107" s="2953"/>
    </row>
    <row r="108" spans="1:29" ht="15.75" thickBot="1">
      <c r="A108" s="489"/>
      <c r="B108" s="498"/>
      <c r="C108" s="499">
        <v>100</v>
      </c>
      <c r="D108" s="499">
        <f t="shared" ref="D108:M108" si="26">C108-$K35</f>
        <v>100</v>
      </c>
      <c r="E108" s="499">
        <f t="shared" si="26"/>
        <v>100</v>
      </c>
      <c r="F108" s="499">
        <f t="shared" si="26"/>
        <v>100</v>
      </c>
      <c r="G108" s="499">
        <f t="shared" si="26"/>
        <v>100</v>
      </c>
      <c r="H108" s="499">
        <f t="shared" si="26"/>
        <v>100</v>
      </c>
      <c r="I108" s="499">
        <f t="shared" si="26"/>
        <v>100</v>
      </c>
      <c r="J108" s="499">
        <f t="shared" si="26"/>
        <v>100</v>
      </c>
      <c r="K108" s="499">
        <f t="shared" si="26"/>
        <v>100</v>
      </c>
      <c r="L108" s="499">
        <f t="shared" si="26"/>
        <v>100</v>
      </c>
      <c r="M108" s="500">
        <f t="shared" si="26"/>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1"/>
      <c r="O109" s="2981"/>
      <c r="P109" s="2972"/>
      <c r="Q109" s="2967"/>
      <c r="R109" s="2953"/>
      <c r="S109" s="2953"/>
      <c r="T109" s="2953"/>
      <c r="U109" s="2953"/>
      <c r="V109" s="2953"/>
      <c r="W109" s="2953"/>
      <c r="X109" s="2953"/>
      <c r="Y109" s="2953"/>
      <c r="Z109" s="2953"/>
      <c r="AA109" s="2953"/>
      <c r="AB109" s="2953"/>
      <c r="AC109" s="2953"/>
    </row>
    <row r="110" spans="1:29">
      <c r="A110" s="554"/>
      <c r="B110" s="501"/>
      <c r="C110" s="558">
        <v>0.5</v>
      </c>
      <c r="D110" s="558">
        <v>0.6</v>
      </c>
      <c r="E110" s="558">
        <v>0.7</v>
      </c>
      <c r="F110" s="558">
        <v>0.8</v>
      </c>
      <c r="G110" s="558">
        <v>0.9</v>
      </c>
      <c r="H110" s="558">
        <v>1.0001</v>
      </c>
      <c r="I110" s="577"/>
      <c r="J110" s="577"/>
      <c r="K110" s="578"/>
      <c r="L110" s="579"/>
      <c r="M110" s="580"/>
      <c r="N110" s="2981"/>
      <c r="O110" s="2981"/>
      <c r="P110" s="2972"/>
      <c r="Q110" s="2967"/>
      <c r="R110" s="2953"/>
      <c r="S110" s="2953"/>
      <c r="T110" s="2953"/>
      <c r="U110" s="2953"/>
      <c r="V110" s="2953"/>
      <c r="W110" s="2953"/>
      <c r="X110" s="2953"/>
      <c r="Y110" s="2953"/>
      <c r="Z110" s="2953"/>
      <c r="AA110" s="2953"/>
      <c r="AB110" s="2953"/>
      <c r="AC110" s="2953"/>
    </row>
    <row r="111" spans="1:29" ht="15.75" thickBot="1">
      <c r="A111" s="489"/>
      <c r="B111" s="498"/>
      <c r="C111" s="537">
        <v>100</v>
      </c>
      <c r="D111" s="499">
        <f>C111+$K36</f>
        <v>102</v>
      </c>
      <c r="E111" s="499">
        <f t="shared" ref="E111:M111" si="27">D111+$K36</f>
        <v>104</v>
      </c>
      <c r="F111" s="499">
        <f t="shared" si="27"/>
        <v>106</v>
      </c>
      <c r="G111" s="499">
        <f t="shared" si="27"/>
        <v>108</v>
      </c>
      <c r="H111" s="499">
        <f t="shared" si="27"/>
        <v>110</v>
      </c>
      <c r="I111" s="499">
        <f t="shared" si="27"/>
        <v>112</v>
      </c>
      <c r="J111" s="499">
        <f t="shared" si="27"/>
        <v>114</v>
      </c>
      <c r="K111" s="499">
        <f t="shared" si="27"/>
        <v>116</v>
      </c>
      <c r="L111" s="499">
        <f t="shared" si="27"/>
        <v>118</v>
      </c>
      <c r="M111" s="499">
        <f t="shared" si="27"/>
        <v>120</v>
      </c>
      <c r="N111" s="2982"/>
      <c r="O111" s="2982"/>
      <c r="P111" s="2972"/>
      <c r="Q111" s="2967"/>
      <c r="R111" s="2953"/>
      <c r="S111" s="2953"/>
      <c r="T111" s="2953"/>
      <c r="U111" s="2953"/>
      <c r="V111" s="2953"/>
      <c r="W111" s="2953"/>
      <c r="X111" s="2953"/>
      <c r="Y111" s="2953"/>
      <c r="Z111" s="2953"/>
      <c r="AA111" s="2953"/>
      <c r="AB111" s="2953"/>
      <c r="AC111" s="2953"/>
    </row>
    <row r="112" spans="1:29" s="428" customFormat="1" ht="15" thickTop="1">
      <c r="A112" s="548"/>
      <c r="B112" s="493" t="s">
        <v>2440</v>
      </c>
      <c r="C112" s="3069" t="s">
        <v>3213</v>
      </c>
      <c r="D112" s="3069" t="s">
        <v>3214</v>
      </c>
      <c r="E112" s="509"/>
      <c r="F112" s="509"/>
      <c r="G112" s="509"/>
      <c r="H112" s="538"/>
      <c r="I112" s="538"/>
      <c r="J112" s="538"/>
      <c r="K112" s="539"/>
      <c r="L112" s="540"/>
      <c r="M112" s="541"/>
      <c r="N112" s="2983"/>
      <c r="O112" s="2983"/>
      <c r="P112" s="2973"/>
      <c r="Q112" s="2974"/>
      <c r="R112" s="2975"/>
      <c r="S112" s="2975"/>
      <c r="T112" s="2975"/>
      <c r="U112" s="2975"/>
      <c r="V112" s="2975"/>
      <c r="W112" s="2975"/>
      <c r="X112" s="2975"/>
      <c r="Y112" s="2975"/>
      <c r="Z112" s="2975"/>
      <c r="AA112" s="2975"/>
      <c r="AB112" s="2975"/>
      <c r="AC112" s="2975"/>
    </row>
    <row r="113" spans="1:29" s="428" customFormat="1" ht="15.75" thickBot="1">
      <c r="A113" s="508"/>
      <c r="B113" s="498"/>
      <c r="C113" s="499">
        <v>100</v>
      </c>
      <c r="D113" s="499">
        <f>C113-$K37</f>
        <v>100</v>
      </c>
      <c r="E113" s="499">
        <f t="shared" ref="E113:M113" si="28">D113-$K37</f>
        <v>100</v>
      </c>
      <c r="F113" s="499">
        <f t="shared" si="28"/>
        <v>100</v>
      </c>
      <c r="G113" s="499">
        <f t="shared" si="28"/>
        <v>100</v>
      </c>
      <c r="H113" s="499">
        <f t="shared" si="28"/>
        <v>100</v>
      </c>
      <c r="I113" s="499">
        <f t="shared" si="28"/>
        <v>100</v>
      </c>
      <c r="J113" s="499">
        <f t="shared" si="28"/>
        <v>100</v>
      </c>
      <c r="K113" s="499">
        <f t="shared" si="28"/>
        <v>100</v>
      </c>
      <c r="L113" s="499">
        <f t="shared" si="28"/>
        <v>100</v>
      </c>
      <c r="M113" s="499">
        <f t="shared" si="28"/>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4"/>
      <c r="B114" s="493" t="s">
        <v>2504</v>
      </c>
      <c r="C114" s="3069" t="s">
        <v>3216</v>
      </c>
      <c r="D114" s="3069" t="s">
        <v>3217</v>
      </c>
      <c r="E114" s="538"/>
      <c r="F114" s="538"/>
      <c r="G114" s="538"/>
      <c r="H114" s="538"/>
      <c r="I114" s="538"/>
      <c r="J114" s="538"/>
      <c r="K114" s="539"/>
      <c r="L114" s="540"/>
      <c r="M114" s="541"/>
      <c r="N114" s="2981"/>
      <c r="O114" s="2981"/>
      <c r="P114" s="2972"/>
      <c r="Q114" s="2967"/>
      <c r="R114" s="2953"/>
      <c r="S114" s="2953"/>
      <c r="T114" s="2953"/>
      <c r="U114" s="2953"/>
      <c r="V114" s="2953"/>
      <c r="W114" s="2953"/>
      <c r="X114" s="2953"/>
      <c r="Y114" s="2953"/>
      <c r="Z114" s="2953"/>
      <c r="AA114" s="2953"/>
      <c r="AB114" s="2953"/>
      <c r="AC114" s="2953"/>
    </row>
    <row r="115" spans="1:29" ht="15.75" thickBot="1">
      <c r="A115" s="489"/>
      <c r="B115" s="498"/>
      <c r="C115" s="499">
        <v>100</v>
      </c>
      <c r="D115" s="499">
        <f t="shared" ref="D115:M115" si="29">C115-$K38</f>
        <v>95</v>
      </c>
      <c r="E115" s="499">
        <f t="shared" si="29"/>
        <v>90</v>
      </c>
      <c r="F115" s="499">
        <f t="shared" si="29"/>
        <v>85</v>
      </c>
      <c r="G115" s="499">
        <f t="shared" si="29"/>
        <v>80</v>
      </c>
      <c r="H115" s="499">
        <f t="shared" si="29"/>
        <v>75</v>
      </c>
      <c r="I115" s="499">
        <f t="shared" si="29"/>
        <v>70</v>
      </c>
      <c r="J115" s="499">
        <f t="shared" si="29"/>
        <v>65</v>
      </c>
      <c r="K115" s="499">
        <f t="shared" si="29"/>
        <v>60</v>
      </c>
      <c r="L115" s="499">
        <f t="shared" si="29"/>
        <v>55</v>
      </c>
      <c r="M115" s="500">
        <f t="shared" si="29"/>
        <v>50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4"/>
      <c r="B116" s="493" t="s">
        <v>2505</v>
      </c>
      <c r="C116" s="3069" t="s">
        <v>3226</v>
      </c>
      <c r="D116" s="3069" t="s">
        <v>3228</v>
      </c>
      <c r="E116" s="509"/>
      <c r="F116" s="509"/>
      <c r="G116" s="509"/>
      <c r="H116" s="538"/>
      <c r="I116" s="538"/>
      <c r="J116" s="538"/>
      <c r="K116" s="539"/>
      <c r="L116" s="540"/>
      <c r="M116" s="541"/>
      <c r="N116" s="2981"/>
      <c r="O116" s="2981"/>
      <c r="P116" s="2972"/>
      <c r="Q116" s="2967"/>
      <c r="R116" s="2953"/>
      <c r="S116" s="2953"/>
      <c r="T116" s="2953"/>
      <c r="U116" s="2953"/>
      <c r="V116" s="2953"/>
      <c r="W116" s="2953"/>
      <c r="X116" s="2953"/>
      <c r="Y116" s="2953"/>
      <c r="Z116" s="2953"/>
      <c r="AA116" s="2953"/>
      <c r="AB116" s="2953"/>
      <c r="AC116" s="2953"/>
    </row>
    <row r="117" spans="1:29" ht="15.75" thickBot="1">
      <c r="A117" s="489"/>
      <c r="B117" s="498"/>
      <c r="C117" s="499">
        <v>100</v>
      </c>
      <c r="D117" s="499">
        <f>C117-$K39</f>
        <v>95</v>
      </c>
      <c r="E117" s="499">
        <f>D117-$K39</f>
        <v>90</v>
      </c>
      <c r="F117" s="499">
        <f>E117-$K39</f>
        <v>85</v>
      </c>
      <c r="G117" s="499">
        <f>F117-$K39</f>
        <v>80</v>
      </c>
      <c r="H117" s="499"/>
      <c r="I117" s="499"/>
      <c r="J117" s="499"/>
      <c r="K117" s="499"/>
      <c r="L117" s="499"/>
      <c r="M117" s="500"/>
      <c r="N117" s="2982"/>
      <c r="O117" s="2982"/>
      <c r="P117" s="2972"/>
      <c r="Q117" s="2967"/>
      <c r="R117" s="2953"/>
      <c r="S117" s="2953"/>
      <c r="T117" s="2953"/>
      <c r="U117" s="2953"/>
      <c r="V117" s="2953"/>
      <c r="W117" s="2953"/>
      <c r="X117" s="2953"/>
      <c r="Y117" s="2953"/>
      <c r="Z117" s="2953"/>
      <c r="AA117" s="2953"/>
      <c r="AB117" s="2953"/>
      <c r="AC117" s="2953"/>
    </row>
    <row r="118" spans="1:29" ht="15" thickTop="1">
      <c r="A118" s="554"/>
      <c r="B118" s="493" t="s">
        <v>2506</v>
      </c>
      <c r="C118" s="581"/>
      <c r="D118" s="581"/>
      <c r="E118" s="581"/>
      <c r="F118" s="581"/>
      <c r="G118" s="581"/>
      <c r="H118" s="510"/>
      <c r="I118" s="510"/>
      <c r="J118" s="510"/>
      <c r="K118" s="510"/>
      <c r="L118" s="511"/>
      <c r="M118" s="512"/>
      <c r="N118" s="2981"/>
      <c r="O118" s="2981"/>
      <c r="P118" s="2972"/>
      <c r="Q118" s="2967"/>
      <c r="R118" s="2953"/>
      <c r="S118" s="2953"/>
      <c r="T118" s="2953"/>
      <c r="U118" s="2953"/>
      <c r="V118" s="2953"/>
      <c r="W118" s="2953"/>
      <c r="X118" s="2953"/>
      <c r="Y118" s="2953"/>
      <c r="Z118" s="2953"/>
      <c r="AA118" s="2953"/>
      <c r="AB118" s="2953"/>
      <c r="AC118" s="2953"/>
    </row>
    <row r="119" spans="1:29" ht="15.75" thickBot="1">
      <c r="A119" s="489"/>
      <c r="B119" s="498"/>
      <c r="C119" s="515"/>
      <c r="D119" s="491"/>
      <c r="E119" s="491"/>
      <c r="F119" s="491"/>
      <c r="G119" s="491"/>
      <c r="H119" s="491"/>
      <c r="I119" s="491"/>
      <c r="J119" s="491"/>
      <c r="K119" s="491"/>
      <c r="L119" s="491"/>
      <c r="M119" s="492"/>
      <c r="N119" s="2982"/>
      <c r="O119" s="2982"/>
      <c r="P119" s="2972"/>
      <c r="Q119" s="2967"/>
      <c r="R119" s="2953"/>
      <c r="S119" s="2953"/>
      <c r="T119" s="2953"/>
      <c r="U119" s="2953"/>
      <c r="V119" s="2953"/>
      <c r="W119" s="2953"/>
      <c r="X119" s="2953"/>
      <c r="Y119" s="2953"/>
      <c r="Z119" s="2953"/>
      <c r="AA119" s="2953"/>
      <c r="AB119" s="2953"/>
      <c r="AC119" s="2953"/>
    </row>
    <row r="120" spans="1:29" s="428" customFormat="1" ht="15" thickTop="1">
      <c r="A120" s="548"/>
      <c r="B120" s="493" t="s">
        <v>2507</v>
      </c>
      <c r="C120" s="538"/>
      <c r="D120" s="538"/>
      <c r="E120" s="538"/>
      <c r="F120" s="538"/>
      <c r="G120" s="510"/>
      <c r="H120" s="510"/>
      <c r="I120" s="510"/>
      <c r="J120" s="510"/>
      <c r="K120" s="510"/>
      <c r="L120" s="511"/>
      <c r="M120" s="512"/>
      <c r="N120" s="2983"/>
      <c r="O120" s="2983"/>
      <c r="P120" s="2973"/>
      <c r="Q120" s="2974"/>
      <c r="R120" s="2975"/>
      <c r="S120" s="2975"/>
      <c r="T120" s="2975"/>
      <c r="U120" s="2975"/>
      <c r="V120" s="2975"/>
      <c r="W120" s="2975"/>
      <c r="X120" s="2975"/>
      <c r="Y120" s="2975"/>
      <c r="Z120" s="2975"/>
      <c r="AA120" s="2975"/>
      <c r="AB120" s="2975"/>
      <c r="AC120" s="2975"/>
    </row>
    <row r="121" spans="1:29" s="428" customFormat="1" ht="15.75" thickBot="1">
      <c r="A121" s="508"/>
      <c r="B121" s="490"/>
      <c r="C121" s="537">
        <v>100</v>
      </c>
      <c r="D121" s="499">
        <f>C121-$K41</f>
        <v>100</v>
      </c>
      <c r="E121" s="499">
        <f t="shared" ref="E121:M121" si="30">D121-$K41</f>
        <v>100</v>
      </c>
      <c r="F121" s="499">
        <f t="shared" si="30"/>
        <v>100</v>
      </c>
      <c r="G121" s="499">
        <f t="shared" si="30"/>
        <v>100</v>
      </c>
      <c r="H121" s="499">
        <f t="shared" si="30"/>
        <v>100</v>
      </c>
      <c r="I121" s="499">
        <f t="shared" si="30"/>
        <v>100</v>
      </c>
      <c r="J121" s="499">
        <f t="shared" si="30"/>
        <v>100</v>
      </c>
      <c r="K121" s="499">
        <f t="shared" si="30"/>
        <v>100</v>
      </c>
      <c r="L121" s="499">
        <f t="shared" si="30"/>
        <v>100</v>
      </c>
      <c r="M121" s="500">
        <f t="shared" si="30"/>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4"/>
      <c r="B122" s="493" t="s">
        <v>2442</v>
      </c>
      <c r="C122" s="3069" t="s">
        <v>3223</v>
      </c>
      <c r="D122" s="3069" t="s">
        <v>3219</v>
      </c>
      <c r="E122" s="3069" t="s">
        <v>3224</v>
      </c>
      <c r="F122" s="3071" t="s">
        <v>3221</v>
      </c>
      <c r="G122" s="3071" t="s">
        <v>3222</v>
      </c>
      <c r="H122" s="538"/>
      <c r="I122" s="538"/>
      <c r="J122" s="538"/>
      <c r="K122" s="539"/>
      <c r="L122" s="540"/>
      <c r="M122" s="541"/>
      <c r="N122" s="2981"/>
      <c r="O122" s="2981"/>
      <c r="P122" s="2972"/>
      <c r="Q122" s="2967"/>
      <c r="R122" s="2953"/>
      <c r="S122" s="2953"/>
      <c r="T122" s="2953"/>
      <c r="U122" s="2953"/>
      <c r="V122" s="2953"/>
      <c r="W122" s="2953"/>
      <c r="X122" s="2953"/>
      <c r="Y122" s="2953"/>
      <c r="Z122" s="2953"/>
      <c r="AA122" s="2953"/>
      <c r="AB122" s="2953"/>
      <c r="AC122" s="2953"/>
    </row>
    <row r="123" spans="1:29" ht="15.75" thickBot="1">
      <c r="A123" s="489"/>
      <c r="B123" s="498"/>
      <c r="C123" s="499">
        <v>100</v>
      </c>
      <c r="D123" s="499">
        <f t="shared" ref="D123:M123" si="31">C123-$K42</f>
        <v>98</v>
      </c>
      <c r="E123" s="499">
        <f t="shared" si="31"/>
        <v>96</v>
      </c>
      <c r="F123" s="499">
        <f t="shared" si="31"/>
        <v>94</v>
      </c>
      <c r="G123" s="499">
        <f t="shared" si="31"/>
        <v>92</v>
      </c>
      <c r="H123" s="499">
        <f t="shared" si="31"/>
        <v>90</v>
      </c>
      <c r="I123" s="499">
        <f t="shared" si="31"/>
        <v>88</v>
      </c>
      <c r="J123" s="499">
        <f t="shared" si="31"/>
        <v>86</v>
      </c>
      <c r="K123" s="499">
        <f t="shared" si="31"/>
        <v>84</v>
      </c>
      <c r="L123" s="499">
        <f t="shared" si="31"/>
        <v>82</v>
      </c>
      <c r="M123" s="500">
        <f t="shared" si="31"/>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4"/>
      <c r="B124" s="493" t="s">
        <v>2443</v>
      </c>
      <c r="C124" s="533" t="s">
        <v>2419</v>
      </c>
      <c r="D124" s="533" t="s">
        <v>2420</v>
      </c>
      <c r="E124" s="533" t="s">
        <v>2421</v>
      </c>
      <c r="F124" s="533" t="s">
        <v>2422</v>
      </c>
      <c r="G124" s="533" t="s">
        <v>2423</v>
      </c>
      <c r="H124" s="494"/>
      <c r="I124" s="494"/>
      <c r="J124" s="494"/>
      <c r="K124" s="495"/>
      <c r="L124" s="496"/>
      <c r="M124" s="497"/>
      <c r="N124" s="2981"/>
      <c r="O124" s="2981"/>
      <c r="P124" s="2973"/>
      <c r="Q124" s="2967"/>
      <c r="R124" s="2953"/>
      <c r="S124" s="2953"/>
      <c r="T124" s="2953"/>
      <c r="U124" s="2953"/>
      <c r="V124" s="2953"/>
      <c r="W124" s="2953"/>
      <c r="X124" s="2953"/>
      <c r="Y124" s="2953"/>
      <c r="Z124" s="2953"/>
      <c r="AA124" s="2953"/>
      <c r="AB124" s="2953"/>
      <c r="AC124" s="2953"/>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2"/>
      <c r="O125" s="2982"/>
      <c r="P125" s="2972"/>
      <c r="Q125" s="2967"/>
      <c r="R125" s="2953"/>
      <c r="S125" s="2953"/>
      <c r="T125" s="2953"/>
      <c r="U125" s="2953"/>
      <c r="V125" s="2953"/>
      <c r="W125" s="2953"/>
      <c r="X125" s="2953"/>
      <c r="Y125" s="2953"/>
      <c r="Z125" s="2953"/>
      <c r="AA125" s="2953"/>
      <c r="AB125" s="2953"/>
      <c r="AC125" s="2953"/>
    </row>
    <row r="126" spans="1:29" s="428" customFormat="1" ht="15" thickTop="1">
      <c r="A126" s="548"/>
      <c r="B126" s="493">
        <f>B44</f>
        <v>111</v>
      </c>
      <c r="C126" s="509"/>
      <c r="D126" s="509"/>
      <c r="E126" s="509"/>
      <c r="F126" s="509"/>
      <c r="G126" s="509"/>
      <c r="H126" s="510"/>
      <c r="I126" s="510"/>
      <c r="J126" s="510"/>
      <c r="K126" s="510"/>
      <c r="L126" s="511"/>
      <c r="M126" s="512"/>
      <c r="N126" s="2983"/>
      <c r="O126" s="2983"/>
      <c r="P126" s="2973"/>
      <c r="Q126" s="2974"/>
      <c r="R126" s="2975"/>
      <c r="S126" s="2975"/>
      <c r="T126" s="2975"/>
      <c r="U126" s="2975"/>
      <c r="V126" s="2975"/>
      <c r="W126" s="2975"/>
      <c r="X126" s="2975"/>
      <c r="Y126" s="2975"/>
      <c r="Z126" s="2975"/>
      <c r="AA126" s="2975"/>
      <c r="AB126" s="2975"/>
      <c r="AC126" s="2975"/>
    </row>
    <row r="127" spans="1:29" s="428" customFormat="1" ht="15.75" thickBot="1">
      <c r="A127" s="508"/>
      <c r="B127" s="498"/>
      <c r="C127" s="515"/>
      <c r="D127" s="491"/>
      <c r="E127" s="491"/>
      <c r="F127" s="491"/>
      <c r="G127" s="515"/>
      <c r="H127" s="517"/>
      <c r="I127" s="517"/>
      <c r="J127" s="517"/>
      <c r="K127" s="517"/>
      <c r="L127" s="517"/>
      <c r="M127" s="518"/>
      <c r="N127" s="2983"/>
      <c r="O127" s="2983"/>
      <c r="P127" s="2973"/>
      <c r="Q127" s="2974"/>
      <c r="R127" s="2975"/>
      <c r="S127" s="2975"/>
      <c r="T127" s="2975"/>
      <c r="U127" s="2975"/>
      <c r="V127" s="2975"/>
      <c r="W127" s="2975"/>
      <c r="X127" s="2975"/>
      <c r="Y127" s="2975"/>
      <c r="Z127" s="2975"/>
      <c r="AA127" s="2975"/>
      <c r="AB127" s="2975"/>
      <c r="AC127" s="2975"/>
    </row>
    <row r="128" spans="1:29" ht="15" thickTop="1">
      <c r="A128" s="554"/>
      <c r="B128" s="493">
        <f>B45</f>
        <v>111</v>
      </c>
      <c r="C128" s="509"/>
      <c r="D128" s="509"/>
      <c r="E128" s="509"/>
      <c r="F128" s="509"/>
      <c r="G128" s="538"/>
      <c r="H128" s="538"/>
      <c r="I128" s="538"/>
      <c r="J128" s="538"/>
      <c r="K128" s="539"/>
      <c r="L128" s="540"/>
      <c r="M128" s="541"/>
      <c r="N128" s="2981"/>
      <c r="O128" s="2981"/>
      <c r="P128" s="2972"/>
      <c r="Q128" s="2967"/>
      <c r="R128" s="2953"/>
      <c r="S128" s="2953"/>
      <c r="T128" s="2953"/>
      <c r="U128" s="2953"/>
      <c r="V128" s="2953"/>
      <c r="W128" s="2953"/>
      <c r="X128" s="2953"/>
      <c r="Y128" s="2953"/>
      <c r="Z128" s="2953"/>
      <c r="AA128" s="2953"/>
      <c r="AB128" s="2953"/>
      <c r="AC128" s="2953"/>
    </row>
    <row r="129" spans="1:29" ht="15.75" thickBot="1">
      <c r="A129" s="489"/>
      <c r="B129" s="498"/>
      <c r="C129" s="515"/>
      <c r="D129" s="491"/>
      <c r="E129" s="491"/>
      <c r="F129" s="491"/>
      <c r="G129" s="491"/>
      <c r="H129" s="491"/>
      <c r="I129" s="491"/>
      <c r="J129" s="491"/>
      <c r="K129" s="491"/>
      <c r="L129" s="491"/>
      <c r="M129" s="492"/>
      <c r="N129" s="2982"/>
      <c r="O129" s="2982"/>
      <c r="P129" s="2972"/>
      <c r="Q129" s="2967"/>
      <c r="R129" s="2953"/>
      <c r="S129" s="2953"/>
      <c r="T129" s="2953"/>
      <c r="U129" s="2953"/>
      <c r="V129" s="2953"/>
      <c r="W129" s="2953"/>
      <c r="X129" s="2953"/>
      <c r="Y129" s="2953"/>
      <c r="Z129" s="2953"/>
      <c r="AA129" s="2953"/>
      <c r="AB129" s="2953"/>
      <c r="AC129" s="2953"/>
    </row>
    <row r="130" spans="1:29" ht="15" thickTop="1">
      <c r="A130" s="554"/>
      <c r="B130" s="501">
        <f>B46</f>
        <v>111</v>
      </c>
      <c r="C130" s="509"/>
      <c r="D130" s="509"/>
      <c r="E130" s="509"/>
      <c r="F130" s="509"/>
      <c r="G130" s="542"/>
      <c r="H130" s="542"/>
      <c r="I130" s="542"/>
      <c r="J130" s="542"/>
      <c r="K130" s="478"/>
      <c r="L130" s="479"/>
      <c r="M130" s="545"/>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4"/>
      <c r="C131" s="525"/>
      <c r="D131" s="525"/>
      <c r="E131" s="525"/>
      <c r="F131" s="525"/>
      <c r="G131" s="546"/>
      <c r="H131" s="546"/>
      <c r="I131" s="546"/>
      <c r="J131" s="546"/>
      <c r="K131" s="546"/>
      <c r="L131" s="546"/>
      <c r="M131" s="547"/>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C43 E43 G43 I43" xr:uid="{00000000-0002-0000-1300-000002000000}">
      <formula1>内部装修维护情况</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E18 G18 I18 C18" xr:uid="{00000000-0002-0000-1300-000004000000}">
      <formula1>交通便捷度</formula1>
    </dataValidation>
    <dataValidation type="list" allowBlank="1" showInputMessage="1" showErrorMessage="1" sqref="E24 G24 I24 C24" xr:uid="{00000000-0002-0000-1300-000005000000}">
      <formula1>环境</formula1>
    </dataValidation>
    <dataValidation type="list" allowBlank="1" showInputMessage="1" showErrorMessage="1" sqref="C25 E25 G25 I25" xr:uid="{00000000-0002-0000-1300-000006000000}">
      <formula1>商业临街状况</formula1>
    </dataValidation>
    <dataValidation type="list" allowBlank="1" showInputMessage="1" showErrorMessage="1" sqref="C27 E27 G27 I27" xr:uid="{00000000-0002-0000-1300-000007000000}">
      <formula1>商业人流量</formula1>
    </dataValidation>
    <dataValidation type="list" allowBlank="1" showInputMessage="1" showErrorMessage="1" sqref="C28 E28 G28 I28" xr:uid="{00000000-0002-0000-1300-000008000000}">
      <formula1>商业楼层</formula1>
    </dataValidation>
    <dataValidation type="list" allowBlank="1" showInputMessage="1" showErrorMessage="1" sqref="C32 E32 G32 I32" xr:uid="{00000000-0002-0000-1300-000009000000}">
      <formula1>商业类型</formula1>
    </dataValidation>
    <dataValidation type="list" allowBlank="1" showInputMessage="1" showErrorMessage="1" sqref="C34 E34 G34 I34" xr:uid="{00000000-0002-0000-1300-00000A000000}">
      <formula1>商业建筑结构</formula1>
    </dataValidation>
    <dataValidation type="list" allowBlank="1" showInputMessage="1" showErrorMessage="1" sqref="C35 E35 G35 I35" xr:uid="{00000000-0002-0000-1300-00000B000000}">
      <formula1>商业公共部分装修</formula1>
    </dataValidation>
    <dataValidation type="list" allowBlank="1" showInputMessage="1" showErrorMessage="1" sqref="C37 E37 G37 I37" xr:uid="{00000000-0002-0000-1300-00000C000000}">
      <formula1>商业基础设施水平</formula1>
    </dataValidation>
    <dataValidation type="list" allowBlank="1" showInputMessage="1" showErrorMessage="1" sqref="C41 E41 G41 I41" xr:uid="{00000000-0002-0000-1300-00000D000000}">
      <formula1>商业进深比</formula1>
    </dataValidation>
    <dataValidation type="list" allowBlank="1" showInputMessage="1" showErrorMessage="1" sqref="C42 E42 G42 I42" xr:uid="{00000000-0002-0000-1300-00000E000000}">
      <formula1>商业内部装修</formula1>
    </dataValidation>
    <dataValidation type="list" allowBlank="1" showInputMessage="1" showErrorMessage="1" sqref="E9 G9 I9" xr:uid="{00000000-0002-0000-1300-00000F000000}">
      <formula1>商业用途</formula1>
    </dataValidation>
    <dataValidation type="list" allowBlank="1" showInputMessage="1" showErrorMessage="1" sqref="C38 E38 G38 I38" xr:uid="{00000000-0002-0000-1300-000010000000}">
      <formula1>商业业态</formula1>
    </dataValidation>
    <dataValidation type="list" allowBlank="1" showInputMessage="1" showErrorMessage="1" sqref="C39 E39 G39 I39" xr:uid="{00000000-0002-0000-1300-000011000000}">
      <formula1>商业层高</formula1>
    </dataValidation>
    <dataValidation type="list" allowBlank="1" showInputMessage="1" showErrorMessage="1" sqref="C8 E8 G8 I8" xr:uid="{00000000-0002-0000-1300-000012000000}">
      <formula1>商业交易情况</formula1>
    </dataValidation>
    <dataValidation type="list" allowBlank="1" showInputMessage="1" showErrorMessage="1" sqref="C16 E16 G16 I16" xr:uid="{00000000-0002-0000-1300-000013000000}">
      <formula1>商业繁华度</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F1" xr:uid="{00000000-0002-0000-1300-000015000000}">
      <formula1>"售价,租金"</formula1>
    </dataValidation>
    <dataValidation type="list" allowBlank="1" showInputMessage="1" showErrorMessage="1" sqref="C2" xr:uid="{00000000-0002-0000-1300-000016000000}">
      <formula1>"需扣减承租人权益,——"</formula1>
    </dataValidation>
    <dataValidation type="list" allowBlank="1" showInputMessage="1" showErrorMessage="1" sqref="F2" xr:uid="{00000000-0002-0000-1300-000017000000}">
      <formula1>估价方法</formula1>
    </dataValidation>
    <dataValidation type="list" allowBlank="1" showInputMessage="1" showErrorMessage="1" sqref="D48"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Q26" sqref="Q26"/>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2825</v>
      </c>
      <c r="C1" s="3354" t="s">
        <v>2826</v>
      </c>
      <c r="D1" s="3355"/>
      <c r="E1" s="3355"/>
      <c r="F1" s="3355"/>
      <c r="G1" s="3355"/>
      <c r="H1" s="3355"/>
      <c r="I1" s="3355"/>
      <c r="J1" s="3355"/>
      <c r="K1" s="3355"/>
      <c r="L1" s="3355"/>
      <c r="M1" s="3355"/>
      <c r="N1" s="3355"/>
      <c r="O1" s="3355"/>
      <c r="P1" s="3355"/>
      <c r="Q1" s="3355"/>
      <c r="R1" s="3355"/>
      <c r="S1" s="3356"/>
      <c r="T1" s="1111" t="s">
        <v>2827</v>
      </c>
    </row>
    <row r="2" spans="1:45" s="661" customFormat="1" ht="38.25">
      <c r="A2" s="1112"/>
      <c r="B2" s="657" t="s">
        <v>2828</v>
      </c>
      <c r="C2" s="658" t="str">
        <f t="shared" ref="C2:L2" si="0">C3&amp;"(含)"&amp;"-"&amp;D3</f>
        <v>0(含)-200</v>
      </c>
      <c r="D2" s="659" t="str">
        <f t="shared" si="0"/>
        <v>200(含)-500</v>
      </c>
      <c r="E2" s="659" t="str">
        <f t="shared" si="0"/>
        <v>500(含)-1000</v>
      </c>
      <c r="F2" s="659" t="str">
        <f t="shared" si="0"/>
        <v>1000(含)-3000</v>
      </c>
      <c r="G2" s="659" t="str">
        <f t="shared" si="0"/>
        <v>3000(含)-5000</v>
      </c>
      <c r="H2" s="659" t="str">
        <f t="shared" si="0"/>
        <v>5000(含)-7000</v>
      </c>
      <c r="I2" s="659" t="str">
        <f t="shared" si="0"/>
        <v>7000(含)-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2"/>
      <c r="C3" s="663">
        <f>'比较法-商业'!C103</f>
        <v>0</v>
      </c>
      <c r="D3" s="663">
        <f>'比较法-商业'!D103</f>
        <v>200</v>
      </c>
      <c r="E3" s="663">
        <f>'比较法-商业'!E103</f>
        <v>500</v>
      </c>
      <c r="F3" s="663">
        <f>'比较法-商业'!F103</f>
        <v>1000</v>
      </c>
      <c r="G3" s="663">
        <f>'比较法-商业'!G103</f>
        <v>3000</v>
      </c>
      <c r="H3" s="663">
        <f>'比较法-商业'!H103</f>
        <v>5000</v>
      </c>
      <c r="I3" s="663">
        <f>'比较法-商业'!I103</f>
        <v>7000</v>
      </c>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f>'比较法-商业'!C104</f>
        <v>100</v>
      </c>
      <c r="D4" s="1117">
        <f>'比较法-商业'!D104</f>
        <v>100.5</v>
      </c>
      <c r="E4" s="1117">
        <f>'比较法-商业'!E104</f>
        <v>101</v>
      </c>
      <c r="F4" s="1117">
        <f>'比较法-商业'!F104</f>
        <v>101.5</v>
      </c>
      <c r="G4" s="1117">
        <f>'比较法-商业'!G104</f>
        <v>102</v>
      </c>
      <c r="H4" s="1117">
        <f>'比较法-商业'!H104</f>
        <v>102.5</v>
      </c>
      <c r="I4" s="1117">
        <f>'比较法-商业'!I104</f>
        <v>103</v>
      </c>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22"/>
      <c r="B5" s="1505" t="s">
        <v>2829</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22"/>
      <c r="B7" s="1506" t="s">
        <v>2830</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22"/>
      <c r="B9" s="1506" t="s">
        <v>2831</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22"/>
      <c r="B11" s="1505" t="s">
        <v>2832</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22"/>
      <c r="B13" s="1505" t="s">
        <v>2833</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22"/>
      <c r="B15" s="1505" t="s">
        <v>2834</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63" t="s">
        <v>2835</v>
      </c>
      <c r="B17" s="2364" t="s">
        <v>2836</v>
      </c>
      <c r="C17" s="1138">
        <v>1</v>
      </c>
      <c r="D17" s="1139">
        <v>2</v>
      </c>
      <c r="E17" s="1139">
        <v>3</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v>100</v>
      </c>
      <c r="D18" s="1151">
        <v>60</v>
      </c>
      <c r="E18" s="1151">
        <v>55</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65" t="s">
        <v>2837</v>
      </c>
      <c r="E19" s="1523"/>
      <c r="F19" s="1523"/>
      <c r="G19" s="1523"/>
      <c r="H19" s="1187"/>
      <c r="I19" s="162"/>
      <c r="J19" s="162"/>
      <c r="K19" s="162"/>
      <c r="L19" s="162"/>
      <c r="M19" s="162"/>
      <c r="N19" s="162"/>
      <c r="O19" s="162"/>
      <c r="P19" s="162"/>
      <c r="Q19" s="162"/>
      <c r="R19" s="724"/>
      <c r="S19" s="132"/>
    </row>
    <row r="20" spans="1:45" ht="16.5" thickBot="1">
      <c r="A20" s="668" t="s">
        <v>2838</v>
      </c>
      <c r="B20" s="298">
        <f>IF(D20="——",S22,S22-F20)</f>
        <v>30860</v>
      </c>
      <c r="C20" s="162"/>
      <c r="D20" s="2366" t="s">
        <v>70</v>
      </c>
      <c r="E20" s="1524"/>
      <c r="F20" s="1111" t="e">
        <f ca="1">SUMIF(INDIRECT("'"&amp;H20&amp;"'"&amp;"!A:A"),"承租人权益价值",INDIRECT("'"&amp;H20&amp;"'"&amp;"!c:c"))</f>
        <v>#REF!</v>
      </c>
      <c r="G20" s="1111" t="s">
        <v>2839</v>
      </c>
      <c r="H20" s="2367"/>
      <c r="I20" s="162"/>
      <c r="J20" s="162"/>
      <c r="K20" s="162"/>
      <c r="L20" s="162"/>
      <c r="M20" s="162"/>
      <c r="N20" s="162"/>
      <c r="O20" s="162"/>
      <c r="P20" s="162"/>
      <c r="Q20" s="162"/>
      <c r="R20" s="724"/>
      <c r="S20" s="132"/>
    </row>
    <row r="21" spans="1:45" ht="15.75">
      <c r="A21" s="668" t="s">
        <v>2840</v>
      </c>
      <c r="B21" s="298">
        <f>ROUND(B20*10000/B22,0)</f>
        <v>20415</v>
      </c>
      <c r="C21" s="162"/>
      <c r="D21" s="162"/>
      <c r="E21" s="162"/>
      <c r="F21" s="162"/>
      <c r="G21" s="162"/>
      <c r="H21" s="162"/>
      <c r="I21" s="162"/>
      <c r="J21" s="162"/>
      <c r="K21" s="162"/>
      <c r="L21" s="162"/>
      <c r="M21" s="162"/>
      <c r="N21" s="162"/>
      <c r="O21" s="162"/>
      <c r="P21" s="162"/>
      <c r="Q21" s="162"/>
      <c r="R21" s="724"/>
      <c r="S21" s="132"/>
    </row>
    <row r="22" spans="1:45">
      <c r="A22" s="320" t="s">
        <v>2841</v>
      </c>
      <c r="B22" s="24">
        <f>SUM(B24:B10000)</f>
        <v>15116.560000000001</v>
      </c>
      <c r="C22" s="3351" t="s">
        <v>33</v>
      </c>
      <c r="D22" s="3352"/>
      <c r="E22" s="3352"/>
      <c r="F22" s="3352"/>
      <c r="G22" s="3352"/>
      <c r="H22" s="3352"/>
      <c r="I22" s="3352"/>
      <c r="J22" s="3352"/>
      <c r="K22" s="3352"/>
      <c r="L22" s="3352"/>
      <c r="M22" s="3352"/>
      <c r="N22" s="3352"/>
      <c r="O22" s="3352"/>
      <c r="P22" s="3352"/>
      <c r="Q22" s="3353"/>
      <c r="R22" s="669">
        <f>ROUND(S22*10000/B22,0)</f>
        <v>20415</v>
      </c>
      <c r="S22" s="24">
        <f>SUM(S24:S10000)</f>
        <v>30860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0" t="s">
        <v>2845</v>
      </c>
      <c r="S23" s="11" t="s">
        <v>2846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2847</v>
      </c>
      <c r="B24" s="671">
        <f>面积表!E5</f>
        <v>5303.27</v>
      </c>
      <c r="C24" s="3040">
        <v>1</v>
      </c>
      <c r="D24" s="3041"/>
      <c r="E24" s="3040">
        <v>1</v>
      </c>
      <c r="F24" s="3041"/>
      <c r="G24" s="3040">
        <v>1</v>
      </c>
      <c r="H24" s="3041"/>
      <c r="I24" s="3040">
        <v>1</v>
      </c>
      <c r="J24" s="3041"/>
      <c r="K24" s="3040">
        <v>1</v>
      </c>
      <c r="L24" s="3041"/>
      <c r="M24" s="3040">
        <v>1</v>
      </c>
      <c r="N24" s="3041"/>
      <c r="O24" s="3040">
        <v>1</v>
      </c>
      <c r="P24" s="3041">
        <v>1</v>
      </c>
      <c r="Q24" s="3040">
        <v>1</v>
      </c>
      <c r="R24" s="674">
        <f>'比较法-商业'!C48</f>
        <v>28174</v>
      </c>
      <c r="S24" s="672">
        <f t="shared" ref="S24:S54" si="11">ROUND(R24*B24/10000,0)</f>
        <v>14941</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671">
        <f>面积表!E6</f>
        <v>5310.54</v>
      </c>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v>2</v>
      </c>
      <c r="Q25" s="24">
        <f>(SUMIF($17:$17,P25,$18:$18)-SUMIF($17:$17,$P$24,$18:$18)+100)/100</f>
        <v>0.6</v>
      </c>
      <c r="R25" s="669">
        <f>IF(B25="",0,ROUND($R$24*C25*E25*G25*I25*K25*M25*O25*Q25,0))</f>
        <v>16904</v>
      </c>
      <c r="S25" s="320">
        <f t="shared" si="11"/>
        <v>8977</v>
      </c>
    </row>
    <row r="26" spans="1:45">
      <c r="A26" s="153"/>
      <c r="B26" s="671">
        <f>面积表!E7</f>
        <v>4502.75</v>
      </c>
      <c r="C26" s="24">
        <f t="shared" ref="C26:C89" si="12">IF(B26="",1,(LOOKUP(B26,$3:$3,$4:$4)-LOOKUP($B$24,$3:$3,$4:$4)+100)/100)</f>
        <v>0.995</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v>3</v>
      </c>
      <c r="Q26" s="24">
        <f t="shared" ref="Q26:Q89" si="19">(SUMIF($17:$17,P26,$18:$18)-SUMIF($17:$17,$P$24,$18:$18)+100)/100</f>
        <v>0.55000000000000004</v>
      </c>
      <c r="R26" s="669">
        <f t="shared" ref="R26:R89" si="20">IF(B26="",0,ROUND($R$24*C26*E26*G26*I26*K26*M26*O26*Q26,0))</f>
        <v>15418</v>
      </c>
      <c r="S26" s="320">
        <f t="shared" si="11"/>
        <v>6942</v>
      </c>
    </row>
    <row r="27" spans="1:45">
      <c r="A27" s="153"/>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0</v>
      </c>
      <c r="R27" s="669">
        <f t="shared" si="20"/>
        <v>0</v>
      </c>
      <c r="S27" s="320">
        <f t="shared" si="11"/>
        <v>0</v>
      </c>
    </row>
    <row r="28" spans="1:45">
      <c r="A28" s="153"/>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0</v>
      </c>
      <c r="R28" s="669">
        <f t="shared" si="20"/>
        <v>0</v>
      </c>
      <c r="S28" s="320">
        <f t="shared" si="11"/>
        <v>0</v>
      </c>
    </row>
    <row r="29" spans="1:45">
      <c r="A29" s="153"/>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0</v>
      </c>
      <c r="R29" s="669">
        <f t="shared" si="20"/>
        <v>0</v>
      </c>
      <c r="S29" s="320">
        <f t="shared" si="11"/>
        <v>0</v>
      </c>
    </row>
    <row r="30" spans="1:45">
      <c r="A30" s="153"/>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0</v>
      </c>
      <c r="R30" s="669">
        <f t="shared" si="20"/>
        <v>0</v>
      </c>
      <c r="S30" s="320">
        <f t="shared" si="11"/>
        <v>0</v>
      </c>
    </row>
    <row r="31" spans="1:45">
      <c r="A31" s="153"/>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0</v>
      </c>
      <c r="R31" s="669">
        <f t="shared" si="20"/>
        <v>0</v>
      </c>
      <c r="S31" s="320">
        <f t="shared" si="11"/>
        <v>0</v>
      </c>
    </row>
    <row r="32" spans="1:45">
      <c r="A32" s="153"/>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0</v>
      </c>
      <c r="R32" s="669">
        <f t="shared" si="20"/>
        <v>0</v>
      </c>
      <c r="S32" s="320">
        <f t="shared" si="11"/>
        <v>0</v>
      </c>
    </row>
    <row r="33" spans="1:19">
      <c r="A33" s="153"/>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0</v>
      </c>
      <c r="R33" s="669">
        <f t="shared" si="20"/>
        <v>0</v>
      </c>
      <c r="S33" s="320">
        <f t="shared" si="11"/>
        <v>0</v>
      </c>
    </row>
    <row r="34" spans="1:19">
      <c r="A34" s="153"/>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0</v>
      </c>
      <c r="R34" s="669">
        <f t="shared" si="20"/>
        <v>0</v>
      </c>
      <c r="S34" s="320">
        <f t="shared" si="11"/>
        <v>0</v>
      </c>
    </row>
    <row r="35" spans="1:19">
      <c r="A35" s="153"/>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0</v>
      </c>
      <c r="R35" s="669">
        <f t="shared" si="20"/>
        <v>0</v>
      </c>
      <c r="S35" s="320">
        <f t="shared" si="11"/>
        <v>0</v>
      </c>
    </row>
    <row r="36" spans="1:19">
      <c r="A36" s="153"/>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0</v>
      </c>
      <c r="R36" s="669">
        <f t="shared" si="20"/>
        <v>0</v>
      </c>
      <c r="S36" s="320">
        <f t="shared" si="11"/>
        <v>0</v>
      </c>
    </row>
    <row r="37" spans="1:19">
      <c r="A37" s="153"/>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0</v>
      </c>
      <c r="R37" s="669">
        <f t="shared" si="20"/>
        <v>0</v>
      </c>
      <c r="S37" s="320">
        <f t="shared" si="11"/>
        <v>0</v>
      </c>
    </row>
    <row r="38" spans="1:19">
      <c r="A38" s="153"/>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0</v>
      </c>
      <c r="R38" s="669">
        <f t="shared" si="20"/>
        <v>0</v>
      </c>
      <c r="S38" s="320">
        <f t="shared" si="11"/>
        <v>0</v>
      </c>
    </row>
    <row r="39" spans="1:19">
      <c r="A39" s="153"/>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0</v>
      </c>
      <c r="R39" s="669">
        <f t="shared" si="20"/>
        <v>0</v>
      </c>
      <c r="S39" s="320">
        <f t="shared" si="11"/>
        <v>0</v>
      </c>
    </row>
    <row r="40" spans="1:19">
      <c r="A40" s="153"/>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0</v>
      </c>
      <c r="R40" s="669">
        <f t="shared" si="20"/>
        <v>0</v>
      </c>
      <c r="S40" s="320">
        <f t="shared" si="11"/>
        <v>0</v>
      </c>
    </row>
    <row r="41" spans="1:19">
      <c r="A41" s="153"/>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0</v>
      </c>
      <c r="R41" s="669">
        <f t="shared" si="20"/>
        <v>0</v>
      </c>
      <c r="S41" s="320">
        <f t="shared" si="11"/>
        <v>0</v>
      </c>
    </row>
    <row r="42" spans="1:19">
      <c r="A42" s="153"/>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0</v>
      </c>
      <c r="R42" s="669">
        <f t="shared" si="20"/>
        <v>0</v>
      </c>
      <c r="S42" s="320">
        <f t="shared" si="11"/>
        <v>0</v>
      </c>
    </row>
    <row r="43" spans="1:19">
      <c r="A43" s="153"/>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0</v>
      </c>
      <c r="R43" s="669">
        <f t="shared" si="20"/>
        <v>0</v>
      </c>
      <c r="S43" s="320">
        <f t="shared" si="11"/>
        <v>0</v>
      </c>
    </row>
    <row r="44" spans="1:19">
      <c r="A44" s="153"/>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0</v>
      </c>
      <c r="R44" s="669">
        <f t="shared" si="20"/>
        <v>0</v>
      </c>
      <c r="S44" s="320">
        <f t="shared" si="11"/>
        <v>0</v>
      </c>
    </row>
    <row r="45" spans="1:19">
      <c r="A45" s="153"/>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0</v>
      </c>
      <c r="R45" s="669">
        <f t="shared" si="20"/>
        <v>0</v>
      </c>
      <c r="S45" s="320">
        <f t="shared" si="11"/>
        <v>0</v>
      </c>
    </row>
    <row r="46" spans="1:19">
      <c r="A46" s="153"/>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0</v>
      </c>
      <c r="R46" s="669">
        <f t="shared" si="20"/>
        <v>0</v>
      </c>
      <c r="S46" s="320">
        <f t="shared" si="11"/>
        <v>0</v>
      </c>
    </row>
    <row r="47" spans="1:19">
      <c r="A47" s="153"/>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0</v>
      </c>
      <c r="R47" s="669">
        <f t="shared" si="20"/>
        <v>0</v>
      </c>
      <c r="S47" s="320">
        <f t="shared" si="11"/>
        <v>0</v>
      </c>
    </row>
    <row r="48" spans="1:19">
      <c r="A48" s="153"/>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0</v>
      </c>
      <c r="R48" s="669">
        <f t="shared" si="20"/>
        <v>0</v>
      </c>
      <c r="S48" s="320">
        <f t="shared" si="11"/>
        <v>0</v>
      </c>
    </row>
    <row r="49" spans="1:19">
      <c r="A49" s="153"/>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0</v>
      </c>
      <c r="R49" s="669">
        <f t="shared" si="20"/>
        <v>0</v>
      </c>
      <c r="S49" s="320">
        <f t="shared" si="11"/>
        <v>0</v>
      </c>
    </row>
    <row r="50" spans="1:19">
      <c r="A50" s="153"/>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0</v>
      </c>
      <c r="R50" s="669">
        <f t="shared" si="20"/>
        <v>0</v>
      </c>
      <c r="S50" s="320">
        <f t="shared" si="11"/>
        <v>0</v>
      </c>
    </row>
    <row r="51" spans="1:19">
      <c r="A51" s="153"/>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0</v>
      </c>
      <c r="R51" s="669">
        <f t="shared" si="20"/>
        <v>0</v>
      </c>
      <c r="S51" s="320">
        <f t="shared" si="11"/>
        <v>0</v>
      </c>
    </row>
    <row r="52" spans="1:19">
      <c r="A52" s="153"/>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0</v>
      </c>
      <c r="R52" s="669">
        <f t="shared" si="20"/>
        <v>0</v>
      </c>
      <c r="S52" s="320">
        <f t="shared" si="11"/>
        <v>0</v>
      </c>
    </row>
    <row r="53" spans="1:19">
      <c r="A53" s="153"/>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0</v>
      </c>
      <c r="R53" s="669">
        <f t="shared" si="20"/>
        <v>0</v>
      </c>
      <c r="S53" s="320">
        <f t="shared" si="11"/>
        <v>0</v>
      </c>
    </row>
    <row r="54" spans="1:19">
      <c r="A54" s="153"/>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0</v>
      </c>
      <c r="R54" s="669">
        <f t="shared" si="20"/>
        <v>0</v>
      </c>
      <c r="S54" s="320">
        <f t="shared" si="11"/>
        <v>0</v>
      </c>
    </row>
    <row r="55" spans="1:19">
      <c r="A55" s="153"/>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0</v>
      </c>
      <c r="R55" s="669">
        <f t="shared" si="20"/>
        <v>0</v>
      </c>
      <c r="S55" s="320">
        <f t="shared" ref="S55:S77" si="21">ROUND(R55*B55/10000,0)</f>
        <v>0</v>
      </c>
    </row>
    <row r="56" spans="1:19">
      <c r="A56" s="153"/>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0</v>
      </c>
      <c r="R56" s="669">
        <f t="shared" si="20"/>
        <v>0</v>
      </c>
      <c r="S56" s="320">
        <f t="shared" si="21"/>
        <v>0</v>
      </c>
    </row>
    <row r="57" spans="1:19">
      <c r="A57" s="153"/>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0</v>
      </c>
      <c r="R57" s="669">
        <f t="shared" si="20"/>
        <v>0</v>
      </c>
      <c r="S57" s="320">
        <f t="shared" si="21"/>
        <v>0</v>
      </c>
    </row>
    <row r="58" spans="1:19">
      <c r="A58" s="153"/>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0</v>
      </c>
      <c r="R58" s="669">
        <f t="shared" si="20"/>
        <v>0</v>
      </c>
      <c r="S58" s="320">
        <f t="shared" si="21"/>
        <v>0</v>
      </c>
    </row>
    <row r="59" spans="1:19">
      <c r="A59" s="153"/>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0</v>
      </c>
      <c r="R59" s="669">
        <f t="shared" si="20"/>
        <v>0</v>
      </c>
      <c r="S59" s="320">
        <f t="shared" si="21"/>
        <v>0</v>
      </c>
    </row>
    <row r="60" spans="1:19">
      <c r="A60" s="153"/>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0</v>
      </c>
      <c r="R60" s="669">
        <f t="shared" si="20"/>
        <v>0</v>
      </c>
      <c r="S60" s="320">
        <f t="shared" si="21"/>
        <v>0</v>
      </c>
    </row>
    <row r="61" spans="1:19">
      <c r="A61" s="153"/>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0</v>
      </c>
      <c r="R61" s="669">
        <f t="shared" si="20"/>
        <v>0</v>
      </c>
      <c r="S61" s="320">
        <f t="shared" si="21"/>
        <v>0</v>
      </c>
    </row>
    <row r="62" spans="1:19">
      <c r="A62" s="153"/>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0</v>
      </c>
      <c r="R62" s="669">
        <f t="shared" si="20"/>
        <v>0</v>
      </c>
      <c r="S62" s="320">
        <f t="shared" si="21"/>
        <v>0</v>
      </c>
    </row>
    <row r="63" spans="1:19">
      <c r="A63" s="153"/>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0</v>
      </c>
      <c r="R63" s="669">
        <f t="shared" si="20"/>
        <v>0</v>
      </c>
      <c r="S63" s="320">
        <f t="shared" si="21"/>
        <v>0</v>
      </c>
    </row>
    <row r="64" spans="1:19">
      <c r="A64" s="153"/>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0</v>
      </c>
      <c r="R64" s="669">
        <f t="shared" si="20"/>
        <v>0</v>
      </c>
      <c r="S64" s="320">
        <f t="shared" si="21"/>
        <v>0</v>
      </c>
    </row>
    <row r="65" spans="1:19">
      <c r="A65" s="153"/>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0</v>
      </c>
      <c r="R65" s="669">
        <f t="shared" si="20"/>
        <v>0</v>
      </c>
      <c r="S65" s="320">
        <f t="shared" si="21"/>
        <v>0</v>
      </c>
    </row>
    <row r="66" spans="1:19">
      <c r="A66" s="153"/>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0</v>
      </c>
      <c r="R66" s="669">
        <f t="shared" si="20"/>
        <v>0</v>
      </c>
      <c r="S66" s="320">
        <f t="shared" si="21"/>
        <v>0</v>
      </c>
    </row>
    <row r="67" spans="1:19">
      <c r="A67" s="153"/>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0</v>
      </c>
      <c r="R67" s="669">
        <f t="shared" si="20"/>
        <v>0</v>
      </c>
      <c r="S67" s="320">
        <f t="shared" si="21"/>
        <v>0</v>
      </c>
    </row>
    <row r="68" spans="1:19">
      <c r="A68" s="153"/>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0</v>
      </c>
      <c r="R68" s="669">
        <f t="shared" si="20"/>
        <v>0</v>
      </c>
      <c r="S68" s="320">
        <f t="shared" si="21"/>
        <v>0</v>
      </c>
    </row>
    <row r="69" spans="1:19">
      <c r="A69" s="153"/>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0</v>
      </c>
      <c r="R69" s="669">
        <f t="shared" si="20"/>
        <v>0</v>
      </c>
      <c r="S69" s="320">
        <f t="shared" si="21"/>
        <v>0</v>
      </c>
    </row>
    <row r="70" spans="1:19">
      <c r="A70" s="153"/>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0</v>
      </c>
      <c r="R70" s="669">
        <f t="shared" si="20"/>
        <v>0</v>
      </c>
      <c r="S70" s="320">
        <f t="shared" si="21"/>
        <v>0</v>
      </c>
    </row>
    <row r="71" spans="1:19">
      <c r="A71" s="153"/>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0</v>
      </c>
      <c r="R71" s="669">
        <f t="shared" si="20"/>
        <v>0</v>
      </c>
      <c r="S71" s="320">
        <f t="shared" si="21"/>
        <v>0</v>
      </c>
    </row>
    <row r="72" spans="1:19">
      <c r="A72" s="153"/>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0</v>
      </c>
      <c r="R72" s="669">
        <f t="shared" si="20"/>
        <v>0</v>
      </c>
      <c r="S72" s="320">
        <f t="shared" si="21"/>
        <v>0</v>
      </c>
    </row>
    <row r="73" spans="1:19">
      <c r="A73" s="153"/>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0</v>
      </c>
      <c r="R73" s="669">
        <f t="shared" si="20"/>
        <v>0</v>
      </c>
      <c r="S73" s="320">
        <f t="shared" si="21"/>
        <v>0</v>
      </c>
    </row>
    <row r="74" spans="1:19">
      <c r="A74" s="153"/>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0</v>
      </c>
      <c r="R74" s="669">
        <f t="shared" si="20"/>
        <v>0</v>
      </c>
      <c r="S74" s="320">
        <f t="shared" si="21"/>
        <v>0</v>
      </c>
    </row>
    <row r="75" spans="1:19">
      <c r="A75" s="153"/>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0</v>
      </c>
      <c r="R75" s="669">
        <f t="shared" si="20"/>
        <v>0</v>
      </c>
      <c r="S75" s="320">
        <f t="shared" si="21"/>
        <v>0</v>
      </c>
    </row>
    <row r="76" spans="1:19">
      <c r="A76" s="153"/>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0</v>
      </c>
      <c r="R76" s="669">
        <f t="shared" si="20"/>
        <v>0</v>
      </c>
      <c r="S76" s="320">
        <f t="shared" si="21"/>
        <v>0</v>
      </c>
    </row>
    <row r="77" spans="1:19">
      <c r="A77" s="153"/>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0</v>
      </c>
      <c r="R77" s="669">
        <f t="shared" si="20"/>
        <v>0</v>
      </c>
      <c r="S77" s="320">
        <f t="shared" si="21"/>
        <v>0</v>
      </c>
    </row>
    <row r="78" spans="1:19">
      <c r="A78" s="153"/>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0</v>
      </c>
      <c r="R78" s="669">
        <f t="shared" si="20"/>
        <v>0</v>
      </c>
      <c r="S78" s="320">
        <f t="shared" ref="S78:S122" si="22">ROUND(R78*B78/10000,0)</f>
        <v>0</v>
      </c>
    </row>
    <row r="79" spans="1:19">
      <c r="A79" s="153"/>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0</v>
      </c>
      <c r="R79" s="669">
        <f t="shared" si="20"/>
        <v>0</v>
      </c>
      <c r="S79" s="320">
        <f t="shared" si="22"/>
        <v>0</v>
      </c>
    </row>
    <row r="80" spans="1:19">
      <c r="A80" s="153"/>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0</v>
      </c>
      <c r="R80" s="669">
        <f t="shared" si="20"/>
        <v>0</v>
      </c>
      <c r="S80" s="320">
        <f t="shared" si="22"/>
        <v>0</v>
      </c>
    </row>
    <row r="81" spans="1:19">
      <c r="A81" s="153"/>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0</v>
      </c>
      <c r="R81" s="669">
        <f t="shared" si="20"/>
        <v>0</v>
      </c>
      <c r="S81" s="320">
        <f t="shared" si="22"/>
        <v>0</v>
      </c>
    </row>
    <row r="82" spans="1:19">
      <c r="A82" s="153"/>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0</v>
      </c>
      <c r="R82" s="669">
        <f t="shared" si="20"/>
        <v>0</v>
      </c>
      <c r="S82" s="320">
        <f t="shared" si="22"/>
        <v>0</v>
      </c>
    </row>
    <row r="83" spans="1:19">
      <c r="A83" s="153"/>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0</v>
      </c>
      <c r="R83" s="669">
        <f t="shared" si="20"/>
        <v>0</v>
      </c>
      <c r="S83" s="320">
        <f t="shared" si="22"/>
        <v>0</v>
      </c>
    </row>
    <row r="84" spans="1:19">
      <c r="A84" s="153"/>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0</v>
      </c>
      <c r="R84" s="669">
        <f t="shared" si="20"/>
        <v>0</v>
      </c>
      <c r="S84" s="320">
        <f t="shared" si="22"/>
        <v>0</v>
      </c>
    </row>
    <row r="85" spans="1:19">
      <c r="A85" s="153"/>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0</v>
      </c>
      <c r="R85" s="669">
        <f t="shared" si="20"/>
        <v>0</v>
      </c>
      <c r="S85" s="320">
        <f t="shared" si="22"/>
        <v>0</v>
      </c>
    </row>
    <row r="86" spans="1:19">
      <c r="A86" s="153"/>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0</v>
      </c>
      <c r="R86" s="669">
        <f t="shared" si="20"/>
        <v>0</v>
      </c>
      <c r="S86" s="320">
        <f t="shared" si="22"/>
        <v>0</v>
      </c>
    </row>
    <row r="87" spans="1:19">
      <c r="A87" s="153"/>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0</v>
      </c>
      <c r="R87" s="669">
        <f t="shared" si="20"/>
        <v>0</v>
      </c>
      <c r="S87" s="320">
        <f t="shared" si="22"/>
        <v>0</v>
      </c>
    </row>
    <row r="88" spans="1:19">
      <c r="A88" s="153"/>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0</v>
      </c>
      <c r="R88" s="669">
        <f t="shared" si="20"/>
        <v>0</v>
      </c>
      <c r="S88" s="320">
        <f t="shared" si="22"/>
        <v>0</v>
      </c>
    </row>
    <row r="89" spans="1:19">
      <c r="A89" s="153"/>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0</v>
      </c>
      <c r="R89" s="669">
        <f t="shared" si="20"/>
        <v>0</v>
      </c>
      <c r="S89" s="320">
        <f t="shared" si="22"/>
        <v>0</v>
      </c>
    </row>
    <row r="90" spans="1:19">
      <c r="A90" s="153"/>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0">
        <f t="shared" si="22"/>
        <v>0</v>
      </c>
    </row>
    <row r="91" spans="1:19">
      <c r="A91" s="153"/>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0</v>
      </c>
      <c r="R91" s="669">
        <f t="shared" si="31"/>
        <v>0</v>
      </c>
      <c r="S91" s="320">
        <f t="shared" si="22"/>
        <v>0</v>
      </c>
    </row>
    <row r="92" spans="1:19">
      <c r="A92" s="153"/>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0</v>
      </c>
      <c r="R92" s="669">
        <f t="shared" si="31"/>
        <v>0</v>
      </c>
      <c r="S92" s="320">
        <f t="shared" si="22"/>
        <v>0</v>
      </c>
    </row>
    <row r="93" spans="1:19">
      <c r="A93" s="153"/>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0</v>
      </c>
      <c r="R93" s="669">
        <f t="shared" si="31"/>
        <v>0</v>
      </c>
      <c r="S93" s="320">
        <f t="shared" si="22"/>
        <v>0</v>
      </c>
    </row>
    <row r="94" spans="1:19">
      <c r="A94" s="153"/>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0</v>
      </c>
      <c r="R94" s="669">
        <f t="shared" si="31"/>
        <v>0</v>
      </c>
      <c r="S94" s="320">
        <f t="shared" si="22"/>
        <v>0</v>
      </c>
    </row>
    <row r="95" spans="1:19">
      <c r="A95" s="153"/>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0</v>
      </c>
      <c r="R95" s="669">
        <f t="shared" si="31"/>
        <v>0</v>
      </c>
      <c r="S95" s="320">
        <f t="shared" si="22"/>
        <v>0</v>
      </c>
    </row>
    <row r="96" spans="1:19">
      <c r="A96" s="153"/>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0</v>
      </c>
      <c r="R96" s="669">
        <f t="shared" si="31"/>
        <v>0</v>
      </c>
      <c r="S96" s="320">
        <f t="shared" si="22"/>
        <v>0</v>
      </c>
    </row>
    <row r="97" spans="1:19">
      <c r="A97" s="153"/>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0</v>
      </c>
      <c r="R97" s="669">
        <f t="shared" si="31"/>
        <v>0</v>
      </c>
      <c r="S97" s="320">
        <f t="shared" si="22"/>
        <v>0</v>
      </c>
    </row>
    <row r="98" spans="1:19">
      <c r="A98" s="153"/>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0</v>
      </c>
      <c r="R98" s="669">
        <f t="shared" si="31"/>
        <v>0</v>
      </c>
      <c r="S98" s="320">
        <f t="shared" si="22"/>
        <v>0</v>
      </c>
    </row>
    <row r="99" spans="1:19">
      <c r="A99" s="153"/>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0</v>
      </c>
      <c r="R99" s="669">
        <f t="shared" si="31"/>
        <v>0</v>
      </c>
      <c r="S99" s="320">
        <f t="shared" si="22"/>
        <v>0</v>
      </c>
    </row>
    <row r="100" spans="1:19">
      <c r="A100" s="153"/>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0</v>
      </c>
      <c r="R100" s="669">
        <f t="shared" si="31"/>
        <v>0</v>
      </c>
      <c r="S100" s="320">
        <f t="shared" si="22"/>
        <v>0</v>
      </c>
    </row>
    <row r="101" spans="1:19">
      <c r="A101" s="153"/>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0</v>
      </c>
      <c r="R101" s="669">
        <f t="shared" si="31"/>
        <v>0</v>
      </c>
      <c r="S101" s="320">
        <f t="shared" si="22"/>
        <v>0</v>
      </c>
    </row>
    <row r="102" spans="1:19">
      <c r="A102" s="153"/>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0</v>
      </c>
      <c r="R102" s="669">
        <f t="shared" si="31"/>
        <v>0</v>
      </c>
      <c r="S102" s="320">
        <f t="shared" si="22"/>
        <v>0</v>
      </c>
    </row>
    <row r="103" spans="1:19">
      <c r="A103" s="153"/>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0</v>
      </c>
      <c r="R103" s="669">
        <f t="shared" si="31"/>
        <v>0</v>
      </c>
      <c r="S103" s="320">
        <f t="shared" si="22"/>
        <v>0</v>
      </c>
    </row>
    <row r="104" spans="1:19">
      <c r="A104" s="153"/>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0</v>
      </c>
      <c r="R104" s="669">
        <f t="shared" si="31"/>
        <v>0</v>
      </c>
      <c r="S104" s="320">
        <f t="shared" si="22"/>
        <v>0</v>
      </c>
    </row>
    <row r="105" spans="1:19">
      <c r="A105" s="153"/>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0</v>
      </c>
      <c r="R105" s="669">
        <f t="shared" si="31"/>
        <v>0</v>
      </c>
      <c r="S105" s="320">
        <f t="shared" si="22"/>
        <v>0</v>
      </c>
    </row>
    <row r="106" spans="1:19">
      <c r="A106" s="153"/>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0</v>
      </c>
      <c r="R106" s="669">
        <f t="shared" si="31"/>
        <v>0</v>
      </c>
      <c r="S106" s="320">
        <f t="shared" si="22"/>
        <v>0</v>
      </c>
    </row>
    <row r="107" spans="1:19">
      <c r="A107" s="153"/>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0</v>
      </c>
      <c r="R107" s="669">
        <f t="shared" si="31"/>
        <v>0</v>
      </c>
      <c r="S107" s="320">
        <f t="shared" si="22"/>
        <v>0</v>
      </c>
    </row>
    <row r="108" spans="1:19">
      <c r="A108" s="153"/>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0</v>
      </c>
      <c r="R108" s="669">
        <f t="shared" si="31"/>
        <v>0</v>
      </c>
      <c r="S108" s="320">
        <f t="shared" si="22"/>
        <v>0</v>
      </c>
    </row>
    <row r="109" spans="1:19">
      <c r="A109" s="153"/>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0</v>
      </c>
      <c r="R109" s="669">
        <f t="shared" si="31"/>
        <v>0</v>
      </c>
      <c r="S109" s="320">
        <f t="shared" si="22"/>
        <v>0</v>
      </c>
    </row>
    <row r="110" spans="1:19">
      <c r="A110" s="153"/>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0</v>
      </c>
      <c r="R110" s="669">
        <f t="shared" si="31"/>
        <v>0</v>
      </c>
      <c r="S110" s="320">
        <f t="shared" si="22"/>
        <v>0</v>
      </c>
    </row>
    <row r="111" spans="1:19">
      <c r="A111" s="153"/>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0</v>
      </c>
      <c r="R111" s="669">
        <f t="shared" si="31"/>
        <v>0</v>
      </c>
      <c r="S111" s="320">
        <f t="shared" si="22"/>
        <v>0</v>
      </c>
    </row>
    <row r="112" spans="1:19">
      <c r="A112" s="153"/>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0</v>
      </c>
      <c r="R112" s="669">
        <f t="shared" si="31"/>
        <v>0</v>
      </c>
      <c r="S112" s="320">
        <f t="shared" si="22"/>
        <v>0</v>
      </c>
    </row>
    <row r="113" spans="1:19">
      <c r="A113" s="153"/>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0</v>
      </c>
      <c r="R113" s="669">
        <f t="shared" si="31"/>
        <v>0</v>
      </c>
      <c r="S113" s="320">
        <f t="shared" si="22"/>
        <v>0</v>
      </c>
    </row>
    <row r="114" spans="1:19">
      <c r="A114" s="153"/>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0</v>
      </c>
      <c r="R114" s="669">
        <f t="shared" si="31"/>
        <v>0</v>
      </c>
      <c r="S114" s="320">
        <f t="shared" si="22"/>
        <v>0</v>
      </c>
    </row>
    <row r="115" spans="1:19">
      <c r="A115" s="153"/>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0</v>
      </c>
      <c r="R115" s="669">
        <f t="shared" si="31"/>
        <v>0</v>
      </c>
      <c r="S115" s="320">
        <f t="shared" si="22"/>
        <v>0</v>
      </c>
    </row>
    <row r="116" spans="1:19">
      <c r="A116" s="153"/>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0</v>
      </c>
      <c r="R116" s="669">
        <f t="shared" si="31"/>
        <v>0</v>
      </c>
      <c r="S116" s="320">
        <f t="shared" si="22"/>
        <v>0</v>
      </c>
    </row>
    <row r="117" spans="1:19">
      <c r="A117" s="153"/>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0</v>
      </c>
      <c r="R117" s="669">
        <f t="shared" si="31"/>
        <v>0</v>
      </c>
      <c r="S117" s="320">
        <f t="shared" si="22"/>
        <v>0</v>
      </c>
    </row>
    <row r="118" spans="1:19">
      <c r="A118" s="153"/>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0</v>
      </c>
      <c r="R118" s="669">
        <f t="shared" si="31"/>
        <v>0</v>
      </c>
      <c r="S118" s="320">
        <f t="shared" si="22"/>
        <v>0</v>
      </c>
    </row>
    <row r="119" spans="1:19">
      <c r="A119" s="153"/>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0</v>
      </c>
      <c r="R119" s="669">
        <f t="shared" si="31"/>
        <v>0</v>
      </c>
      <c r="S119" s="320">
        <f t="shared" si="22"/>
        <v>0</v>
      </c>
    </row>
    <row r="120" spans="1:19">
      <c r="A120" s="153"/>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0</v>
      </c>
      <c r="R120" s="669">
        <f t="shared" si="31"/>
        <v>0</v>
      </c>
      <c r="S120" s="320">
        <f t="shared" si="22"/>
        <v>0</v>
      </c>
    </row>
    <row r="121" spans="1:19">
      <c r="A121" s="153"/>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0</v>
      </c>
      <c r="R121" s="669">
        <f t="shared" si="31"/>
        <v>0</v>
      </c>
      <c r="S121" s="320">
        <f t="shared" si="22"/>
        <v>0</v>
      </c>
    </row>
    <row r="122" spans="1:19">
      <c r="A122" s="153"/>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0</v>
      </c>
      <c r="R122" s="669">
        <f t="shared" si="31"/>
        <v>0</v>
      </c>
      <c r="S122" s="320">
        <f t="shared" si="22"/>
        <v>0</v>
      </c>
    </row>
    <row r="123" spans="1:19">
      <c r="A123" s="153"/>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0</v>
      </c>
      <c r="R123" s="669">
        <f t="shared" si="31"/>
        <v>0</v>
      </c>
      <c r="S123" s="320">
        <f t="shared" ref="S123:S186" si="32">ROUND(R123*B123/10000,0)</f>
        <v>0</v>
      </c>
    </row>
    <row r="124" spans="1:19">
      <c r="A124" s="153"/>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0</v>
      </c>
      <c r="R124" s="669">
        <f t="shared" si="31"/>
        <v>0</v>
      </c>
      <c r="S124" s="320">
        <f t="shared" si="32"/>
        <v>0</v>
      </c>
    </row>
    <row r="125" spans="1:19">
      <c r="A125" s="153"/>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0</v>
      </c>
      <c r="R125" s="669">
        <f t="shared" si="31"/>
        <v>0</v>
      </c>
      <c r="S125" s="320">
        <f t="shared" si="32"/>
        <v>0</v>
      </c>
    </row>
    <row r="126" spans="1:19">
      <c r="A126" s="153"/>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0</v>
      </c>
      <c r="R126" s="669">
        <f t="shared" si="31"/>
        <v>0</v>
      </c>
      <c r="S126" s="320">
        <f t="shared" si="32"/>
        <v>0</v>
      </c>
    </row>
    <row r="127" spans="1:19">
      <c r="A127" s="153"/>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0</v>
      </c>
      <c r="R127" s="669">
        <f t="shared" si="31"/>
        <v>0</v>
      </c>
      <c r="S127" s="320">
        <f t="shared" si="32"/>
        <v>0</v>
      </c>
    </row>
    <row r="128" spans="1:19">
      <c r="A128" s="153"/>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0</v>
      </c>
      <c r="R128" s="669">
        <f t="shared" si="31"/>
        <v>0</v>
      </c>
      <c r="S128" s="320">
        <f t="shared" si="32"/>
        <v>0</v>
      </c>
    </row>
    <row r="129" spans="1:19">
      <c r="A129" s="153"/>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0</v>
      </c>
      <c r="R129" s="669">
        <f t="shared" si="31"/>
        <v>0</v>
      </c>
      <c r="S129" s="320">
        <f t="shared" si="32"/>
        <v>0</v>
      </c>
    </row>
    <row r="130" spans="1:19">
      <c r="A130" s="153"/>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0</v>
      </c>
      <c r="R130" s="669">
        <f t="shared" si="31"/>
        <v>0</v>
      </c>
      <c r="S130" s="320">
        <f t="shared" si="32"/>
        <v>0</v>
      </c>
    </row>
    <row r="131" spans="1:19">
      <c r="A131" s="153"/>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0</v>
      </c>
      <c r="R131" s="669">
        <f t="shared" si="31"/>
        <v>0</v>
      </c>
      <c r="S131" s="320">
        <f t="shared" si="32"/>
        <v>0</v>
      </c>
    </row>
    <row r="132" spans="1:19">
      <c r="A132" s="153"/>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0</v>
      </c>
      <c r="R132" s="669">
        <f t="shared" si="31"/>
        <v>0</v>
      </c>
      <c r="S132" s="320">
        <f t="shared" si="32"/>
        <v>0</v>
      </c>
    </row>
    <row r="133" spans="1:19">
      <c r="A133" s="153"/>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0</v>
      </c>
      <c r="R133" s="669">
        <f t="shared" si="31"/>
        <v>0</v>
      </c>
      <c r="S133" s="320">
        <f t="shared" si="32"/>
        <v>0</v>
      </c>
    </row>
    <row r="134" spans="1:19">
      <c r="A134" s="153"/>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0</v>
      </c>
      <c r="R134" s="669">
        <f t="shared" si="31"/>
        <v>0</v>
      </c>
      <c r="S134" s="320">
        <f t="shared" si="32"/>
        <v>0</v>
      </c>
    </row>
    <row r="135" spans="1:19">
      <c r="A135" s="153"/>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0</v>
      </c>
      <c r="R135" s="669">
        <f t="shared" si="31"/>
        <v>0</v>
      </c>
      <c r="S135" s="320">
        <f t="shared" si="32"/>
        <v>0</v>
      </c>
    </row>
    <row r="136" spans="1:19">
      <c r="A136" s="153"/>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0</v>
      </c>
      <c r="R136" s="669">
        <f t="shared" si="31"/>
        <v>0</v>
      </c>
      <c r="S136" s="320">
        <f t="shared" si="32"/>
        <v>0</v>
      </c>
    </row>
    <row r="137" spans="1:19">
      <c r="A137" s="153"/>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0</v>
      </c>
      <c r="R137" s="669">
        <f t="shared" si="31"/>
        <v>0</v>
      </c>
      <c r="S137" s="320">
        <f t="shared" si="32"/>
        <v>0</v>
      </c>
    </row>
    <row r="138" spans="1:19">
      <c r="A138" s="153"/>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0</v>
      </c>
      <c r="R138" s="669">
        <f t="shared" si="31"/>
        <v>0</v>
      </c>
      <c r="S138" s="320">
        <f t="shared" si="32"/>
        <v>0</v>
      </c>
    </row>
    <row r="139" spans="1:19">
      <c r="A139" s="153"/>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0</v>
      </c>
      <c r="R139" s="669">
        <f t="shared" si="31"/>
        <v>0</v>
      </c>
      <c r="S139" s="320">
        <f t="shared" si="32"/>
        <v>0</v>
      </c>
    </row>
    <row r="140" spans="1:19">
      <c r="A140" s="153"/>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0</v>
      </c>
      <c r="R140" s="669">
        <f t="shared" si="31"/>
        <v>0</v>
      </c>
      <c r="S140" s="320">
        <f t="shared" si="32"/>
        <v>0</v>
      </c>
    </row>
    <row r="141" spans="1:19">
      <c r="A141" s="153"/>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0</v>
      </c>
      <c r="R141" s="669">
        <f t="shared" si="31"/>
        <v>0</v>
      </c>
      <c r="S141" s="320">
        <f t="shared" si="32"/>
        <v>0</v>
      </c>
    </row>
    <row r="142" spans="1:19">
      <c r="A142" s="153"/>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0</v>
      </c>
      <c r="R142" s="669">
        <f t="shared" si="31"/>
        <v>0</v>
      </c>
      <c r="S142" s="320">
        <f t="shared" si="32"/>
        <v>0</v>
      </c>
    </row>
    <row r="143" spans="1:19">
      <c r="A143" s="153"/>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0</v>
      </c>
      <c r="R143" s="669">
        <f t="shared" si="31"/>
        <v>0</v>
      </c>
      <c r="S143" s="320">
        <f t="shared" si="32"/>
        <v>0</v>
      </c>
    </row>
    <row r="144" spans="1:19">
      <c r="A144" s="153"/>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0</v>
      </c>
      <c r="R144" s="669">
        <f t="shared" si="31"/>
        <v>0</v>
      </c>
      <c r="S144" s="320">
        <f t="shared" si="32"/>
        <v>0</v>
      </c>
    </row>
    <row r="145" spans="1:19">
      <c r="A145" s="153"/>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0</v>
      </c>
      <c r="R145" s="669">
        <f t="shared" si="31"/>
        <v>0</v>
      </c>
      <c r="S145" s="320">
        <f t="shared" si="32"/>
        <v>0</v>
      </c>
    </row>
    <row r="146" spans="1:19">
      <c r="A146" s="153"/>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0</v>
      </c>
      <c r="R146" s="669">
        <f t="shared" si="31"/>
        <v>0</v>
      </c>
      <c r="S146" s="320">
        <f t="shared" si="32"/>
        <v>0</v>
      </c>
    </row>
    <row r="147" spans="1:19">
      <c r="A147" s="153"/>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0</v>
      </c>
      <c r="R147" s="669">
        <f t="shared" si="31"/>
        <v>0</v>
      </c>
      <c r="S147" s="320">
        <f t="shared" si="32"/>
        <v>0</v>
      </c>
    </row>
    <row r="148" spans="1:19">
      <c r="A148" s="153"/>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0</v>
      </c>
      <c r="R148" s="669">
        <f t="shared" si="31"/>
        <v>0</v>
      </c>
      <c r="S148" s="320">
        <f t="shared" si="32"/>
        <v>0</v>
      </c>
    </row>
    <row r="149" spans="1:19">
      <c r="A149" s="153"/>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0</v>
      </c>
      <c r="R149" s="669">
        <f t="shared" si="31"/>
        <v>0</v>
      </c>
      <c r="S149" s="320">
        <f t="shared" si="32"/>
        <v>0</v>
      </c>
    </row>
    <row r="150" spans="1:19">
      <c r="A150" s="153"/>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0</v>
      </c>
      <c r="R150" s="669">
        <f t="shared" si="31"/>
        <v>0</v>
      </c>
      <c r="S150" s="320">
        <f t="shared" si="32"/>
        <v>0</v>
      </c>
    </row>
    <row r="151" spans="1:19">
      <c r="A151" s="153"/>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0</v>
      </c>
      <c r="R151" s="669">
        <f t="shared" si="31"/>
        <v>0</v>
      </c>
      <c r="S151" s="320">
        <f t="shared" si="32"/>
        <v>0</v>
      </c>
    </row>
    <row r="152" spans="1:19">
      <c r="A152" s="153"/>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0</v>
      </c>
      <c r="R152" s="669">
        <f t="shared" si="31"/>
        <v>0</v>
      </c>
      <c r="S152" s="320">
        <f t="shared" si="32"/>
        <v>0</v>
      </c>
    </row>
    <row r="153" spans="1:19">
      <c r="A153" s="153"/>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0</v>
      </c>
      <c r="R153" s="669">
        <f t="shared" si="31"/>
        <v>0</v>
      </c>
      <c r="S153" s="320">
        <f t="shared" si="32"/>
        <v>0</v>
      </c>
    </row>
    <row r="154" spans="1:19">
      <c r="A154" s="153"/>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0">
        <f t="shared" si="32"/>
        <v>0</v>
      </c>
    </row>
    <row r="155" spans="1:19">
      <c r="A155" s="153"/>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0</v>
      </c>
      <c r="R155" s="669">
        <f t="shared" si="41"/>
        <v>0</v>
      </c>
      <c r="S155" s="320">
        <f t="shared" si="32"/>
        <v>0</v>
      </c>
    </row>
    <row r="156" spans="1:19">
      <c r="A156" s="153"/>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0</v>
      </c>
      <c r="R156" s="669">
        <f t="shared" si="41"/>
        <v>0</v>
      </c>
      <c r="S156" s="320">
        <f t="shared" si="32"/>
        <v>0</v>
      </c>
    </row>
    <row r="157" spans="1:19">
      <c r="A157" s="153"/>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0</v>
      </c>
      <c r="R157" s="669">
        <f t="shared" si="41"/>
        <v>0</v>
      </c>
      <c r="S157" s="320">
        <f t="shared" si="32"/>
        <v>0</v>
      </c>
    </row>
    <row r="158" spans="1:19">
      <c r="A158" s="153"/>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0</v>
      </c>
      <c r="R158" s="669">
        <f t="shared" si="41"/>
        <v>0</v>
      </c>
      <c r="S158" s="320">
        <f t="shared" si="32"/>
        <v>0</v>
      </c>
    </row>
    <row r="159" spans="1:19">
      <c r="A159" s="153"/>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0</v>
      </c>
      <c r="R159" s="669">
        <f t="shared" si="41"/>
        <v>0</v>
      </c>
      <c r="S159" s="320">
        <f t="shared" si="32"/>
        <v>0</v>
      </c>
    </row>
    <row r="160" spans="1:19">
      <c r="A160" s="153"/>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0</v>
      </c>
      <c r="R160" s="669">
        <f t="shared" si="41"/>
        <v>0</v>
      </c>
      <c r="S160" s="320">
        <f t="shared" si="32"/>
        <v>0</v>
      </c>
    </row>
    <row r="161" spans="1:19">
      <c r="A161" s="153"/>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0</v>
      </c>
      <c r="R161" s="669">
        <f t="shared" si="41"/>
        <v>0</v>
      </c>
      <c r="S161" s="320">
        <f t="shared" si="32"/>
        <v>0</v>
      </c>
    </row>
    <row r="162" spans="1:19">
      <c r="A162" s="153"/>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0</v>
      </c>
      <c r="R162" s="669">
        <f t="shared" si="41"/>
        <v>0</v>
      </c>
      <c r="S162" s="320">
        <f t="shared" si="32"/>
        <v>0</v>
      </c>
    </row>
    <row r="163" spans="1:19">
      <c r="A163" s="153"/>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0</v>
      </c>
      <c r="R163" s="669">
        <f t="shared" si="41"/>
        <v>0</v>
      </c>
      <c r="S163" s="320">
        <f t="shared" si="32"/>
        <v>0</v>
      </c>
    </row>
    <row r="164" spans="1:19">
      <c r="A164" s="153"/>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0</v>
      </c>
      <c r="R164" s="669">
        <f t="shared" si="41"/>
        <v>0</v>
      </c>
      <c r="S164" s="320">
        <f t="shared" si="32"/>
        <v>0</v>
      </c>
    </row>
    <row r="165" spans="1:19">
      <c r="A165" s="153"/>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0</v>
      </c>
      <c r="R165" s="669">
        <f t="shared" si="41"/>
        <v>0</v>
      </c>
      <c r="S165" s="320">
        <f t="shared" si="32"/>
        <v>0</v>
      </c>
    </row>
    <row r="166" spans="1:19">
      <c r="A166" s="153"/>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0</v>
      </c>
      <c r="R166" s="669">
        <f t="shared" si="41"/>
        <v>0</v>
      </c>
      <c r="S166" s="320">
        <f t="shared" si="32"/>
        <v>0</v>
      </c>
    </row>
    <row r="167" spans="1:19">
      <c r="A167" s="153"/>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0</v>
      </c>
      <c r="R167" s="669">
        <f t="shared" si="41"/>
        <v>0</v>
      </c>
      <c r="S167" s="320">
        <f t="shared" si="32"/>
        <v>0</v>
      </c>
    </row>
    <row r="168" spans="1:19">
      <c r="A168" s="153"/>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0</v>
      </c>
      <c r="R168" s="669">
        <f t="shared" si="41"/>
        <v>0</v>
      </c>
      <c r="S168" s="320">
        <f t="shared" si="32"/>
        <v>0</v>
      </c>
    </row>
    <row r="169" spans="1:19">
      <c r="A169" s="153"/>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0</v>
      </c>
      <c r="R169" s="669">
        <f t="shared" si="41"/>
        <v>0</v>
      </c>
      <c r="S169" s="320">
        <f t="shared" si="32"/>
        <v>0</v>
      </c>
    </row>
    <row r="170" spans="1:19">
      <c r="A170" s="153"/>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0</v>
      </c>
      <c r="R170" s="669">
        <f t="shared" si="41"/>
        <v>0</v>
      </c>
      <c r="S170" s="320">
        <f t="shared" si="32"/>
        <v>0</v>
      </c>
    </row>
    <row r="171" spans="1:19">
      <c r="A171" s="153"/>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0</v>
      </c>
      <c r="R171" s="669">
        <f t="shared" si="41"/>
        <v>0</v>
      </c>
      <c r="S171" s="320">
        <f t="shared" si="32"/>
        <v>0</v>
      </c>
    </row>
    <row r="172" spans="1:19">
      <c r="A172" s="153"/>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0</v>
      </c>
      <c r="R172" s="669">
        <f t="shared" si="41"/>
        <v>0</v>
      </c>
      <c r="S172" s="320">
        <f t="shared" si="32"/>
        <v>0</v>
      </c>
    </row>
    <row r="173" spans="1:19">
      <c r="A173" s="153"/>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0</v>
      </c>
      <c r="R173" s="669">
        <f t="shared" si="41"/>
        <v>0</v>
      </c>
      <c r="S173" s="320">
        <f t="shared" si="32"/>
        <v>0</v>
      </c>
    </row>
    <row r="174" spans="1:19">
      <c r="A174" s="153"/>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0</v>
      </c>
      <c r="R174" s="669">
        <f t="shared" si="41"/>
        <v>0</v>
      </c>
      <c r="S174" s="320">
        <f t="shared" si="32"/>
        <v>0</v>
      </c>
    </row>
    <row r="175" spans="1:19">
      <c r="A175" s="153"/>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0</v>
      </c>
      <c r="R175" s="669">
        <f t="shared" si="41"/>
        <v>0</v>
      </c>
      <c r="S175" s="320">
        <f t="shared" si="32"/>
        <v>0</v>
      </c>
    </row>
    <row r="176" spans="1:19">
      <c r="A176" s="153"/>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0</v>
      </c>
      <c r="R176" s="669">
        <f t="shared" si="41"/>
        <v>0</v>
      </c>
      <c r="S176" s="320">
        <f t="shared" si="32"/>
        <v>0</v>
      </c>
    </row>
    <row r="177" spans="1:19">
      <c r="A177" s="153"/>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0</v>
      </c>
      <c r="R177" s="669">
        <f t="shared" si="41"/>
        <v>0</v>
      </c>
      <c r="S177" s="320">
        <f t="shared" si="32"/>
        <v>0</v>
      </c>
    </row>
    <row r="178" spans="1:19">
      <c r="A178" s="153"/>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0</v>
      </c>
      <c r="R178" s="669">
        <f t="shared" si="41"/>
        <v>0</v>
      </c>
      <c r="S178" s="320">
        <f t="shared" si="32"/>
        <v>0</v>
      </c>
    </row>
    <row r="179" spans="1:19">
      <c r="A179" s="153"/>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0</v>
      </c>
      <c r="R179" s="669">
        <f t="shared" si="41"/>
        <v>0</v>
      </c>
      <c r="S179" s="320">
        <f t="shared" si="32"/>
        <v>0</v>
      </c>
    </row>
    <row r="180" spans="1:19">
      <c r="A180" s="153"/>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0</v>
      </c>
      <c r="R180" s="669">
        <f t="shared" si="41"/>
        <v>0</v>
      </c>
      <c r="S180" s="320">
        <f t="shared" si="32"/>
        <v>0</v>
      </c>
    </row>
    <row r="181" spans="1:19">
      <c r="A181" s="153"/>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0</v>
      </c>
      <c r="R181" s="669">
        <f t="shared" si="41"/>
        <v>0</v>
      </c>
      <c r="S181" s="320">
        <f t="shared" si="32"/>
        <v>0</v>
      </c>
    </row>
    <row r="182" spans="1:19">
      <c r="A182" s="153"/>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0</v>
      </c>
      <c r="R182" s="669">
        <f t="shared" si="41"/>
        <v>0</v>
      </c>
      <c r="S182" s="320">
        <f t="shared" si="32"/>
        <v>0</v>
      </c>
    </row>
    <row r="183" spans="1:19">
      <c r="A183" s="153"/>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0</v>
      </c>
      <c r="R183" s="669">
        <f t="shared" si="41"/>
        <v>0</v>
      </c>
      <c r="S183" s="320">
        <f t="shared" si="32"/>
        <v>0</v>
      </c>
    </row>
    <row r="184" spans="1:19">
      <c r="A184" s="153"/>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0</v>
      </c>
      <c r="R184" s="669">
        <f t="shared" si="41"/>
        <v>0</v>
      </c>
      <c r="S184" s="320">
        <f t="shared" si="32"/>
        <v>0</v>
      </c>
    </row>
    <row r="185" spans="1:19">
      <c r="A185" s="153"/>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0</v>
      </c>
      <c r="R185" s="669">
        <f t="shared" si="41"/>
        <v>0</v>
      </c>
      <c r="S185" s="320">
        <f t="shared" si="32"/>
        <v>0</v>
      </c>
    </row>
    <row r="186" spans="1:19">
      <c r="A186" s="153"/>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0</v>
      </c>
      <c r="R186" s="669">
        <f t="shared" si="41"/>
        <v>0</v>
      </c>
      <c r="S186" s="320">
        <f t="shared" si="32"/>
        <v>0</v>
      </c>
    </row>
    <row r="187" spans="1:19">
      <c r="A187" s="153"/>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0</v>
      </c>
      <c r="R187" s="669">
        <f t="shared" si="41"/>
        <v>0</v>
      </c>
      <c r="S187" s="320">
        <f t="shared" ref="S187:S222" si="42">ROUND(R187*B187/10000,0)</f>
        <v>0</v>
      </c>
    </row>
    <row r="188" spans="1:19">
      <c r="A188" s="153"/>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0</v>
      </c>
      <c r="R188" s="669">
        <f t="shared" si="41"/>
        <v>0</v>
      </c>
      <c r="S188" s="320">
        <f t="shared" si="42"/>
        <v>0</v>
      </c>
    </row>
    <row r="189" spans="1:19">
      <c r="A189" s="153"/>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0</v>
      </c>
      <c r="R189" s="669">
        <f t="shared" si="41"/>
        <v>0</v>
      </c>
      <c r="S189" s="320">
        <f t="shared" si="42"/>
        <v>0</v>
      </c>
    </row>
    <row r="190" spans="1:19">
      <c r="A190" s="153"/>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0</v>
      </c>
      <c r="R190" s="669">
        <f t="shared" si="41"/>
        <v>0</v>
      </c>
      <c r="S190" s="320">
        <f t="shared" si="42"/>
        <v>0</v>
      </c>
    </row>
    <row r="191" spans="1:19">
      <c r="A191" s="153"/>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0</v>
      </c>
      <c r="R191" s="669">
        <f t="shared" si="41"/>
        <v>0</v>
      </c>
      <c r="S191" s="320">
        <f t="shared" si="42"/>
        <v>0</v>
      </c>
    </row>
    <row r="192" spans="1:19">
      <c r="A192" s="153"/>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0</v>
      </c>
      <c r="R192" s="669">
        <f t="shared" si="41"/>
        <v>0</v>
      </c>
      <c r="S192" s="320">
        <f t="shared" si="42"/>
        <v>0</v>
      </c>
    </row>
    <row r="193" spans="1:19">
      <c r="A193" s="153"/>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0</v>
      </c>
      <c r="R193" s="669">
        <f t="shared" si="41"/>
        <v>0</v>
      </c>
      <c r="S193" s="320">
        <f t="shared" si="42"/>
        <v>0</v>
      </c>
    </row>
    <row r="194" spans="1:19">
      <c r="A194" s="153"/>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0</v>
      </c>
      <c r="R194" s="669">
        <f t="shared" si="41"/>
        <v>0</v>
      </c>
      <c r="S194" s="320">
        <f t="shared" si="42"/>
        <v>0</v>
      </c>
    </row>
    <row r="195" spans="1:19">
      <c r="A195" s="153"/>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0</v>
      </c>
      <c r="R195" s="669">
        <f t="shared" si="41"/>
        <v>0</v>
      </c>
      <c r="S195" s="320">
        <f t="shared" si="42"/>
        <v>0</v>
      </c>
    </row>
    <row r="196" spans="1:19">
      <c r="A196" s="153"/>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0</v>
      </c>
      <c r="R196" s="669">
        <f t="shared" si="41"/>
        <v>0</v>
      </c>
      <c r="S196" s="320">
        <f t="shared" si="42"/>
        <v>0</v>
      </c>
    </row>
    <row r="197" spans="1:19">
      <c r="A197" s="153"/>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0</v>
      </c>
      <c r="R197" s="669">
        <f t="shared" si="41"/>
        <v>0</v>
      </c>
      <c r="S197" s="320">
        <f t="shared" si="42"/>
        <v>0</v>
      </c>
    </row>
    <row r="198" spans="1:19">
      <c r="A198" s="153"/>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0</v>
      </c>
      <c r="R198" s="669">
        <f t="shared" si="41"/>
        <v>0</v>
      </c>
      <c r="S198" s="320">
        <f t="shared" si="42"/>
        <v>0</v>
      </c>
    </row>
    <row r="199" spans="1:19">
      <c r="A199" s="153"/>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0</v>
      </c>
      <c r="R199" s="669">
        <f t="shared" si="41"/>
        <v>0</v>
      </c>
      <c r="S199" s="320">
        <f t="shared" si="42"/>
        <v>0</v>
      </c>
    </row>
    <row r="200" spans="1:19">
      <c r="A200" s="153"/>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0</v>
      </c>
      <c r="R200" s="669">
        <f t="shared" si="41"/>
        <v>0</v>
      </c>
      <c r="S200" s="320">
        <f t="shared" si="42"/>
        <v>0</v>
      </c>
    </row>
    <row r="201" spans="1:19">
      <c r="A201" s="153"/>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0</v>
      </c>
      <c r="R201" s="669">
        <f t="shared" si="41"/>
        <v>0</v>
      </c>
      <c r="S201" s="320">
        <f t="shared" si="42"/>
        <v>0</v>
      </c>
    </row>
    <row r="202" spans="1:19">
      <c r="A202" s="153"/>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0</v>
      </c>
      <c r="R202" s="669">
        <f t="shared" si="41"/>
        <v>0</v>
      </c>
      <c r="S202" s="320">
        <f t="shared" si="42"/>
        <v>0</v>
      </c>
    </row>
    <row r="203" spans="1:19">
      <c r="A203" s="153"/>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0</v>
      </c>
      <c r="R203" s="669">
        <f t="shared" si="41"/>
        <v>0</v>
      </c>
      <c r="S203" s="320">
        <f t="shared" si="42"/>
        <v>0</v>
      </c>
    </row>
    <row r="204" spans="1:19">
      <c r="A204" s="153"/>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0</v>
      </c>
      <c r="R204" s="669">
        <f t="shared" si="41"/>
        <v>0</v>
      </c>
      <c r="S204" s="320">
        <f t="shared" si="42"/>
        <v>0</v>
      </c>
    </row>
    <row r="205" spans="1:19">
      <c r="A205" s="153"/>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0</v>
      </c>
      <c r="R205" s="669">
        <f t="shared" si="41"/>
        <v>0</v>
      </c>
      <c r="S205" s="320">
        <f t="shared" si="42"/>
        <v>0</v>
      </c>
    </row>
    <row r="206" spans="1:19">
      <c r="A206" s="153"/>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0</v>
      </c>
      <c r="R206" s="669">
        <f t="shared" si="41"/>
        <v>0</v>
      </c>
      <c r="S206" s="320">
        <f t="shared" si="42"/>
        <v>0</v>
      </c>
    </row>
    <row r="207" spans="1:19">
      <c r="A207" s="153"/>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0</v>
      </c>
      <c r="R207" s="669">
        <f t="shared" si="41"/>
        <v>0</v>
      </c>
      <c r="S207" s="320">
        <f t="shared" si="42"/>
        <v>0</v>
      </c>
    </row>
    <row r="208" spans="1:19">
      <c r="A208" s="153"/>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0</v>
      </c>
      <c r="R208" s="669">
        <f t="shared" si="41"/>
        <v>0</v>
      </c>
      <c r="S208" s="320">
        <f t="shared" si="42"/>
        <v>0</v>
      </c>
    </row>
    <row r="209" spans="1:19">
      <c r="A209" s="153"/>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0</v>
      </c>
      <c r="R209" s="669">
        <f t="shared" si="41"/>
        <v>0</v>
      </c>
      <c r="S209" s="320">
        <f t="shared" si="42"/>
        <v>0</v>
      </c>
    </row>
    <row r="210" spans="1:19">
      <c r="A210" s="153"/>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0</v>
      </c>
      <c r="R210" s="669">
        <f t="shared" si="41"/>
        <v>0</v>
      </c>
      <c r="S210" s="320">
        <f t="shared" si="42"/>
        <v>0</v>
      </c>
    </row>
    <row r="211" spans="1:19">
      <c r="A211" s="153"/>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0</v>
      </c>
      <c r="R211" s="669">
        <f t="shared" si="41"/>
        <v>0</v>
      </c>
      <c r="S211" s="320">
        <f t="shared" si="42"/>
        <v>0</v>
      </c>
    </row>
    <row r="212" spans="1:19">
      <c r="A212" s="153"/>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0</v>
      </c>
      <c r="R212" s="669">
        <f t="shared" si="41"/>
        <v>0</v>
      </c>
      <c r="S212" s="320">
        <f t="shared" si="42"/>
        <v>0</v>
      </c>
    </row>
    <row r="213" spans="1:19">
      <c r="A213" s="153"/>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0</v>
      </c>
      <c r="R213" s="669">
        <f t="shared" si="41"/>
        <v>0</v>
      </c>
      <c r="S213" s="320">
        <f t="shared" si="42"/>
        <v>0</v>
      </c>
    </row>
    <row r="214" spans="1:19">
      <c r="A214" s="153"/>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0</v>
      </c>
      <c r="R214" s="669">
        <f t="shared" si="41"/>
        <v>0</v>
      </c>
      <c r="S214" s="320">
        <f t="shared" si="42"/>
        <v>0</v>
      </c>
    </row>
    <row r="215" spans="1:19">
      <c r="A215" s="153"/>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0</v>
      </c>
      <c r="R215" s="669">
        <f t="shared" si="41"/>
        <v>0</v>
      </c>
      <c r="S215" s="320">
        <f t="shared" si="42"/>
        <v>0</v>
      </c>
    </row>
    <row r="216" spans="1:19">
      <c r="A216" s="153"/>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0</v>
      </c>
      <c r="R216" s="669">
        <f t="shared" si="41"/>
        <v>0</v>
      </c>
      <c r="S216" s="320">
        <f t="shared" si="42"/>
        <v>0</v>
      </c>
    </row>
    <row r="217" spans="1:19">
      <c r="A217" s="153"/>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0</v>
      </c>
      <c r="R217" s="669">
        <f t="shared" si="41"/>
        <v>0</v>
      </c>
      <c r="S217" s="320">
        <f t="shared" si="42"/>
        <v>0</v>
      </c>
    </row>
    <row r="218" spans="1:19">
      <c r="A218" s="153"/>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0">
        <f t="shared" si="42"/>
        <v>0</v>
      </c>
    </row>
    <row r="219" spans="1:19">
      <c r="A219" s="153"/>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0</v>
      </c>
      <c r="R219" s="669">
        <f t="shared" si="51"/>
        <v>0</v>
      </c>
      <c r="S219" s="320">
        <f t="shared" si="42"/>
        <v>0</v>
      </c>
    </row>
    <row r="220" spans="1:19">
      <c r="A220" s="153"/>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0</v>
      </c>
      <c r="R220" s="669">
        <f t="shared" si="51"/>
        <v>0</v>
      </c>
      <c r="S220" s="320">
        <f t="shared" si="42"/>
        <v>0</v>
      </c>
    </row>
    <row r="221" spans="1:19">
      <c r="A221" s="153"/>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0</v>
      </c>
      <c r="R221" s="669">
        <f t="shared" si="51"/>
        <v>0</v>
      </c>
      <c r="S221" s="320">
        <f t="shared" si="42"/>
        <v>0</v>
      </c>
    </row>
    <row r="222" spans="1:19">
      <c r="A222" s="153"/>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0</v>
      </c>
      <c r="R222" s="669">
        <f t="shared" si="51"/>
        <v>0</v>
      </c>
      <c r="S222" s="320">
        <f t="shared" si="42"/>
        <v>0</v>
      </c>
    </row>
    <row r="223" spans="1:19">
      <c r="A223" s="153"/>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0</v>
      </c>
      <c r="R223" s="669">
        <f t="shared" si="51"/>
        <v>0</v>
      </c>
      <c r="S223" s="320">
        <f t="shared" ref="S223:S286" si="52">ROUND(R223*B223/10000,0)</f>
        <v>0</v>
      </c>
    </row>
    <row r="224" spans="1:19">
      <c r="A224" s="153"/>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0</v>
      </c>
      <c r="R224" s="669">
        <f t="shared" si="51"/>
        <v>0</v>
      </c>
      <c r="S224" s="320">
        <f t="shared" si="52"/>
        <v>0</v>
      </c>
    </row>
    <row r="225" spans="1:19">
      <c r="A225" s="153"/>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0</v>
      </c>
      <c r="R225" s="669">
        <f t="shared" si="51"/>
        <v>0</v>
      </c>
      <c r="S225" s="320">
        <f t="shared" si="52"/>
        <v>0</v>
      </c>
    </row>
    <row r="226" spans="1:19">
      <c r="A226" s="153"/>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0</v>
      </c>
      <c r="R226" s="669">
        <f t="shared" si="51"/>
        <v>0</v>
      </c>
      <c r="S226" s="320">
        <f t="shared" si="52"/>
        <v>0</v>
      </c>
    </row>
    <row r="227" spans="1:19">
      <c r="A227" s="153"/>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0</v>
      </c>
      <c r="R227" s="669">
        <f t="shared" si="51"/>
        <v>0</v>
      </c>
      <c r="S227" s="320">
        <f t="shared" si="52"/>
        <v>0</v>
      </c>
    </row>
    <row r="228" spans="1:19">
      <c r="A228" s="153"/>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0</v>
      </c>
      <c r="R228" s="669">
        <f t="shared" si="51"/>
        <v>0</v>
      </c>
      <c r="S228" s="320">
        <f t="shared" si="52"/>
        <v>0</v>
      </c>
    </row>
    <row r="229" spans="1:19">
      <c r="A229" s="153"/>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0</v>
      </c>
      <c r="R229" s="669">
        <f t="shared" si="51"/>
        <v>0</v>
      </c>
      <c r="S229" s="320">
        <f t="shared" si="52"/>
        <v>0</v>
      </c>
    </row>
    <row r="230" spans="1:19">
      <c r="A230" s="153"/>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0</v>
      </c>
      <c r="R230" s="669">
        <f t="shared" si="51"/>
        <v>0</v>
      </c>
      <c r="S230" s="320">
        <f t="shared" si="52"/>
        <v>0</v>
      </c>
    </row>
    <row r="231" spans="1:19">
      <c r="A231" s="153"/>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0</v>
      </c>
      <c r="R231" s="669">
        <f t="shared" si="51"/>
        <v>0</v>
      </c>
      <c r="S231" s="320">
        <f t="shared" si="52"/>
        <v>0</v>
      </c>
    </row>
    <row r="232" spans="1:19">
      <c r="A232" s="153"/>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0</v>
      </c>
      <c r="R232" s="669">
        <f t="shared" si="51"/>
        <v>0</v>
      </c>
      <c r="S232" s="320">
        <f t="shared" si="52"/>
        <v>0</v>
      </c>
    </row>
    <row r="233" spans="1:19">
      <c r="A233" s="153"/>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0</v>
      </c>
      <c r="R233" s="669">
        <f t="shared" si="51"/>
        <v>0</v>
      </c>
      <c r="S233" s="320">
        <f t="shared" si="52"/>
        <v>0</v>
      </c>
    </row>
    <row r="234" spans="1:19">
      <c r="A234" s="153"/>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0</v>
      </c>
      <c r="R234" s="669">
        <f t="shared" si="51"/>
        <v>0</v>
      </c>
      <c r="S234" s="320">
        <f t="shared" si="52"/>
        <v>0</v>
      </c>
    </row>
    <row r="235" spans="1:19">
      <c r="A235" s="153"/>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0</v>
      </c>
      <c r="R235" s="669">
        <f t="shared" si="51"/>
        <v>0</v>
      </c>
      <c r="S235" s="320">
        <f t="shared" si="52"/>
        <v>0</v>
      </c>
    </row>
    <row r="236" spans="1:19">
      <c r="A236" s="153"/>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0</v>
      </c>
      <c r="R236" s="669">
        <f t="shared" si="51"/>
        <v>0</v>
      </c>
      <c r="S236" s="320">
        <f t="shared" si="52"/>
        <v>0</v>
      </c>
    </row>
    <row r="237" spans="1:19">
      <c r="A237" s="153"/>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0</v>
      </c>
      <c r="R237" s="669">
        <f t="shared" si="51"/>
        <v>0</v>
      </c>
      <c r="S237" s="320">
        <f t="shared" si="52"/>
        <v>0</v>
      </c>
    </row>
    <row r="238" spans="1:19">
      <c r="A238" s="153"/>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0</v>
      </c>
      <c r="R238" s="669">
        <f t="shared" si="51"/>
        <v>0</v>
      </c>
      <c r="S238" s="320">
        <f t="shared" si="52"/>
        <v>0</v>
      </c>
    </row>
    <row r="239" spans="1:19">
      <c r="A239" s="153"/>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0</v>
      </c>
      <c r="R239" s="669">
        <f t="shared" si="51"/>
        <v>0</v>
      </c>
      <c r="S239" s="320">
        <f t="shared" si="52"/>
        <v>0</v>
      </c>
    </row>
    <row r="240" spans="1:19">
      <c r="A240" s="153"/>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0</v>
      </c>
      <c r="R240" s="669">
        <f t="shared" si="51"/>
        <v>0</v>
      </c>
      <c r="S240" s="320">
        <f t="shared" si="52"/>
        <v>0</v>
      </c>
    </row>
    <row r="241" spans="1:19">
      <c r="A241" s="153"/>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0</v>
      </c>
      <c r="R241" s="669">
        <f t="shared" si="51"/>
        <v>0</v>
      </c>
      <c r="S241" s="320">
        <f t="shared" si="52"/>
        <v>0</v>
      </c>
    </row>
    <row r="242" spans="1:19">
      <c r="A242" s="153"/>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0</v>
      </c>
      <c r="R242" s="669">
        <f t="shared" si="51"/>
        <v>0</v>
      </c>
      <c r="S242" s="320">
        <f t="shared" si="52"/>
        <v>0</v>
      </c>
    </row>
    <row r="243" spans="1:19">
      <c r="A243" s="153"/>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0</v>
      </c>
      <c r="R243" s="669">
        <f t="shared" si="51"/>
        <v>0</v>
      </c>
      <c r="S243" s="320">
        <f t="shared" si="52"/>
        <v>0</v>
      </c>
    </row>
    <row r="244" spans="1:19">
      <c r="A244" s="153"/>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0</v>
      </c>
      <c r="R244" s="669">
        <f t="shared" si="51"/>
        <v>0</v>
      </c>
      <c r="S244" s="320">
        <f t="shared" si="52"/>
        <v>0</v>
      </c>
    </row>
    <row r="245" spans="1:19">
      <c r="A245" s="153"/>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0</v>
      </c>
      <c r="R245" s="669">
        <f t="shared" si="51"/>
        <v>0</v>
      </c>
      <c r="S245" s="320">
        <f t="shared" si="52"/>
        <v>0</v>
      </c>
    </row>
    <row r="246" spans="1:19">
      <c r="A246" s="153"/>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0</v>
      </c>
      <c r="R246" s="669">
        <f t="shared" si="51"/>
        <v>0</v>
      </c>
      <c r="S246" s="320">
        <f t="shared" si="52"/>
        <v>0</v>
      </c>
    </row>
    <row r="247" spans="1:19">
      <c r="A247" s="153"/>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0</v>
      </c>
      <c r="R247" s="669">
        <f t="shared" si="51"/>
        <v>0</v>
      </c>
      <c r="S247" s="320">
        <f t="shared" si="52"/>
        <v>0</v>
      </c>
    </row>
    <row r="248" spans="1:19">
      <c r="A248" s="153"/>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0</v>
      </c>
      <c r="R248" s="669">
        <f t="shared" si="51"/>
        <v>0</v>
      </c>
      <c r="S248" s="320">
        <f t="shared" si="52"/>
        <v>0</v>
      </c>
    </row>
    <row r="249" spans="1:19">
      <c r="A249" s="153"/>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0</v>
      </c>
      <c r="R249" s="669">
        <f t="shared" si="51"/>
        <v>0</v>
      </c>
      <c r="S249" s="320">
        <f t="shared" si="52"/>
        <v>0</v>
      </c>
    </row>
    <row r="250" spans="1:19">
      <c r="A250" s="153"/>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0</v>
      </c>
      <c r="R250" s="669">
        <f t="shared" si="51"/>
        <v>0</v>
      </c>
      <c r="S250" s="320">
        <f t="shared" si="52"/>
        <v>0</v>
      </c>
    </row>
    <row r="251" spans="1:19">
      <c r="A251" s="153"/>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0</v>
      </c>
      <c r="R251" s="669">
        <f t="shared" si="51"/>
        <v>0</v>
      </c>
      <c r="S251" s="320">
        <f t="shared" si="52"/>
        <v>0</v>
      </c>
    </row>
    <row r="252" spans="1:19">
      <c r="A252" s="153"/>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0</v>
      </c>
      <c r="R252" s="669">
        <f t="shared" si="51"/>
        <v>0</v>
      </c>
      <c r="S252" s="320">
        <f t="shared" si="52"/>
        <v>0</v>
      </c>
    </row>
    <row r="253" spans="1:19">
      <c r="A253" s="153"/>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0</v>
      </c>
      <c r="R253" s="669">
        <f t="shared" si="51"/>
        <v>0</v>
      </c>
      <c r="S253" s="320">
        <f t="shared" si="52"/>
        <v>0</v>
      </c>
    </row>
    <row r="254" spans="1:19">
      <c r="A254" s="153"/>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0</v>
      </c>
      <c r="R254" s="669">
        <f t="shared" si="51"/>
        <v>0</v>
      </c>
      <c r="S254" s="320">
        <f t="shared" si="52"/>
        <v>0</v>
      </c>
    </row>
    <row r="255" spans="1:19">
      <c r="A255" s="153"/>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0</v>
      </c>
      <c r="R255" s="669">
        <f t="shared" si="51"/>
        <v>0</v>
      </c>
      <c r="S255" s="320">
        <f t="shared" si="52"/>
        <v>0</v>
      </c>
    </row>
    <row r="256" spans="1:19">
      <c r="A256" s="153"/>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0</v>
      </c>
      <c r="R256" s="669">
        <f t="shared" si="51"/>
        <v>0</v>
      </c>
      <c r="S256" s="320">
        <f t="shared" si="52"/>
        <v>0</v>
      </c>
    </row>
    <row r="257" spans="1:19">
      <c r="A257" s="153"/>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0</v>
      </c>
      <c r="R257" s="669">
        <f t="shared" si="51"/>
        <v>0</v>
      </c>
      <c r="S257" s="320">
        <f t="shared" si="52"/>
        <v>0</v>
      </c>
    </row>
    <row r="258" spans="1:19">
      <c r="A258" s="153"/>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0</v>
      </c>
      <c r="R258" s="669">
        <f t="shared" si="51"/>
        <v>0</v>
      </c>
      <c r="S258" s="320">
        <f t="shared" si="52"/>
        <v>0</v>
      </c>
    </row>
    <row r="259" spans="1:19">
      <c r="A259" s="153"/>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0</v>
      </c>
      <c r="R259" s="669">
        <f t="shared" si="51"/>
        <v>0</v>
      </c>
      <c r="S259" s="320">
        <f t="shared" si="52"/>
        <v>0</v>
      </c>
    </row>
    <row r="260" spans="1:19">
      <c r="A260" s="153"/>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0</v>
      </c>
      <c r="R260" s="669">
        <f t="shared" si="51"/>
        <v>0</v>
      </c>
      <c r="S260" s="320">
        <f t="shared" si="52"/>
        <v>0</v>
      </c>
    </row>
    <row r="261" spans="1:19">
      <c r="A261" s="153"/>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0</v>
      </c>
      <c r="R261" s="669">
        <f t="shared" si="51"/>
        <v>0</v>
      </c>
      <c r="S261" s="320">
        <f t="shared" si="52"/>
        <v>0</v>
      </c>
    </row>
    <row r="262" spans="1:19">
      <c r="A262" s="153"/>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0</v>
      </c>
      <c r="R262" s="669">
        <f t="shared" si="51"/>
        <v>0</v>
      </c>
      <c r="S262" s="320">
        <f t="shared" si="52"/>
        <v>0</v>
      </c>
    </row>
    <row r="263" spans="1:19">
      <c r="A263" s="153"/>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0</v>
      </c>
      <c r="R263" s="669">
        <f t="shared" si="51"/>
        <v>0</v>
      </c>
      <c r="S263" s="320">
        <f t="shared" si="52"/>
        <v>0</v>
      </c>
    </row>
    <row r="264" spans="1:19">
      <c r="A264" s="153"/>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0</v>
      </c>
      <c r="R264" s="669">
        <f t="shared" si="51"/>
        <v>0</v>
      </c>
      <c r="S264" s="320">
        <f t="shared" si="52"/>
        <v>0</v>
      </c>
    </row>
    <row r="265" spans="1:19">
      <c r="A265" s="153"/>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0</v>
      </c>
      <c r="R265" s="669">
        <f t="shared" si="51"/>
        <v>0</v>
      </c>
      <c r="S265" s="320">
        <f t="shared" si="52"/>
        <v>0</v>
      </c>
    </row>
    <row r="266" spans="1:19">
      <c r="A266" s="153"/>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0</v>
      </c>
      <c r="R266" s="669">
        <f t="shared" si="51"/>
        <v>0</v>
      </c>
      <c r="S266" s="320">
        <f t="shared" si="52"/>
        <v>0</v>
      </c>
    </row>
    <row r="267" spans="1:19">
      <c r="A267" s="153"/>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0</v>
      </c>
      <c r="R267" s="669">
        <f t="shared" si="51"/>
        <v>0</v>
      </c>
      <c r="S267" s="320">
        <f t="shared" si="52"/>
        <v>0</v>
      </c>
    </row>
    <row r="268" spans="1:19">
      <c r="A268" s="153"/>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0</v>
      </c>
      <c r="R268" s="669">
        <f t="shared" si="51"/>
        <v>0</v>
      </c>
      <c r="S268" s="320">
        <f t="shared" si="52"/>
        <v>0</v>
      </c>
    </row>
    <row r="269" spans="1:19">
      <c r="A269" s="153"/>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0</v>
      </c>
      <c r="R269" s="669">
        <f t="shared" si="51"/>
        <v>0</v>
      </c>
      <c r="S269" s="320">
        <f t="shared" si="52"/>
        <v>0</v>
      </c>
    </row>
    <row r="270" spans="1:19">
      <c r="A270" s="153"/>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0</v>
      </c>
      <c r="R270" s="669">
        <f t="shared" si="51"/>
        <v>0</v>
      </c>
      <c r="S270" s="320">
        <f t="shared" si="52"/>
        <v>0</v>
      </c>
    </row>
    <row r="271" spans="1:19">
      <c r="A271" s="153"/>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0</v>
      </c>
      <c r="R271" s="669">
        <f t="shared" si="51"/>
        <v>0</v>
      </c>
      <c r="S271" s="320">
        <f t="shared" si="52"/>
        <v>0</v>
      </c>
    </row>
    <row r="272" spans="1:19">
      <c r="A272" s="153"/>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0</v>
      </c>
      <c r="R272" s="669">
        <f t="shared" si="51"/>
        <v>0</v>
      </c>
      <c r="S272" s="320">
        <f t="shared" si="52"/>
        <v>0</v>
      </c>
    </row>
    <row r="273" spans="1:19">
      <c r="A273" s="153"/>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0</v>
      </c>
      <c r="R273" s="669">
        <f t="shared" si="51"/>
        <v>0</v>
      </c>
      <c r="S273" s="320">
        <f t="shared" si="52"/>
        <v>0</v>
      </c>
    </row>
    <row r="274" spans="1:19">
      <c r="A274" s="153"/>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0</v>
      </c>
      <c r="R274" s="669">
        <f t="shared" si="51"/>
        <v>0</v>
      </c>
      <c r="S274" s="320">
        <f t="shared" si="52"/>
        <v>0</v>
      </c>
    </row>
    <row r="275" spans="1:19">
      <c r="A275" s="153"/>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0</v>
      </c>
      <c r="R275" s="669">
        <f t="shared" si="51"/>
        <v>0</v>
      </c>
      <c r="S275" s="320">
        <f t="shared" si="52"/>
        <v>0</v>
      </c>
    </row>
    <row r="276" spans="1:19">
      <c r="A276" s="153"/>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0</v>
      </c>
      <c r="R276" s="669">
        <f t="shared" si="51"/>
        <v>0</v>
      </c>
      <c r="S276" s="320">
        <f t="shared" si="52"/>
        <v>0</v>
      </c>
    </row>
    <row r="277" spans="1:19">
      <c r="A277" s="153"/>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0</v>
      </c>
      <c r="R277" s="669">
        <f t="shared" si="51"/>
        <v>0</v>
      </c>
      <c r="S277" s="320">
        <f t="shared" si="52"/>
        <v>0</v>
      </c>
    </row>
    <row r="278" spans="1:19">
      <c r="A278" s="153"/>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0</v>
      </c>
      <c r="R278" s="669">
        <f t="shared" si="51"/>
        <v>0</v>
      </c>
      <c r="S278" s="320">
        <f t="shared" si="52"/>
        <v>0</v>
      </c>
    </row>
    <row r="279" spans="1:19">
      <c r="A279" s="153"/>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0</v>
      </c>
      <c r="R279" s="669">
        <f t="shared" si="51"/>
        <v>0</v>
      </c>
      <c r="S279" s="320">
        <f t="shared" si="52"/>
        <v>0</v>
      </c>
    </row>
    <row r="280" spans="1:19">
      <c r="A280" s="153"/>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0</v>
      </c>
      <c r="R280" s="669">
        <f t="shared" si="51"/>
        <v>0</v>
      </c>
      <c r="S280" s="320">
        <f t="shared" si="52"/>
        <v>0</v>
      </c>
    </row>
    <row r="281" spans="1:19">
      <c r="A281" s="153"/>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0</v>
      </c>
      <c r="R281" s="669">
        <f t="shared" si="51"/>
        <v>0</v>
      </c>
      <c r="S281" s="320">
        <f t="shared" si="52"/>
        <v>0</v>
      </c>
    </row>
    <row r="282" spans="1:19">
      <c r="A282" s="153"/>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0">
        <f t="shared" si="52"/>
        <v>0</v>
      </c>
    </row>
    <row r="283" spans="1:19">
      <c r="A283" s="153"/>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0</v>
      </c>
      <c r="R283" s="669">
        <f t="shared" si="61"/>
        <v>0</v>
      </c>
      <c r="S283" s="320">
        <f t="shared" si="52"/>
        <v>0</v>
      </c>
    </row>
    <row r="284" spans="1:19">
      <c r="A284" s="153"/>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0</v>
      </c>
      <c r="R284" s="669">
        <f t="shared" si="61"/>
        <v>0</v>
      </c>
      <c r="S284" s="320">
        <f t="shared" si="52"/>
        <v>0</v>
      </c>
    </row>
    <row r="285" spans="1:19">
      <c r="A285" s="153"/>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0</v>
      </c>
      <c r="R285" s="669">
        <f t="shared" si="61"/>
        <v>0</v>
      </c>
      <c r="S285" s="320">
        <f t="shared" si="52"/>
        <v>0</v>
      </c>
    </row>
    <row r="286" spans="1:19">
      <c r="A286" s="153"/>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0</v>
      </c>
      <c r="R286" s="669">
        <f t="shared" si="61"/>
        <v>0</v>
      </c>
      <c r="S286" s="320">
        <f t="shared" si="52"/>
        <v>0</v>
      </c>
    </row>
    <row r="287" spans="1:19">
      <c r="A287" s="153"/>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0</v>
      </c>
      <c r="R287" s="669">
        <f t="shared" si="61"/>
        <v>0</v>
      </c>
      <c r="S287" s="320">
        <f t="shared" ref="S287:S320" si="62">ROUND(R287*B287/10000,0)</f>
        <v>0</v>
      </c>
    </row>
    <row r="288" spans="1:19">
      <c r="A288" s="153"/>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0</v>
      </c>
      <c r="R288" s="669">
        <f t="shared" si="61"/>
        <v>0</v>
      </c>
      <c r="S288" s="320">
        <f t="shared" si="62"/>
        <v>0</v>
      </c>
    </row>
    <row r="289" spans="1:19">
      <c r="A289" s="153"/>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0</v>
      </c>
      <c r="R289" s="669">
        <f t="shared" si="61"/>
        <v>0</v>
      </c>
      <c r="S289" s="320">
        <f t="shared" si="62"/>
        <v>0</v>
      </c>
    </row>
    <row r="290" spans="1:19">
      <c r="A290" s="153"/>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0</v>
      </c>
      <c r="R290" s="669">
        <f t="shared" si="61"/>
        <v>0</v>
      </c>
      <c r="S290" s="320">
        <f t="shared" si="62"/>
        <v>0</v>
      </c>
    </row>
    <row r="291" spans="1:19">
      <c r="A291" s="153"/>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0</v>
      </c>
      <c r="R291" s="669">
        <f t="shared" si="61"/>
        <v>0</v>
      </c>
      <c r="S291" s="320">
        <f t="shared" si="62"/>
        <v>0</v>
      </c>
    </row>
    <row r="292" spans="1:19">
      <c r="A292" s="153"/>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0</v>
      </c>
      <c r="R292" s="669">
        <f t="shared" si="61"/>
        <v>0</v>
      </c>
      <c r="S292" s="320">
        <f t="shared" si="62"/>
        <v>0</v>
      </c>
    </row>
    <row r="293" spans="1:19">
      <c r="A293" s="153"/>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0</v>
      </c>
      <c r="R293" s="669">
        <f t="shared" si="61"/>
        <v>0</v>
      </c>
      <c r="S293" s="320">
        <f t="shared" si="62"/>
        <v>0</v>
      </c>
    </row>
    <row r="294" spans="1:19">
      <c r="A294" s="153"/>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0</v>
      </c>
      <c r="R294" s="669">
        <f t="shared" si="61"/>
        <v>0</v>
      </c>
      <c r="S294" s="320">
        <f t="shared" si="62"/>
        <v>0</v>
      </c>
    </row>
    <row r="295" spans="1:19">
      <c r="A295" s="153"/>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0</v>
      </c>
      <c r="R295" s="669">
        <f t="shared" si="61"/>
        <v>0</v>
      </c>
      <c r="S295" s="320">
        <f t="shared" si="62"/>
        <v>0</v>
      </c>
    </row>
    <row r="296" spans="1:19">
      <c r="A296" s="153"/>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0</v>
      </c>
      <c r="R296" s="669">
        <f t="shared" si="61"/>
        <v>0</v>
      </c>
      <c r="S296" s="320">
        <f t="shared" si="62"/>
        <v>0</v>
      </c>
    </row>
    <row r="297" spans="1:19">
      <c r="A297" s="153"/>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0</v>
      </c>
      <c r="R297" s="669">
        <f t="shared" si="61"/>
        <v>0</v>
      </c>
      <c r="S297" s="320">
        <f t="shared" si="62"/>
        <v>0</v>
      </c>
    </row>
    <row r="298" spans="1:19">
      <c r="A298" s="153"/>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0</v>
      </c>
      <c r="R298" s="669">
        <f t="shared" si="61"/>
        <v>0</v>
      </c>
      <c r="S298" s="320">
        <f t="shared" si="62"/>
        <v>0</v>
      </c>
    </row>
    <row r="299" spans="1:19">
      <c r="A299" s="153"/>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0</v>
      </c>
      <c r="R299" s="669">
        <f t="shared" si="61"/>
        <v>0</v>
      </c>
      <c r="S299" s="320">
        <f t="shared" si="62"/>
        <v>0</v>
      </c>
    </row>
    <row r="300" spans="1:19">
      <c r="A300" s="153"/>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0</v>
      </c>
      <c r="R300" s="669">
        <f t="shared" si="61"/>
        <v>0</v>
      </c>
      <c r="S300" s="320">
        <f t="shared" si="62"/>
        <v>0</v>
      </c>
    </row>
    <row r="301" spans="1:19">
      <c r="A301" s="153"/>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0</v>
      </c>
      <c r="R301" s="669">
        <f t="shared" si="61"/>
        <v>0</v>
      </c>
      <c r="S301" s="320">
        <f t="shared" si="62"/>
        <v>0</v>
      </c>
    </row>
    <row r="302" spans="1:19">
      <c r="A302" s="153"/>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0</v>
      </c>
      <c r="R302" s="669">
        <f t="shared" si="61"/>
        <v>0</v>
      </c>
      <c r="S302" s="320">
        <f t="shared" si="62"/>
        <v>0</v>
      </c>
    </row>
    <row r="303" spans="1:19">
      <c r="A303" s="153"/>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0</v>
      </c>
      <c r="R303" s="669">
        <f t="shared" si="61"/>
        <v>0</v>
      </c>
      <c r="S303" s="320">
        <f t="shared" si="62"/>
        <v>0</v>
      </c>
    </row>
    <row r="304" spans="1:19">
      <c r="A304" s="153"/>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0</v>
      </c>
      <c r="R304" s="669">
        <f t="shared" si="61"/>
        <v>0</v>
      </c>
      <c r="S304" s="320">
        <f t="shared" si="62"/>
        <v>0</v>
      </c>
    </row>
    <row r="305" spans="1:19">
      <c r="A305" s="153"/>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0</v>
      </c>
      <c r="R305" s="669">
        <f t="shared" si="61"/>
        <v>0</v>
      </c>
      <c r="S305" s="320">
        <f t="shared" si="62"/>
        <v>0</v>
      </c>
    </row>
    <row r="306" spans="1:19">
      <c r="A306" s="153"/>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0</v>
      </c>
      <c r="R306" s="669">
        <f t="shared" si="61"/>
        <v>0</v>
      </c>
      <c r="S306" s="320">
        <f t="shared" si="62"/>
        <v>0</v>
      </c>
    </row>
    <row r="307" spans="1:19">
      <c r="A307" s="153"/>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0</v>
      </c>
      <c r="R307" s="669">
        <f t="shared" si="61"/>
        <v>0</v>
      </c>
      <c r="S307" s="320">
        <f t="shared" si="62"/>
        <v>0</v>
      </c>
    </row>
    <row r="308" spans="1:19">
      <c r="A308" s="153"/>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0</v>
      </c>
      <c r="R308" s="669">
        <f t="shared" si="61"/>
        <v>0</v>
      </c>
      <c r="S308" s="320">
        <f t="shared" si="62"/>
        <v>0</v>
      </c>
    </row>
    <row r="309" spans="1:19">
      <c r="A309" s="153"/>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0</v>
      </c>
      <c r="R309" s="669">
        <f t="shared" si="61"/>
        <v>0</v>
      </c>
      <c r="S309" s="320">
        <f t="shared" si="62"/>
        <v>0</v>
      </c>
    </row>
    <row r="310" spans="1:19">
      <c r="A310" s="153"/>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0</v>
      </c>
      <c r="R310" s="669">
        <f t="shared" si="61"/>
        <v>0</v>
      </c>
      <c r="S310" s="320">
        <f t="shared" si="62"/>
        <v>0</v>
      </c>
    </row>
    <row r="311" spans="1:19">
      <c r="A311" s="153"/>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0</v>
      </c>
      <c r="R311" s="669">
        <f t="shared" si="61"/>
        <v>0</v>
      </c>
      <c r="S311" s="320">
        <f t="shared" si="62"/>
        <v>0</v>
      </c>
    </row>
    <row r="312" spans="1:19">
      <c r="A312" s="153"/>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0</v>
      </c>
      <c r="R312" s="669">
        <f t="shared" si="61"/>
        <v>0</v>
      </c>
      <c r="S312" s="320">
        <f t="shared" si="62"/>
        <v>0</v>
      </c>
    </row>
    <row r="313" spans="1:19">
      <c r="A313" s="153"/>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0</v>
      </c>
      <c r="R313" s="669">
        <f t="shared" si="61"/>
        <v>0</v>
      </c>
      <c r="S313" s="320">
        <f t="shared" si="62"/>
        <v>0</v>
      </c>
    </row>
    <row r="314" spans="1:19">
      <c r="A314" s="153"/>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0</v>
      </c>
      <c r="R314" s="669">
        <f t="shared" si="61"/>
        <v>0</v>
      </c>
      <c r="S314" s="320">
        <f t="shared" si="62"/>
        <v>0</v>
      </c>
    </row>
    <row r="315" spans="1:19">
      <c r="A315" s="153"/>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0</v>
      </c>
      <c r="R315" s="669">
        <f t="shared" si="61"/>
        <v>0</v>
      </c>
      <c r="S315" s="320">
        <f t="shared" si="62"/>
        <v>0</v>
      </c>
    </row>
    <row r="316" spans="1:19">
      <c r="A316" s="153"/>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0</v>
      </c>
      <c r="R316" s="669">
        <f t="shared" si="61"/>
        <v>0</v>
      </c>
      <c r="S316" s="320">
        <f t="shared" si="62"/>
        <v>0</v>
      </c>
    </row>
    <row r="317" spans="1:19">
      <c r="A317" s="153"/>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0</v>
      </c>
      <c r="R317" s="669">
        <f t="shared" si="61"/>
        <v>0</v>
      </c>
      <c r="S317" s="320">
        <f t="shared" si="62"/>
        <v>0</v>
      </c>
    </row>
    <row r="318" spans="1:19">
      <c r="A318" s="153"/>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0</v>
      </c>
      <c r="R318" s="669">
        <f t="shared" si="61"/>
        <v>0</v>
      </c>
      <c r="S318" s="320">
        <f t="shared" si="62"/>
        <v>0</v>
      </c>
    </row>
    <row r="319" spans="1:19">
      <c r="A319" s="153"/>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0</v>
      </c>
      <c r="R319" s="669">
        <f t="shared" si="61"/>
        <v>0</v>
      </c>
      <c r="S319" s="320">
        <f t="shared" si="62"/>
        <v>0</v>
      </c>
    </row>
    <row r="320" spans="1:19">
      <c r="A320" s="153"/>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0</v>
      </c>
      <c r="R320" s="669">
        <f t="shared" si="61"/>
        <v>0</v>
      </c>
      <c r="S320" s="320">
        <f t="shared" si="62"/>
        <v>0</v>
      </c>
    </row>
    <row r="321" spans="1:19">
      <c r="A321" s="153"/>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0</v>
      </c>
      <c r="R321" s="669">
        <f t="shared" si="61"/>
        <v>0</v>
      </c>
      <c r="S321" s="320">
        <f t="shared" ref="S321:S384" si="63">ROUND(R321*B321/10000,0)</f>
        <v>0</v>
      </c>
    </row>
    <row r="322" spans="1:19">
      <c r="A322" s="153"/>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0</v>
      </c>
      <c r="R322" s="669">
        <f t="shared" si="61"/>
        <v>0</v>
      </c>
      <c r="S322" s="320">
        <f t="shared" si="63"/>
        <v>0</v>
      </c>
    </row>
    <row r="323" spans="1:19">
      <c r="A323" s="153"/>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0</v>
      </c>
      <c r="R323" s="669">
        <f t="shared" si="61"/>
        <v>0</v>
      </c>
      <c r="S323" s="320">
        <f t="shared" si="63"/>
        <v>0</v>
      </c>
    </row>
    <row r="324" spans="1:19">
      <c r="A324" s="153"/>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0</v>
      </c>
      <c r="R324" s="669">
        <f t="shared" si="61"/>
        <v>0</v>
      </c>
      <c r="S324" s="320">
        <f t="shared" si="63"/>
        <v>0</v>
      </c>
    </row>
    <row r="325" spans="1:19">
      <c r="A325" s="153"/>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0</v>
      </c>
      <c r="R325" s="669">
        <f t="shared" si="61"/>
        <v>0</v>
      </c>
      <c r="S325" s="320">
        <f t="shared" si="63"/>
        <v>0</v>
      </c>
    </row>
    <row r="326" spans="1:19">
      <c r="A326" s="153"/>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0</v>
      </c>
      <c r="R326" s="669">
        <f t="shared" si="61"/>
        <v>0</v>
      </c>
      <c r="S326" s="320">
        <f t="shared" si="63"/>
        <v>0</v>
      </c>
    </row>
    <row r="327" spans="1:19">
      <c r="A327" s="153"/>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0</v>
      </c>
      <c r="R327" s="669">
        <f t="shared" si="61"/>
        <v>0</v>
      </c>
      <c r="S327" s="320">
        <f t="shared" si="63"/>
        <v>0</v>
      </c>
    </row>
    <row r="328" spans="1:19">
      <c r="A328" s="153"/>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0</v>
      </c>
      <c r="R328" s="669">
        <f t="shared" si="61"/>
        <v>0</v>
      </c>
      <c r="S328" s="320">
        <f t="shared" si="63"/>
        <v>0</v>
      </c>
    </row>
    <row r="329" spans="1:19">
      <c r="A329" s="153"/>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0</v>
      </c>
      <c r="R329" s="669">
        <f t="shared" si="61"/>
        <v>0</v>
      </c>
      <c r="S329" s="320">
        <f t="shared" si="63"/>
        <v>0</v>
      </c>
    </row>
    <row r="330" spans="1:19">
      <c r="A330" s="153"/>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0</v>
      </c>
      <c r="R330" s="669">
        <f t="shared" si="61"/>
        <v>0</v>
      </c>
      <c r="S330" s="320">
        <f t="shared" si="63"/>
        <v>0</v>
      </c>
    </row>
    <row r="331" spans="1:19">
      <c r="A331" s="153"/>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0</v>
      </c>
      <c r="R331" s="669">
        <f t="shared" si="61"/>
        <v>0</v>
      </c>
      <c r="S331" s="320">
        <f t="shared" si="63"/>
        <v>0</v>
      </c>
    </row>
    <row r="332" spans="1:19">
      <c r="A332" s="153"/>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0</v>
      </c>
      <c r="R332" s="669">
        <f t="shared" si="61"/>
        <v>0</v>
      </c>
      <c r="S332" s="320">
        <f t="shared" si="63"/>
        <v>0</v>
      </c>
    </row>
    <row r="333" spans="1:19">
      <c r="A333" s="153"/>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0</v>
      </c>
      <c r="R333" s="669">
        <f t="shared" si="61"/>
        <v>0</v>
      </c>
      <c r="S333" s="320">
        <f t="shared" si="63"/>
        <v>0</v>
      </c>
    </row>
    <row r="334" spans="1:19">
      <c r="A334" s="153"/>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0</v>
      </c>
      <c r="R334" s="669">
        <f t="shared" si="61"/>
        <v>0</v>
      </c>
      <c r="S334" s="320">
        <f t="shared" si="63"/>
        <v>0</v>
      </c>
    </row>
    <row r="335" spans="1:19">
      <c r="A335" s="153"/>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0</v>
      </c>
      <c r="R335" s="669">
        <f t="shared" si="61"/>
        <v>0</v>
      </c>
      <c r="S335" s="320">
        <f t="shared" si="63"/>
        <v>0</v>
      </c>
    </row>
    <row r="336" spans="1:19">
      <c r="A336" s="153"/>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0</v>
      </c>
      <c r="R336" s="669">
        <f t="shared" si="61"/>
        <v>0</v>
      </c>
      <c r="S336" s="320">
        <f t="shared" si="63"/>
        <v>0</v>
      </c>
    </row>
    <row r="337" spans="1:19">
      <c r="A337" s="153"/>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0</v>
      </c>
      <c r="R337" s="669">
        <f t="shared" si="61"/>
        <v>0</v>
      </c>
      <c r="S337" s="320">
        <f t="shared" si="63"/>
        <v>0</v>
      </c>
    </row>
    <row r="338" spans="1:19">
      <c r="A338" s="153"/>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0</v>
      </c>
      <c r="R338" s="669">
        <f t="shared" si="61"/>
        <v>0</v>
      </c>
      <c r="S338" s="320">
        <f t="shared" si="63"/>
        <v>0</v>
      </c>
    </row>
    <row r="339" spans="1:19">
      <c r="A339" s="153"/>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0</v>
      </c>
      <c r="R339" s="669">
        <f t="shared" si="61"/>
        <v>0</v>
      </c>
      <c r="S339" s="320">
        <f t="shared" si="63"/>
        <v>0</v>
      </c>
    </row>
    <row r="340" spans="1:19">
      <c r="A340" s="153"/>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0</v>
      </c>
      <c r="R340" s="669">
        <f t="shared" si="61"/>
        <v>0</v>
      </c>
      <c r="S340" s="320">
        <f t="shared" si="63"/>
        <v>0</v>
      </c>
    </row>
    <row r="341" spans="1:19">
      <c r="A341" s="153"/>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0</v>
      </c>
      <c r="R341" s="669">
        <f t="shared" si="61"/>
        <v>0</v>
      </c>
      <c r="S341" s="320">
        <f t="shared" si="63"/>
        <v>0</v>
      </c>
    </row>
    <row r="342" spans="1:19">
      <c r="A342" s="153"/>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0</v>
      </c>
      <c r="R342" s="669">
        <f t="shared" si="61"/>
        <v>0</v>
      </c>
      <c r="S342" s="320">
        <f t="shared" si="63"/>
        <v>0</v>
      </c>
    </row>
    <row r="343" spans="1:19">
      <c r="A343" s="153"/>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0</v>
      </c>
      <c r="R343" s="669">
        <f t="shared" si="61"/>
        <v>0</v>
      </c>
      <c r="S343" s="320">
        <f t="shared" si="63"/>
        <v>0</v>
      </c>
    </row>
    <row r="344" spans="1:19">
      <c r="A344" s="153"/>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0</v>
      </c>
      <c r="R344" s="669">
        <f t="shared" si="61"/>
        <v>0</v>
      </c>
      <c r="S344" s="320">
        <f t="shared" si="63"/>
        <v>0</v>
      </c>
    </row>
    <row r="345" spans="1:19">
      <c r="A345" s="153"/>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0</v>
      </c>
      <c r="R345" s="669">
        <f t="shared" si="61"/>
        <v>0</v>
      </c>
      <c r="S345" s="320">
        <f t="shared" si="63"/>
        <v>0</v>
      </c>
    </row>
    <row r="346" spans="1:19">
      <c r="A346" s="153"/>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0">
        <f t="shared" si="63"/>
        <v>0</v>
      </c>
    </row>
    <row r="347" spans="1:19">
      <c r="A347" s="153"/>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0</v>
      </c>
      <c r="R347" s="669">
        <f t="shared" si="72"/>
        <v>0</v>
      </c>
      <c r="S347" s="320">
        <f t="shared" si="63"/>
        <v>0</v>
      </c>
    </row>
    <row r="348" spans="1:19">
      <c r="A348" s="153"/>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0</v>
      </c>
      <c r="R348" s="669">
        <f t="shared" si="72"/>
        <v>0</v>
      </c>
      <c r="S348" s="320">
        <f t="shared" si="63"/>
        <v>0</v>
      </c>
    </row>
    <row r="349" spans="1:19">
      <c r="A349" s="153"/>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0</v>
      </c>
      <c r="R349" s="669">
        <f t="shared" si="72"/>
        <v>0</v>
      </c>
      <c r="S349" s="320">
        <f t="shared" si="63"/>
        <v>0</v>
      </c>
    </row>
    <row r="350" spans="1:19">
      <c r="A350" s="153"/>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0</v>
      </c>
      <c r="R350" s="669">
        <f t="shared" si="72"/>
        <v>0</v>
      </c>
      <c r="S350" s="320">
        <f t="shared" si="63"/>
        <v>0</v>
      </c>
    </row>
    <row r="351" spans="1:19">
      <c r="A351" s="153"/>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0</v>
      </c>
      <c r="R351" s="669">
        <f t="shared" si="72"/>
        <v>0</v>
      </c>
      <c r="S351" s="320">
        <f t="shared" si="63"/>
        <v>0</v>
      </c>
    </row>
    <row r="352" spans="1:19">
      <c r="A352" s="153"/>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0</v>
      </c>
      <c r="R352" s="669">
        <f t="shared" si="72"/>
        <v>0</v>
      </c>
      <c r="S352" s="320">
        <f t="shared" si="63"/>
        <v>0</v>
      </c>
    </row>
    <row r="353" spans="1:19">
      <c r="A353" s="153"/>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0</v>
      </c>
      <c r="R353" s="669">
        <f t="shared" si="72"/>
        <v>0</v>
      </c>
      <c r="S353" s="320">
        <f t="shared" si="63"/>
        <v>0</v>
      </c>
    </row>
    <row r="354" spans="1:19">
      <c r="A354" s="153"/>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0</v>
      </c>
      <c r="R354" s="669">
        <f t="shared" si="72"/>
        <v>0</v>
      </c>
      <c r="S354" s="320">
        <f t="shared" si="63"/>
        <v>0</v>
      </c>
    </row>
    <row r="355" spans="1:19">
      <c r="A355" s="153"/>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0</v>
      </c>
      <c r="R355" s="669">
        <f t="shared" si="72"/>
        <v>0</v>
      </c>
      <c r="S355" s="320">
        <f t="shared" si="63"/>
        <v>0</v>
      </c>
    </row>
    <row r="356" spans="1:19">
      <c r="A356" s="153"/>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0</v>
      </c>
      <c r="R356" s="669">
        <f t="shared" si="72"/>
        <v>0</v>
      </c>
      <c r="S356" s="320">
        <f t="shared" si="63"/>
        <v>0</v>
      </c>
    </row>
    <row r="357" spans="1:19">
      <c r="A357" s="153"/>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0</v>
      </c>
      <c r="R357" s="669">
        <f t="shared" si="72"/>
        <v>0</v>
      </c>
      <c r="S357" s="320">
        <f t="shared" si="63"/>
        <v>0</v>
      </c>
    </row>
    <row r="358" spans="1:19">
      <c r="A358" s="153"/>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0</v>
      </c>
      <c r="R358" s="669">
        <f t="shared" si="72"/>
        <v>0</v>
      </c>
      <c r="S358" s="320">
        <f t="shared" si="63"/>
        <v>0</v>
      </c>
    </row>
    <row r="359" spans="1:19">
      <c r="A359" s="153"/>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0</v>
      </c>
      <c r="R359" s="669">
        <f t="shared" si="72"/>
        <v>0</v>
      </c>
      <c r="S359" s="320">
        <f t="shared" si="63"/>
        <v>0</v>
      </c>
    </row>
    <row r="360" spans="1:19">
      <c r="A360" s="153"/>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0</v>
      </c>
      <c r="R360" s="669">
        <f t="shared" si="72"/>
        <v>0</v>
      </c>
      <c r="S360" s="320">
        <f t="shared" si="63"/>
        <v>0</v>
      </c>
    </row>
    <row r="361" spans="1:19">
      <c r="A361" s="153"/>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0</v>
      </c>
      <c r="R361" s="669">
        <f t="shared" si="72"/>
        <v>0</v>
      </c>
      <c r="S361" s="320">
        <f t="shared" si="63"/>
        <v>0</v>
      </c>
    </row>
    <row r="362" spans="1:19">
      <c r="A362" s="153"/>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0</v>
      </c>
      <c r="R362" s="669">
        <f t="shared" si="72"/>
        <v>0</v>
      </c>
      <c r="S362" s="320">
        <f t="shared" si="63"/>
        <v>0</v>
      </c>
    </row>
    <row r="363" spans="1:19">
      <c r="A363" s="153"/>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0</v>
      </c>
      <c r="R363" s="669">
        <f t="shared" si="72"/>
        <v>0</v>
      </c>
      <c r="S363" s="320">
        <f t="shared" si="63"/>
        <v>0</v>
      </c>
    </row>
    <row r="364" spans="1:19">
      <c r="A364" s="153"/>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0</v>
      </c>
      <c r="R364" s="669">
        <f t="shared" si="72"/>
        <v>0</v>
      </c>
      <c r="S364" s="320">
        <f t="shared" si="63"/>
        <v>0</v>
      </c>
    </row>
    <row r="365" spans="1:19">
      <c r="A365" s="153"/>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0</v>
      </c>
      <c r="R365" s="669">
        <f t="shared" si="72"/>
        <v>0</v>
      </c>
      <c r="S365" s="320">
        <f t="shared" si="63"/>
        <v>0</v>
      </c>
    </row>
    <row r="366" spans="1:19">
      <c r="A366" s="153"/>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0</v>
      </c>
      <c r="R366" s="669">
        <f t="shared" si="72"/>
        <v>0</v>
      </c>
      <c r="S366" s="320">
        <f t="shared" si="63"/>
        <v>0</v>
      </c>
    </row>
    <row r="367" spans="1:19">
      <c r="A367" s="153"/>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0</v>
      </c>
      <c r="R367" s="669">
        <f t="shared" si="72"/>
        <v>0</v>
      </c>
      <c r="S367" s="320">
        <f t="shared" si="63"/>
        <v>0</v>
      </c>
    </row>
    <row r="368" spans="1:19">
      <c r="A368" s="153"/>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0</v>
      </c>
      <c r="R368" s="669">
        <f t="shared" si="72"/>
        <v>0</v>
      </c>
      <c r="S368" s="320">
        <f t="shared" si="63"/>
        <v>0</v>
      </c>
    </row>
    <row r="369" spans="1:19">
      <c r="A369" s="153"/>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0</v>
      </c>
      <c r="R369" s="669">
        <f t="shared" si="72"/>
        <v>0</v>
      </c>
      <c r="S369" s="320">
        <f t="shared" si="63"/>
        <v>0</v>
      </c>
    </row>
    <row r="370" spans="1:19">
      <c r="A370" s="153"/>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0</v>
      </c>
      <c r="R370" s="669">
        <f t="shared" si="72"/>
        <v>0</v>
      </c>
      <c r="S370" s="320">
        <f t="shared" si="63"/>
        <v>0</v>
      </c>
    </row>
    <row r="371" spans="1:19">
      <c r="A371" s="153"/>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0</v>
      </c>
      <c r="R371" s="669">
        <f t="shared" si="72"/>
        <v>0</v>
      </c>
      <c r="S371" s="320">
        <f t="shared" si="63"/>
        <v>0</v>
      </c>
    </row>
    <row r="372" spans="1:19">
      <c r="A372" s="153"/>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0</v>
      </c>
      <c r="R372" s="669">
        <f t="shared" si="72"/>
        <v>0</v>
      </c>
      <c r="S372" s="320">
        <f t="shared" si="63"/>
        <v>0</v>
      </c>
    </row>
    <row r="373" spans="1:19">
      <c r="A373" s="153"/>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0</v>
      </c>
      <c r="R373" s="669">
        <f t="shared" si="72"/>
        <v>0</v>
      </c>
      <c r="S373" s="320">
        <f t="shared" si="63"/>
        <v>0</v>
      </c>
    </row>
    <row r="374" spans="1:19">
      <c r="A374" s="153"/>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0</v>
      </c>
      <c r="R374" s="669">
        <f t="shared" si="72"/>
        <v>0</v>
      </c>
      <c r="S374" s="320">
        <f t="shared" si="63"/>
        <v>0</v>
      </c>
    </row>
    <row r="375" spans="1:19">
      <c r="A375" s="153"/>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0</v>
      </c>
      <c r="R375" s="669">
        <f t="shared" si="72"/>
        <v>0</v>
      </c>
      <c r="S375" s="320">
        <f t="shared" si="63"/>
        <v>0</v>
      </c>
    </row>
    <row r="376" spans="1:19">
      <c r="A376" s="153"/>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0</v>
      </c>
      <c r="R376" s="669">
        <f t="shared" si="72"/>
        <v>0</v>
      </c>
      <c r="S376" s="320">
        <f t="shared" si="63"/>
        <v>0</v>
      </c>
    </row>
    <row r="377" spans="1:19">
      <c r="A377" s="153"/>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0</v>
      </c>
      <c r="R377" s="669">
        <f t="shared" si="72"/>
        <v>0</v>
      </c>
      <c r="S377" s="320">
        <f t="shared" si="63"/>
        <v>0</v>
      </c>
    </row>
    <row r="378" spans="1:19">
      <c r="A378" s="153"/>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0</v>
      </c>
      <c r="R378" s="669">
        <f t="shared" si="72"/>
        <v>0</v>
      </c>
      <c r="S378" s="320">
        <f t="shared" si="63"/>
        <v>0</v>
      </c>
    </row>
    <row r="379" spans="1:19">
      <c r="A379" s="153"/>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0</v>
      </c>
      <c r="R379" s="669">
        <f t="shared" si="72"/>
        <v>0</v>
      </c>
      <c r="S379" s="320">
        <f t="shared" si="63"/>
        <v>0</v>
      </c>
    </row>
    <row r="380" spans="1:19">
      <c r="A380" s="153"/>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0</v>
      </c>
      <c r="R380" s="669">
        <f t="shared" si="72"/>
        <v>0</v>
      </c>
      <c r="S380" s="320">
        <f t="shared" si="63"/>
        <v>0</v>
      </c>
    </row>
    <row r="381" spans="1:19">
      <c r="A381" s="153"/>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0</v>
      </c>
      <c r="R381" s="669">
        <f t="shared" si="72"/>
        <v>0</v>
      </c>
      <c r="S381" s="320">
        <f t="shared" si="63"/>
        <v>0</v>
      </c>
    </row>
    <row r="382" spans="1:19">
      <c r="A382" s="153"/>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0</v>
      </c>
      <c r="R382" s="669">
        <f t="shared" si="72"/>
        <v>0</v>
      </c>
      <c r="S382" s="320">
        <f t="shared" si="63"/>
        <v>0</v>
      </c>
    </row>
    <row r="383" spans="1:19">
      <c r="A383" s="153"/>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0</v>
      </c>
      <c r="R383" s="669">
        <f t="shared" si="72"/>
        <v>0</v>
      </c>
      <c r="S383" s="320">
        <f t="shared" si="63"/>
        <v>0</v>
      </c>
    </row>
    <row r="384" spans="1:19">
      <c r="A384" s="153"/>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0</v>
      </c>
      <c r="R384" s="669">
        <f t="shared" si="72"/>
        <v>0</v>
      </c>
      <c r="S384" s="320">
        <f t="shared" si="63"/>
        <v>0</v>
      </c>
    </row>
    <row r="385" spans="1:19">
      <c r="A385" s="153"/>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0</v>
      </c>
      <c r="R385" s="669">
        <f t="shared" si="72"/>
        <v>0</v>
      </c>
      <c r="S385" s="320">
        <f t="shared" ref="S385:S422" si="73">ROUND(R385*B385/10000,0)</f>
        <v>0</v>
      </c>
    </row>
    <row r="386" spans="1:19">
      <c r="A386" s="153"/>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0</v>
      </c>
      <c r="R386" s="669">
        <f t="shared" si="72"/>
        <v>0</v>
      </c>
      <c r="S386" s="320">
        <f t="shared" si="73"/>
        <v>0</v>
      </c>
    </row>
    <row r="387" spans="1:19">
      <c r="A387" s="153"/>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0</v>
      </c>
      <c r="R387" s="669">
        <f t="shared" si="72"/>
        <v>0</v>
      </c>
      <c r="S387" s="320">
        <f t="shared" si="73"/>
        <v>0</v>
      </c>
    </row>
    <row r="388" spans="1:19">
      <c r="A388" s="153"/>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0</v>
      </c>
      <c r="R388" s="669">
        <f t="shared" si="72"/>
        <v>0</v>
      </c>
      <c r="S388" s="320">
        <f t="shared" si="73"/>
        <v>0</v>
      </c>
    </row>
    <row r="389" spans="1:19">
      <c r="A389" s="153"/>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0</v>
      </c>
      <c r="R389" s="669">
        <f t="shared" si="72"/>
        <v>0</v>
      </c>
      <c r="S389" s="320">
        <f t="shared" si="73"/>
        <v>0</v>
      </c>
    </row>
    <row r="390" spans="1:19">
      <c r="A390" s="153"/>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0</v>
      </c>
      <c r="R390" s="669">
        <f t="shared" si="72"/>
        <v>0</v>
      </c>
      <c r="S390" s="320">
        <f t="shared" si="73"/>
        <v>0</v>
      </c>
    </row>
    <row r="391" spans="1:19">
      <c r="A391" s="153"/>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0</v>
      </c>
      <c r="R391" s="669">
        <f t="shared" si="72"/>
        <v>0</v>
      </c>
      <c r="S391" s="320">
        <f t="shared" si="73"/>
        <v>0</v>
      </c>
    </row>
    <row r="392" spans="1:19">
      <c r="A392" s="153"/>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0</v>
      </c>
      <c r="R392" s="669">
        <f t="shared" si="72"/>
        <v>0</v>
      </c>
      <c r="S392" s="320">
        <f t="shared" si="73"/>
        <v>0</v>
      </c>
    </row>
    <row r="393" spans="1:19">
      <c r="A393" s="153"/>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0</v>
      </c>
      <c r="R393" s="669">
        <f t="shared" si="72"/>
        <v>0</v>
      </c>
      <c r="S393" s="320">
        <f t="shared" si="73"/>
        <v>0</v>
      </c>
    </row>
    <row r="394" spans="1:19">
      <c r="A394" s="153"/>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0</v>
      </c>
      <c r="R394" s="669">
        <f t="shared" si="72"/>
        <v>0</v>
      </c>
      <c r="S394" s="320">
        <f t="shared" si="73"/>
        <v>0</v>
      </c>
    </row>
    <row r="395" spans="1:19">
      <c r="A395" s="153"/>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0</v>
      </c>
      <c r="R395" s="669">
        <f t="shared" si="72"/>
        <v>0</v>
      </c>
      <c r="S395" s="320">
        <f t="shared" si="73"/>
        <v>0</v>
      </c>
    </row>
    <row r="396" spans="1:19">
      <c r="A396" s="153"/>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0</v>
      </c>
      <c r="R396" s="669">
        <f t="shared" si="72"/>
        <v>0</v>
      </c>
      <c r="S396" s="320">
        <f t="shared" si="73"/>
        <v>0</v>
      </c>
    </row>
    <row r="397" spans="1:19">
      <c r="A397" s="153"/>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0</v>
      </c>
      <c r="R397" s="669">
        <f t="shared" si="72"/>
        <v>0</v>
      </c>
      <c r="S397" s="320">
        <f t="shared" si="73"/>
        <v>0</v>
      </c>
    </row>
    <row r="398" spans="1:19">
      <c r="A398" s="153"/>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0</v>
      </c>
      <c r="R398" s="669">
        <f t="shared" si="72"/>
        <v>0</v>
      </c>
      <c r="S398" s="320">
        <f t="shared" si="73"/>
        <v>0</v>
      </c>
    </row>
    <row r="399" spans="1:19">
      <c r="A399" s="153"/>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0</v>
      </c>
      <c r="R399" s="669">
        <f t="shared" si="72"/>
        <v>0</v>
      </c>
      <c r="S399" s="320">
        <f t="shared" si="73"/>
        <v>0</v>
      </c>
    </row>
    <row r="400" spans="1:19">
      <c r="A400" s="153"/>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0</v>
      </c>
      <c r="R400" s="669">
        <f t="shared" si="72"/>
        <v>0</v>
      </c>
      <c r="S400" s="320">
        <f t="shared" si="73"/>
        <v>0</v>
      </c>
    </row>
    <row r="401" spans="1:19">
      <c r="A401" s="153"/>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0</v>
      </c>
      <c r="R401" s="669">
        <f t="shared" si="72"/>
        <v>0</v>
      </c>
      <c r="S401" s="320">
        <f t="shared" si="73"/>
        <v>0</v>
      </c>
    </row>
    <row r="402" spans="1:19">
      <c r="A402" s="153"/>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0</v>
      </c>
      <c r="R402" s="669">
        <f t="shared" si="72"/>
        <v>0</v>
      </c>
      <c r="S402" s="320">
        <f t="shared" si="73"/>
        <v>0</v>
      </c>
    </row>
    <row r="403" spans="1:19">
      <c r="A403" s="153"/>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0</v>
      </c>
      <c r="R403" s="669">
        <f t="shared" si="72"/>
        <v>0</v>
      </c>
      <c r="S403" s="320">
        <f t="shared" si="73"/>
        <v>0</v>
      </c>
    </row>
    <row r="404" spans="1:19">
      <c r="A404" s="153"/>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0</v>
      </c>
      <c r="R404" s="669">
        <f t="shared" si="72"/>
        <v>0</v>
      </c>
      <c r="S404" s="320">
        <f t="shared" si="73"/>
        <v>0</v>
      </c>
    </row>
    <row r="405" spans="1:19">
      <c r="A405" s="153"/>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0</v>
      </c>
      <c r="R405" s="669">
        <f t="shared" si="72"/>
        <v>0</v>
      </c>
      <c r="S405" s="320">
        <f t="shared" si="73"/>
        <v>0</v>
      </c>
    </row>
    <row r="406" spans="1:19">
      <c r="A406" s="153"/>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0</v>
      </c>
      <c r="R406" s="669">
        <f t="shared" si="72"/>
        <v>0</v>
      </c>
      <c r="S406" s="320">
        <f t="shared" si="73"/>
        <v>0</v>
      </c>
    </row>
    <row r="407" spans="1:19">
      <c r="A407" s="153"/>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0</v>
      </c>
      <c r="R407" s="669">
        <f t="shared" si="72"/>
        <v>0</v>
      </c>
      <c r="S407" s="320">
        <f t="shared" si="73"/>
        <v>0</v>
      </c>
    </row>
    <row r="408" spans="1:19">
      <c r="A408" s="153"/>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0</v>
      </c>
      <c r="R408" s="669">
        <f t="shared" si="72"/>
        <v>0</v>
      </c>
      <c r="S408" s="320">
        <f t="shared" si="73"/>
        <v>0</v>
      </c>
    </row>
    <row r="409" spans="1:19">
      <c r="A409" s="153"/>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0</v>
      </c>
      <c r="R409" s="669">
        <f t="shared" si="72"/>
        <v>0</v>
      </c>
      <c r="S409" s="320">
        <f t="shared" si="73"/>
        <v>0</v>
      </c>
    </row>
    <row r="410" spans="1:19">
      <c r="A410" s="153"/>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0">
        <f t="shared" si="73"/>
        <v>0</v>
      </c>
    </row>
    <row r="411" spans="1:19">
      <c r="A411" s="153"/>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0</v>
      </c>
      <c r="R411" s="669">
        <f t="shared" si="82"/>
        <v>0</v>
      </c>
      <c r="S411" s="320">
        <f t="shared" si="73"/>
        <v>0</v>
      </c>
    </row>
    <row r="412" spans="1:19">
      <c r="A412" s="153"/>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0</v>
      </c>
      <c r="R412" s="669">
        <f t="shared" si="82"/>
        <v>0</v>
      </c>
      <c r="S412" s="320">
        <f t="shared" si="73"/>
        <v>0</v>
      </c>
    </row>
    <row r="413" spans="1:19">
      <c r="A413" s="153"/>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0</v>
      </c>
      <c r="R413" s="669">
        <f t="shared" si="82"/>
        <v>0</v>
      </c>
      <c r="S413" s="320">
        <f t="shared" si="73"/>
        <v>0</v>
      </c>
    </row>
    <row r="414" spans="1:19">
      <c r="A414" s="153"/>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0</v>
      </c>
      <c r="R414" s="669">
        <f t="shared" si="82"/>
        <v>0</v>
      </c>
      <c r="S414" s="320">
        <f t="shared" si="73"/>
        <v>0</v>
      </c>
    </row>
    <row r="415" spans="1:19">
      <c r="A415" s="153"/>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0</v>
      </c>
      <c r="R415" s="669">
        <f t="shared" si="82"/>
        <v>0</v>
      </c>
      <c r="S415" s="320">
        <f t="shared" si="73"/>
        <v>0</v>
      </c>
    </row>
    <row r="416" spans="1:19">
      <c r="A416" s="153"/>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0</v>
      </c>
      <c r="R416" s="669">
        <f t="shared" si="82"/>
        <v>0</v>
      </c>
      <c r="S416" s="320">
        <f t="shared" si="73"/>
        <v>0</v>
      </c>
    </row>
    <row r="417" spans="1:19">
      <c r="A417" s="153"/>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0</v>
      </c>
      <c r="R417" s="669">
        <f t="shared" si="82"/>
        <v>0</v>
      </c>
      <c r="S417" s="320">
        <f t="shared" si="73"/>
        <v>0</v>
      </c>
    </row>
    <row r="418" spans="1:19">
      <c r="A418" s="153"/>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0</v>
      </c>
      <c r="R418" s="669">
        <f t="shared" si="82"/>
        <v>0</v>
      </c>
      <c r="S418" s="320">
        <f t="shared" si="73"/>
        <v>0</v>
      </c>
    </row>
    <row r="419" spans="1:19">
      <c r="A419" s="153"/>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0</v>
      </c>
      <c r="R419" s="669">
        <f t="shared" si="82"/>
        <v>0</v>
      </c>
      <c r="S419" s="320">
        <f t="shared" si="73"/>
        <v>0</v>
      </c>
    </row>
    <row r="420" spans="1:19">
      <c r="A420" s="153"/>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0</v>
      </c>
      <c r="R420" s="669">
        <f t="shared" si="82"/>
        <v>0</v>
      </c>
      <c r="S420" s="320">
        <f t="shared" si="73"/>
        <v>0</v>
      </c>
    </row>
    <row r="421" spans="1:19">
      <c r="A421" s="153"/>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0</v>
      </c>
      <c r="R421" s="669">
        <f t="shared" si="82"/>
        <v>0</v>
      </c>
      <c r="S421" s="320">
        <f t="shared" si="73"/>
        <v>0</v>
      </c>
    </row>
    <row r="422" spans="1:19">
      <c r="A422" s="153"/>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0</v>
      </c>
      <c r="R422" s="669">
        <f t="shared" si="82"/>
        <v>0</v>
      </c>
      <c r="S422" s="320">
        <f t="shared" si="73"/>
        <v>0</v>
      </c>
    </row>
    <row r="423" spans="1:19">
      <c r="A423" s="153"/>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0</v>
      </c>
      <c r="R423" s="669">
        <f t="shared" si="82"/>
        <v>0</v>
      </c>
      <c r="S423" s="320">
        <f t="shared" ref="S423:S467" si="83">ROUND(R423*B423/10000,0)</f>
        <v>0</v>
      </c>
    </row>
    <row r="424" spans="1:19">
      <c r="A424" s="153"/>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0</v>
      </c>
      <c r="R424" s="669">
        <f t="shared" si="82"/>
        <v>0</v>
      </c>
      <c r="S424" s="320">
        <f t="shared" si="83"/>
        <v>0</v>
      </c>
    </row>
    <row r="425" spans="1:19">
      <c r="A425" s="153"/>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0</v>
      </c>
      <c r="R425" s="669">
        <f t="shared" si="82"/>
        <v>0</v>
      </c>
      <c r="S425" s="320">
        <f t="shared" si="83"/>
        <v>0</v>
      </c>
    </row>
    <row r="426" spans="1:19">
      <c r="A426" s="153"/>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0</v>
      </c>
      <c r="R426" s="669">
        <f t="shared" si="82"/>
        <v>0</v>
      </c>
      <c r="S426" s="320">
        <f t="shared" si="83"/>
        <v>0</v>
      </c>
    </row>
    <row r="427" spans="1:19">
      <c r="A427" s="153"/>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0</v>
      </c>
      <c r="R427" s="669">
        <f t="shared" si="82"/>
        <v>0</v>
      </c>
      <c r="S427" s="320">
        <f t="shared" si="83"/>
        <v>0</v>
      </c>
    </row>
    <row r="428" spans="1:19">
      <c r="A428" s="153"/>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0</v>
      </c>
      <c r="R428" s="669">
        <f t="shared" si="82"/>
        <v>0</v>
      </c>
      <c r="S428" s="320">
        <f t="shared" si="83"/>
        <v>0</v>
      </c>
    </row>
    <row r="429" spans="1:19">
      <c r="A429" s="153"/>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0</v>
      </c>
      <c r="R429" s="669">
        <f t="shared" si="82"/>
        <v>0</v>
      </c>
      <c r="S429" s="320">
        <f t="shared" si="83"/>
        <v>0</v>
      </c>
    </row>
    <row r="430" spans="1:19">
      <c r="A430" s="153"/>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0</v>
      </c>
      <c r="R430" s="669">
        <f t="shared" si="82"/>
        <v>0</v>
      </c>
      <c r="S430" s="320">
        <f t="shared" si="83"/>
        <v>0</v>
      </c>
    </row>
    <row r="431" spans="1:19">
      <c r="A431" s="153"/>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0</v>
      </c>
      <c r="R431" s="669">
        <f t="shared" si="82"/>
        <v>0</v>
      </c>
      <c r="S431" s="320">
        <f t="shared" si="83"/>
        <v>0</v>
      </c>
    </row>
    <row r="432" spans="1:19">
      <c r="A432" s="153"/>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0</v>
      </c>
      <c r="R432" s="669">
        <f t="shared" si="82"/>
        <v>0</v>
      </c>
      <c r="S432" s="320">
        <f t="shared" si="83"/>
        <v>0</v>
      </c>
    </row>
    <row r="433" spans="1:19">
      <c r="A433" s="153"/>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0</v>
      </c>
      <c r="R433" s="669">
        <f t="shared" si="82"/>
        <v>0</v>
      </c>
      <c r="S433" s="320">
        <f t="shared" si="83"/>
        <v>0</v>
      </c>
    </row>
    <row r="434" spans="1:19">
      <c r="A434" s="153"/>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0</v>
      </c>
      <c r="R434" s="669">
        <f t="shared" si="82"/>
        <v>0</v>
      </c>
      <c r="S434" s="320">
        <f t="shared" si="83"/>
        <v>0</v>
      </c>
    </row>
    <row r="435" spans="1:19">
      <c r="A435" s="153"/>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0</v>
      </c>
      <c r="R435" s="669">
        <f t="shared" si="82"/>
        <v>0</v>
      </c>
      <c r="S435" s="320">
        <f t="shared" si="83"/>
        <v>0</v>
      </c>
    </row>
    <row r="436" spans="1:19">
      <c r="A436" s="153"/>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0</v>
      </c>
      <c r="R436" s="669">
        <f t="shared" si="82"/>
        <v>0</v>
      </c>
      <c r="S436" s="320">
        <f t="shared" si="83"/>
        <v>0</v>
      </c>
    </row>
    <row r="437" spans="1:19">
      <c r="A437" s="153"/>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0</v>
      </c>
      <c r="R437" s="669">
        <f t="shared" si="82"/>
        <v>0</v>
      </c>
      <c r="S437" s="320">
        <f t="shared" si="83"/>
        <v>0</v>
      </c>
    </row>
    <row r="438" spans="1:19">
      <c r="A438" s="153"/>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0</v>
      </c>
      <c r="R438" s="669">
        <f t="shared" si="82"/>
        <v>0</v>
      </c>
      <c r="S438" s="320">
        <f t="shared" si="83"/>
        <v>0</v>
      </c>
    </row>
    <row r="439" spans="1:19">
      <c r="A439" s="153"/>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0</v>
      </c>
      <c r="R439" s="669">
        <f t="shared" si="82"/>
        <v>0</v>
      </c>
      <c r="S439" s="320">
        <f t="shared" si="83"/>
        <v>0</v>
      </c>
    </row>
    <row r="440" spans="1:19">
      <c r="A440" s="153"/>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0</v>
      </c>
      <c r="R440" s="669">
        <f t="shared" si="82"/>
        <v>0</v>
      </c>
      <c r="S440" s="320">
        <f t="shared" si="83"/>
        <v>0</v>
      </c>
    </row>
    <row r="441" spans="1:19">
      <c r="A441" s="153"/>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0</v>
      </c>
      <c r="R441" s="669">
        <f t="shared" si="82"/>
        <v>0</v>
      </c>
      <c r="S441" s="320">
        <f t="shared" si="83"/>
        <v>0</v>
      </c>
    </row>
    <row r="442" spans="1:19">
      <c r="A442" s="153"/>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0</v>
      </c>
      <c r="R442" s="669">
        <f t="shared" si="82"/>
        <v>0</v>
      </c>
      <c r="S442" s="320">
        <f t="shared" si="83"/>
        <v>0</v>
      </c>
    </row>
    <row r="443" spans="1:19">
      <c r="A443" s="153"/>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0</v>
      </c>
      <c r="R443" s="669">
        <f t="shared" si="82"/>
        <v>0</v>
      </c>
      <c r="S443" s="320">
        <f t="shared" si="83"/>
        <v>0</v>
      </c>
    </row>
    <row r="444" spans="1:19">
      <c r="A444" s="153"/>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0</v>
      </c>
      <c r="R444" s="669">
        <f t="shared" si="82"/>
        <v>0</v>
      </c>
      <c r="S444" s="320">
        <f t="shared" si="83"/>
        <v>0</v>
      </c>
    </row>
    <row r="445" spans="1:19">
      <c r="A445" s="153"/>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0</v>
      </c>
      <c r="R445" s="669">
        <f t="shared" si="82"/>
        <v>0</v>
      </c>
      <c r="S445" s="320">
        <f t="shared" si="83"/>
        <v>0</v>
      </c>
    </row>
    <row r="446" spans="1:19">
      <c r="A446" s="153"/>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0</v>
      </c>
      <c r="R446" s="669">
        <f t="shared" si="82"/>
        <v>0</v>
      </c>
      <c r="S446" s="320">
        <f t="shared" si="83"/>
        <v>0</v>
      </c>
    </row>
    <row r="447" spans="1:19">
      <c r="A447" s="153"/>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0</v>
      </c>
      <c r="R447" s="669">
        <f t="shared" si="82"/>
        <v>0</v>
      </c>
      <c r="S447" s="320">
        <f t="shared" si="83"/>
        <v>0</v>
      </c>
    </row>
    <row r="448" spans="1:19">
      <c r="A448" s="153"/>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0</v>
      </c>
      <c r="R448" s="669">
        <f t="shared" si="82"/>
        <v>0</v>
      </c>
      <c r="S448" s="320">
        <f t="shared" si="83"/>
        <v>0</v>
      </c>
    </row>
    <row r="449" spans="1:19">
      <c r="A449" s="153"/>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0</v>
      </c>
      <c r="R449" s="669">
        <f t="shared" si="82"/>
        <v>0</v>
      </c>
      <c r="S449" s="320">
        <f t="shared" si="83"/>
        <v>0</v>
      </c>
    </row>
    <row r="450" spans="1:19">
      <c r="A450" s="153"/>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0</v>
      </c>
      <c r="R450" s="669">
        <f t="shared" si="82"/>
        <v>0</v>
      </c>
      <c r="S450" s="320">
        <f t="shared" si="83"/>
        <v>0</v>
      </c>
    </row>
    <row r="451" spans="1:19">
      <c r="A451" s="153"/>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0</v>
      </c>
      <c r="R451" s="669">
        <f t="shared" si="82"/>
        <v>0</v>
      </c>
      <c r="S451" s="320">
        <f t="shared" si="83"/>
        <v>0</v>
      </c>
    </row>
    <row r="452" spans="1:19">
      <c r="A452" s="153"/>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0</v>
      </c>
      <c r="R452" s="669">
        <f t="shared" si="82"/>
        <v>0</v>
      </c>
      <c r="S452" s="320">
        <f t="shared" si="83"/>
        <v>0</v>
      </c>
    </row>
    <row r="453" spans="1:19">
      <c r="A453" s="153"/>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0</v>
      </c>
      <c r="R453" s="669">
        <f t="shared" si="82"/>
        <v>0</v>
      </c>
      <c r="S453" s="320">
        <f t="shared" si="83"/>
        <v>0</v>
      </c>
    </row>
    <row r="454" spans="1:19">
      <c r="A454" s="153"/>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0</v>
      </c>
      <c r="R454" s="669">
        <f t="shared" si="82"/>
        <v>0</v>
      </c>
      <c r="S454" s="320">
        <f t="shared" si="83"/>
        <v>0</v>
      </c>
    </row>
    <row r="455" spans="1:19">
      <c r="A455" s="153"/>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0</v>
      </c>
      <c r="R455" s="669">
        <f t="shared" si="82"/>
        <v>0</v>
      </c>
      <c r="S455" s="320">
        <f t="shared" si="83"/>
        <v>0</v>
      </c>
    </row>
    <row r="456" spans="1:19">
      <c r="A456" s="153"/>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0</v>
      </c>
      <c r="R456" s="669">
        <f t="shared" si="82"/>
        <v>0</v>
      </c>
      <c r="S456" s="320">
        <f t="shared" si="83"/>
        <v>0</v>
      </c>
    </row>
    <row r="457" spans="1:19">
      <c r="A457" s="153"/>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0</v>
      </c>
      <c r="R457" s="669">
        <f t="shared" si="82"/>
        <v>0</v>
      </c>
      <c r="S457" s="320">
        <f t="shared" si="83"/>
        <v>0</v>
      </c>
    </row>
    <row r="458" spans="1:19">
      <c r="A458" s="153"/>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0</v>
      </c>
      <c r="R458" s="669">
        <f t="shared" si="82"/>
        <v>0</v>
      </c>
      <c r="S458" s="320">
        <f t="shared" si="83"/>
        <v>0</v>
      </c>
    </row>
    <row r="459" spans="1:19">
      <c r="A459" s="153"/>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0</v>
      </c>
      <c r="R459" s="669">
        <f t="shared" si="82"/>
        <v>0</v>
      </c>
      <c r="S459" s="320">
        <f t="shared" si="83"/>
        <v>0</v>
      </c>
    </row>
    <row r="460" spans="1:19">
      <c r="A460" s="153"/>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0</v>
      </c>
      <c r="R460" s="669">
        <f t="shared" si="82"/>
        <v>0</v>
      </c>
      <c r="S460" s="320">
        <f t="shared" si="83"/>
        <v>0</v>
      </c>
    </row>
    <row r="461" spans="1:19">
      <c r="A461" s="153"/>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0</v>
      </c>
      <c r="R461" s="669">
        <f t="shared" si="82"/>
        <v>0</v>
      </c>
      <c r="S461" s="320">
        <f t="shared" si="83"/>
        <v>0</v>
      </c>
    </row>
    <row r="462" spans="1:19">
      <c r="A462" s="153"/>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0</v>
      </c>
      <c r="R462" s="669">
        <f t="shared" si="82"/>
        <v>0</v>
      </c>
      <c r="S462" s="320">
        <f t="shared" si="83"/>
        <v>0</v>
      </c>
    </row>
    <row r="463" spans="1:19">
      <c r="A463" s="153"/>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0</v>
      </c>
      <c r="R463" s="669">
        <f t="shared" si="82"/>
        <v>0</v>
      </c>
      <c r="S463" s="320">
        <f t="shared" si="83"/>
        <v>0</v>
      </c>
    </row>
    <row r="464" spans="1:19">
      <c r="A464" s="153"/>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0</v>
      </c>
      <c r="R464" s="669">
        <f t="shared" si="82"/>
        <v>0</v>
      </c>
      <c r="S464" s="320">
        <f t="shared" si="83"/>
        <v>0</v>
      </c>
    </row>
    <row r="465" spans="1:19">
      <c r="A465" s="153"/>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0</v>
      </c>
      <c r="R465" s="669">
        <f t="shared" si="82"/>
        <v>0</v>
      </c>
      <c r="S465" s="320">
        <f t="shared" si="83"/>
        <v>0</v>
      </c>
    </row>
    <row r="466" spans="1:19">
      <c r="A466" s="153"/>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0</v>
      </c>
      <c r="R466" s="669">
        <f t="shared" si="82"/>
        <v>0</v>
      </c>
      <c r="S466" s="320">
        <f t="shared" si="83"/>
        <v>0</v>
      </c>
    </row>
    <row r="467" spans="1:19">
      <c r="A467" s="153"/>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0</v>
      </c>
      <c r="R467" s="669">
        <f t="shared" si="82"/>
        <v>0</v>
      </c>
      <c r="S467" s="320">
        <f t="shared" si="83"/>
        <v>0</v>
      </c>
    </row>
    <row r="468" spans="1:19">
      <c r="A468" s="153"/>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0</v>
      </c>
      <c r="R468" s="669">
        <f t="shared" si="82"/>
        <v>0</v>
      </c>
      <c r="S468" s="320">
        <f t="shared" ref="S468:S497" si="84">ROUND(R468*B468/10000,0)</f>
        <v>0</v>
      </c>
    </row>
    <row r="469" spans="1:19">
      <c r="A469" s="153"/>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0</v>
      </c>
      <c r="R469" s="669">
        <f t="shared" si="82"/>
        <v>0</v>
      </c>
      <c r="S469" s="320">
        <f t="shared" si="84"/>
        <v>0</v>
      </c>
    </row>
    <row r="470" spans="1:19">
      <c r="A470" s="153"/>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0</v>
      </c>
      <c r="R470" s="669">
        <f t="shared" si="82"/>
        <v>0</v>
      </c>
      <c r="S470" s="320">
        <f t="shared" si="84"/>
        <v>0</v>
      </c>
    </row>
    <row r="471" spans="1:19">
      <c r="A471" s="153"/>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0</v>
      </c>
      <c r="R471" s="669">
        <f t="shared" si="82"/>
        <v>0</v>
      </c>
      <c r="S471" s="320">
        <f t="shared" si="84"/>
        <v>0</v>
      </c>
    </row>
    <row r="472" spans="1:19">
      <c r="A472" s="153"/>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0</v>
      </c>
      <c r="R472" s="669">
        <f t="shared" si="82"/>
        <v>0</v>
      </c>
      <c r="S472" s="320">
        <f t="shared" si="84"/>
        <v>0</v>
      </c>
    </row>
    <row r="473" spans="1:19">
      <c r="A473" s="153"/>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0</v>
      </c>
      <c r="R473" s="669">
        <f t="shared" si="82"/>
        <v>0</v>
      </c>
      <c r="S473" s="320">
        <f t="shared" si="84"/>
        <v>0</v>
      </c>
    </row>
    <row r="474" spans="1:19">
      <c r="A474" s="153"/>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0">
        <f t="shared" si="84"/>
        <v>0</v>
      </c>
    </row>
    <row r="475" spans="1:19">
      <c r="A475" s="153"/>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0</v>
      </c>
      <c r="R475" s="669">
        <f t="shared" si="93"/>
        <v>0</v>
      </c>
      <c r="S475" s="320">
        <f t="shared" si="84"/>
        <v>0</v>
      </c>
    </row>
    <row r="476" spans="1:19">
      <c r="A476" s="153"/>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0</v>
      </c>
      <c r="R476" s="669">
        <f t="shared" si="93"/>
        <v>0</v>
      </c>
      <c r="S476" s="320">
        <f t="shared" si="84"/>
        <v>0</v>
      </c>
    </row>
    <row r="477" spans="1:19">
      <c r="A477" s="153"/>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0</v>
      </c>
      <c r="R477" s="669">
        <f t="shared" si="93"/>
        <v>0</v>
      </c>
      <c r="S477" s="320">
        <f t="shared" si="84"/>
        <v>0</v>
      </c>
    </row>
    <row r="478" spans="1:19">
      <c r="A478" s="153"/>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0</v>
      </c>
      <c r="R478" s="669">
        <f t="shared" si="93"/>
        <v>0</v>
      </c>
      <c r="S478" s="320">
        <f t="shared" si="84"/>
        <v>0</v>
      </c>
    </row>
    <row r="479" spans="1:19">
      <c r="A479" s="153"/>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0</v>
      </c>
      <c r="R479" s="669">
        <f t="shared" si="93"/>
        <v>0</v>
      </c>
      <c r="S479" s="320">
        <f t="shared" si="84"/>
        <v>0</v>
      </c>
    </row>
    <row r="480" spans="1:19">
      <c r="A480" s="153"/>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0</v>
      </c>
      <c r="R480" s="669">
        <f t="shared" si="93"/>
        <v>0</v>
      </c>
      <c r="S480" s="320">
        <f t="shared" si="84"/>
        <v>0</v>
      </c>
    </row>
    <row r="481" spans="1:19">
      <c r="A481" s="153"/>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0</v>
      </c>
      <c r="R481" s="669">
        <f t="shared" si="93"/>
        <v>0</v>
      </c>
      <c r="S481" s="320">
        <f t="shared" si="84"/>
        <v>0</v>
      </c>
    </row>
    <row r="482" spans="1:19">
      <c r="A482" s="153"/>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0</v>
      </c>
      <c r="R482" s="669">
        <f t="shared" si="93"/>
        <v>0</v>
      </c>
      <c r="S482" s="320">
        <f t="shared" si="84"/>
        <v>0</v>
      </c>
    </row>
    <row r="483" spans="1:19">
      <c r="A483" s="153"/>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0</v>
      </c>
      <c r="R483" s="669">
        <f t="shared" si="93"/>
        <v>0</v>
      </c>
      <c r="S483" s="320">
        <f t="shared" si="84"/>
        <v>0</v>
      </c>
    </row>
    <row r="484" spans="1:19">
      <c r="A484" s="153"/>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0</v>
      </c>
      <c r="R484" s="669">
        <f t="shared" si="93"/>
        <v>0</v>
      </c>
      <c r="S484" s="320">
        <f t="shared" si="84"/>
        <v>0</v>
      </c>
    </row>
    <row r="485" spans="1:19">
      <c r="A485" s="153"/>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0</v>
      </c>
      <c r="R485" s="669">
        <f t="shared" si="93"/>
        <v>0</v>
      </c>
      <c r="S485" s="320">
        <f t="shared" si="84"/>
        <v>0</v>
      </c>
    </row>
    <row r="486" spans="1:19">
      <c r="A486" s="153"/>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0</v>
      </c>
      <c r="R486" s="669">
        <f t="shared" si="93"/>
        <v>0</v>
      </c>
      <c r="S486" s="320">
        <f t="shared" si="84"/>
        <v>0</v>
      </c>
    </row>
    <row r="487" spans="1:19">
      <c r="A487" s="153"/>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0</v>
      </c>
      <c r="R487" s="669">
        <f t="shared" si="93"/>
        <v>0</v>
      </c>
      <c r="S487" s="320">
        <f t="shared" si="84"/>
        <v>0</v>
      </c>
    </row>
    <row r="488" spans="1:19">
      <c r="A488" s="153"/>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0</v>
      </c>
      <c r="R488" s="669">
        <f t="shared" si="93"/>
        <v>0</v>
      </c>
      <c r="S488" s="320">
        <f t="shared" si="84"/>
        <v>0</v>
      </c>
    </row>
    <row r="489" spans="1:19">
      <c r="A489" s="153"/>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0</v>
      </c>
      <c r="R489" s="669">
        <f t="shared" si="93"/>
        <v>0</v>
      </c>
      <c r="S489" s="320">
        <f t="shared" si="84"/>
        <v>0</v>
      </c>
    </row>
    <row r="490" spans="1:19">
      <c r="A490" s="153"/>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0</v>
      </c>
      <c r="R490" s="669">
        <f t="shared" si="93"/>
        <v>0</v>
      </c>
      <c r="S490" s="320">
        <f t="shared" si="84"/>
        <v>0</v>
      </c>
    </row>
    <row r="491" spans="1:19">
      <c r="A491" s="153"/>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0</v>
      </c>
      <c r="R491" s="669">
        <f t="shared" si="93"/>
        <v>0</v>
      </c>
      <c r="S491" s="320">
        <f t="shared" si="84"/>
        <v>0</v>
      </c>
    </row>
    <row r="492" spans="1:19">
      <c r="A492" s="153"/>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0</v>
      </c>
      <c r="R492" s="669">
        <f t="shared" si="93"/>
        <v>0</v>
      </c>
      <c r="S492" s="320">
        <f t="shared" si="84"/>
        <v>0</v>
      </c>
    </row>
    <row r="493" spans="1:19">
      <c r="A493" s="153"/>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0</v>
      </c>
      <c r="R493" s="669">
        <f t="shared" si="93"/>
        <v>0</v>
      </c>
      <c r="S493" s="320">
        <f t="shared" si="84"/>
        <v>0</v>
      </c>
    </row>
    <row r="494" spans="1:19">
      <c r="A494" s="153"/>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0</v>
      </c>
      <c r="R494" s="669">
        <f t="shared" si="93"/>
        <v>0</v>
      </c>
      <c r="S494" s="320">
        <f t="shared" si="84"/>
        <v>0</v>
      </c>
    </row>
    <row r="495" spans="1:19">
      <c r="A495" s="153"/>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0</v>
      </c>
      <c r="R495" s="669">
        <f t="shared" si="93"/>
        <v>0</v>
      </c>
      <c r="S495" s="320">
        <f t="shared" si="84"/>
        <v>0</v>
      </c>
    </row>
    <row r="496" spans="1:19">
      <c r="A496" s="153"/>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0</v>
      </c>
      <c r="R496" s="669">
        <f t="shared" si="93"/>
        <v>0</v>
      </c>
      <c r="S496" s="320">
        <f t="shared" si="84"/>
        <v>0</v>
      </c>
    </row>
    <row r="497" spans="1:19">
      <c r="A497" s="153"/>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0</v>
      </c>
      <c r="R497" s="669">
        <f t="shared" si="93"/>
        <v>0</v>
      </c>
      <c r="S497" s="320">
        <f t="shared" si="84"/>
        <v>0</v>
      </c>
    </row>
    <row r="498" spans="1:19">
      <c r="A498" s="153"/>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0</v>
      </c>
      <c r="R498" s="669">
        <f t="shared" si="93"/>
        <v>0</v>
      </c>
      <c r="S498" s="320">
        <f t="shared" ref="S498:S524" si="94">ROUND(R498*B498/10000,0)</f>
        <v>0</v>
      </c>
    </row>
    <row r="499" spans="1:19">
      <c r="A499" s="153"/>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0</v>
      </c>
      <c r="R499" s="669">
        <f t="shared" si="93"/>
        <v>0</v>
      </c>
      <c r="S499" s="320">
        <f t="shared" si="94"/>
        <v>0</v>
      </c>
    </row>
    <row r="500" spans="1:19">
      <c r="A500" s="153"/>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0</v>
      </c>
      <c r="R500" s="669">
        <f t="shared" si="93"/>
        <v>0</v>
      </c>
      <c r="S500" s="320">
        <f t="shared" si="94"/>
        <v>0</v>
      </c>
    </row>
    <row r="501" spans="1:19">
      <c r="A501" s="153"/>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0</v>
      </c>
      <c r="R501" s="669">
        <f t="shared" si="93"/>
        <v>0</v>
      </c>
      <c r="S501" s="320">
        <f t="shared" si="94"/>
        <v>0</v>
      </c>
    </row>
    <row r="502" spans="1:19">
      <c r="A502" s="153"/>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0</v>
      </c>
      <c r="R502" s="669">
        <f t="shared" si="93"/>
        <v>0</v>
      </c>
      <c r="S502" s="320">
        <f t="shared" si="94"/>
        <v>0</v>
      </c>
    </row>
    <row r="503" spans="1:19">
      <c r="A503" s="153"/>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0</v>
      </c>
      <c r="R503" s="669">
        <f t="shared" si="93"/>
        <v>0</v>
      </c>
      <c r="S503" s="320">
        <f t="shared" si="94"/>
        <v>0</v>
      </c>
    </row>
    <row r="504" spans="1:19">
      <c r="A504" s="153"/>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0</v>
      </c>
      <c r="R504" s="669">
        <f t="shared" si="93"/>
        <v>0</v>
      </c>
      <c r="S504" s="320">
        <f t="shared" si="94"/>
        <v>0</v>
      </c>
    </row>
    <row r="505" spans="1:19">
      <c r="A505" s="153"/>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0</v>
      </c>
      <c r="R505" s="669">
        <f t="shared" si="93"/>
        <v>0</v>
      </c>
      <c r="S505" s="320">
        <f t="shared" si="94"/>
        <v>0</v>
      </c>
    </row>
    <row r="506" spans="1:19">
      <c r="A506" s="153"/>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0</v>
      </c>
      <c r="R506" s="669">
        <f t="shared" si="93"/>
        <v>0</v>
      </c>
      <c r="S506" s="320">
        <f t="shared" si="94"/>
        <v>0</v>
      </c>
    </row>
    <row r="507" spans="1:19">
      <c r="A507" s="153"/>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0</v>
      </c>
      <c r="R507" s="669">
        <f t="shared" si="93"/>
        <v>0</v>
      </c>
      <c r="S507" s="320">
        <f t="shared" si="94"/>
        <v>0</v>
      </c>
    </row>
    <row r="508" spans="1:19">
      <c r="A508" s="153"/>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0</v>
      </c>
      <c r="R508" s="669">
        <f t="shared" si="93"/>
        <v>0</v>
      </c>
      <c r="S508" s="320">
        <f t="shared" si="94"/>
        <v>0</v>
      </c>
    </row>
    <row r="509" spans="1:19">
      <c r="A509" s="153"/>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0</v>
      </c>
      <c r="R509" s="669">
        <f t="shared" si="93"/>
        <v>0</v>
      </c>
      <c r="S509" s="320">
        <f t="shared" si="94"/>
        <v>0</v>
      </c>
    </row>
    <row r="510" spans="1:19">
      <c r="A510" s="153"/>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0</v>
      </c>
      <c r="R510" s="669">
        <f t="shared" si="93"/>
        <v>0</v>
      </c>
      <c r="S510" s="320">
        <f t="shared" si="94"/>
        <v>0</v>
      </c>
    </row>
    <row r="511" spans="1:19">
      <c r="A511" s="153"/>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0</v>
      </c>
      <c r="R511" s="669">
        <f t="shared" si="93"/>
        <v>0</v>
      </c>
      <c r="S511" s="320">
        <f t="shared" si="94"/>
        <v>0</v>
      </c>
    </row>
    <row r="512" spans="1:19">
      <c r="A512" s="153"/>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0</v>
      </c>
      <c r="R512" s="669">
        <f t="shared" si="93"/>
        <v>0</v>
      </c>
      <c r="S512" s="320">
        <f t="shared" si="94"/>
        <v>0</v>
      </c>
    </row>
    <row r="513" spans="1:19">
      <c r="A513" s="153"/>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0</v>
      </c>
      <c r="R513" s="669">
        <f t="shared" si="93"/>
        <v>0</v>
      </c>
      <c r="S513" s="320">
        <f t="shared" si="94"/>
        <v>0</v>
      </c>
    </row>
    <row r="514" spans="1:19">
      <c r="A514" s="153"/>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0</v>
      </c>
      <c r="R514" s="669">
        <f t="shared" si="93"/>
        <v>0</v>
      </c>
      <c r="S514" s="320">
        <f t="shared" si="94"/>
        <v>0</v>
      </c>
    </row>
    <row r="515" spans="1:19">
      <c r="A515" s="153"/>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0</v>
      </c>
      <c r="R515" s="669">
        <f t="shared" si="93"/>
        <v>0</v>
      </c>
      <c r="S515" s="320">
        <f t="shared" si="94"/>
        <v>0</v>
      </c>
    </row>
    <row r="516" spans="1:19">
      <c r="A516" s="153"/>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0</v>
      </c>
      <c r="R516" s="669">
        <f t="shared" si="93"/>
        <v>0</v>
      </c>
      <c r="S516" s="320">
        <f t="shared" si="94"/>
        <v>0</v>
      </c>
    </row>
    <row r="517" spans="1:19">
      <c r="A517" s="153"/>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0</v>
      </c>
      <c r="R517" s="669">
        <f t="shared" si="93"/>
        <v>0</v>
      </c>
      <c r="S517" s="320">
        <f t="shared" si="94"/>
        <v>0</v>
      </c>
    </row>
    <row r="518" spans="1:19">
      <c r="A518" s="153"/>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0</v>
      </c>
      <c r="R518" s="669">
        <f t="shared" si="93"/>
        <v>0</v>
      </c>
      <c r="S518" s="320">
        <f t="shared" si="94"/>
        <v>0</v>
      </c>
    </row>
    <row r="519" spans="1:19">
      <c r="A519" s="153"/>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0</v>
      </c>
      <c r="R519" s="669">
        <f t="shared" si="93"/>
        <v>0</v>
      </c>
      <c r="S519" s="320">
        <f t="shared" si="94"/>
        <v>0</v>
      </c>
    </row>
    <row r="520" spans="1:19">
      <c r="A520" s="153"/>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0</v>
      </c>
      <c r="R520" s="669">
        <f t="shared" si="93"/>
        <v>0</v>
      </c>
      <c r="S520" s="320">
        <f t="shared" si="94"/>
        <v>0</v>
      </c>
    </row>
    <row r="521" spans="1:19">
      <c r="A521" s="153"/>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0</v>
      </c>
      <c r="R521" s="669">
        <f t="shared" si="93"/>
        <v>0</v>
      </c>
      <c r="S521" s="320">
        <f t="shared" si="94"/>
        <v>0</v>
      </c>
    </row>
    <row r="522" spans="1:19">
      <c r="A522" s="153"/>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0</v>
      </c>
      <c r="R522" s="669">
        <f t="shared" si="93"/>
        <v>0</v>
      </c>
      <c r="S522" s="320">
        <f t="shared" si="94"/>
        <v>0</v>
      </c>
    </row>
    <row r="523" spans="1:19">
      <c r="A523" s="153"/>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0</v>
      </c>
      <c r="R523" s="669">
        <f t="shared" si="93"/>
        <v>0</v>
      </c>
      <c r="S523" s="320">
        <f t="shared" si="94"/>
        <v>0</v>
      </c>
    </row>
    <row r="524" spans="1:19">
      <c r="A524" s="153"/>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0</v>
      </c>
      <c r="R524" s="669">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400-000000000000}">
      <formula1>一修多修正项2</formula1>
    </dataValidation>
    <dataValidation type="list" allowBlank="1" showInputMessage="1" showErrorMessage="1" sqref="F24:F524" xr:uid="{00000000-0002-0000-1400-000001000000}">
      <formula1>一修多修正项3</formula1>
    </dataValidation>
    <dataValidation type="list" allowBlank="1" showInputMessage="1" showErrorMessage="1" sqref="H24:H524" xr:uid="{00000000-0002-0000-1400-000002000000}">
      <formula1>一修多修正项4</formula1>
    </dataValidation>
    <dataValidation type="list" allowBlank="1" showInputMessage="1" showErrorMessage="1" sqref="J24:J524" xr:uid="{00000000-0002-0000-1400-000003000000}">
      <formula1>一修多修正项5</formula1>
    </dataValidation>
    <dataValidation type="list" allowBlank="1" showInputMessage="1" showErrorMessage="1" sqref="L24:L524" xr:uid="{00000000-0002-0000-1400-000004000000}">
      <formula1>一修多修正项6</formula1>
    </dataValidation>
    <dataValidation type="list" allowBlank="1" showInputMessage="1" showErrorMessage="1" sqref="N24:N524" xr:uid="{00000000-0002-0000-1400-000005000000}">
      <formula1>一修多修正项7</formula1>
    </dataValidation>
    <dataValidation type="list" allowBlank="1" showInputMessage="1" showErrorMessage="1" sqref="P24:P524" xr:uid="{00000000-0002-0000-1400-000006000000}">
      <formula1>一修多修正项8</formula1>
    </dataValidation>
    <dataValidation type="list" allowBlank="1" showInputMessage="1" showErrorMessage="1" sqref="D20" xr:uid="{00000000-0002-0000-1400-000007000000}">
      <formula1>"需扣减承租人权益,——"</formula1>
    </dataValidation>
    <dataValidation type="list" allowBlank="1" showInputMessage="1" showErrorMessage="1" sqref="H20" xr:uid="{00000000-0002-0000-14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19" workbookViewId="0">
      <selection activeCell="N40" sqref="N40"/>
    </sheetView>
  </sheetViews>
  <sheetFormatPr defaultRowHeight="13.5"/>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90" zoomScaleNormal="70" zoomScaleSheetLayoutView="90" workbookViewId="0">
      <selection activeCell="F7" sqref="F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1343</v>
      </c>
      <c r="D1" s="1545" t="s">
        <v>70</v>
      </c>
      <c r="E1" s="1546" t="s">
        <v>1352</v>
      </c>
      <c r="F1" s="1190">
        <f ca="1">J53</f>
        <v>34.86</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22837</v>
      </c>
      <c r="C2" s="1570" t="s">
        <v>1481</v>
      </c>
      <c r="D2" s="1570"/>
      <c r="E2" s="1571"/>
      <c r="F2" s="1572"/>
      <c r="G2" s="2934"/>
      <c r="H2" s="2923"/>
      <c r="I2" s="2923"/>
      <c r="J2" s="2923"/>
      <c r="K2" s="2924"/>
      <c r="L2" s="2923"/>
      <c r="M2" s="2923"/>
    </row>
    <row r="3" spans="1:37" ht="18" customHeight="1" thickBot="1">
      <c r="A3" s="1573" t="s">
        <v>1482</v>
      </c>
      <c r="B3" s="1574">
        <f ca="1">IF(ISERROR(B2*10000/F43),0,ROUND(B2*10000/F43,0))</f>
        <v>15107</v>
      </c>
      <c r="C3" s="1570" t="s">
        <v>1483</v>
      </c>
      <c r="D3" s="1570"/>
      <c r="E3" s="1571"/>
      <c r="F3" s="1572"/>
      <c r="G3" s="2934"/>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1456</v>
      </c>
      <c r="D5" s="1547" t="s">
        <v>1367</v>
      </c>
      <c r="E5" s="1200"/>
      <c r="F5" s="1201"/>
      <c r="G5" s="1567"/>
      <c r="H5" s="303">
        <v>1</v>
      </c>
      <c r="I5" s="304" t="s">
        <v>1366</v>
      </c>
      <c r="J5" s="1199">
        <f ca="1">J6+J10+J12</f>
        <v>0</v>
      </c>
      <c r="K5" s="1547" t="s">
        <v>1367</v>
      </c>
      <c r="L5" s="1200"/>
      <c r="M5" s="1201"/>
    </row>
    <row r="6" spans="1:37" ht="18" customHeight="1">
      <c r="A6" s="1198" t="s">
        <v>1003</v>
      </c>
      <c r="B6" s="3359" t="s">
        <v>1368</v>
      </c>
      <c r="C6" s="1203">
        <f ca="1">ROUND(F6*F8*F7*(1-F9)/10000,0)</f>
        <v>1454</v>
      </c>
      <c r="D6" s="158" t="s">
        <v>2851</v>
      </c>
      <c r="E6" s="306" t="s">
        <v>1370</v>
      </c>
      <c r="F6" s="307">
        <f ca="1">INDIRECT("'数据-取费表'!u"&amp;$G$1)</f>
        <v>3.1</v>
      </c>
      <c r="G6" s="1567"/>
      <c r="H6" s="1198" t="s">
        <v>1003</v>
      </c>
      <c r="I6" s="3359" t="s">
        <v>1368</v>
      </c>
      <c r="J6" s="305">
        <f ca="1">ROUND(M6*M8*M7*(1-M9)/10000,0)</f>
        <v>0</v>
      </c>
      <c r="K6" s="158" t="s">
        <v>2850</v>
      </c>
      <c r="L6" s="306" t="s">
        <v>1370</v>
      </c>
      <c r="M6" s="307">
        <f ca="1">INDIRECT("'数据-取费表'!z"&amp;$G$1)</f>
        <v>0</v>
      </c>
    </row>
    <row r="7" spans="1:37" ht="18" customHeight="1">
      <c r="A7" s="1202"/>
      <c r="B7" s="3360"/>
      <c r="C7" s="1204"/>
      <c r="D7" s="311"/>
      <c r="E7" s="1205" t="s">
        <v>1371</v>
      </c>
      <c r="F7" s="307">
        <f ca="1">IF(INDIRECT("'数据-取费表'!ah"&amp;$G$1)="",INDIRECT("'数据-取费表'!k"&amp;$G$1),INDIRECT("'数据-取费表'!ah"&amp;$G$1))</f>
        <v>15116.56</v>
      </c>
      <c r="G7" s="1567"/>
      <c r="H7" s="308"/>
      <c r="I7" s="3360"/>
      <c r="J7" s="310"/>
      <c r="K7" s="311"/>
      <c r="L7" s="306" t="s">
        <v>1371</v>
      </c>
      <c r="M7" s="307">
        <f ca="1">F7</f>
        <v>15116.56</v>
      </c>
    </row>
    <row r="8" spans="1:37" ht="18" customHeight="1">
      <c r="A8" s="308"/>
      <c r="B8" s="3360"/>
      <c r="C8" s="310"/>
      <c r="D8" s="311"/>
      <c r="E8" s="306" t="s">
        <v>1372</v>
      </c>
      <c r="F8" s="307">
        <f ca="1">INDIRECT("'数据-取费表'!ai"&amp;$G$1)</f>
        <v>365</v>
      </c>
      <c r="G8" s="1567"/>
      <c r="H8" s="308"/>
      <c r="I8" s="3360"/>
      <c r="J8" s="310"/>
      <c r="K8" s="311"/>
      <c r="L8" s="306" t="s">
        <v>1372</v>
      </c>
      <c r="M8" s="307">
        <f ca="1">INDIRECT("'数据-取费表'!ai"&amp;$G$1)</f>
        <v>365</v>
      </c>
    </row>
    <row r="9" spans="1:37" ht="18" customHeight="1">
      <c r="A9" s="308"/>
      <c r="B9" s="3361"/>
      <c r="C9" s="310"/>
      <c r="D9" s="311"/>
      <c r="E9" s="306" t="s">
        <v>1373</v>
      </c>
      <c r="F9" s="316">
        <f ca="1">INDIRECT("'数据-取费表'!w"&amp;$G$1)</f>
        <v>0.15</v>
      </c>
      <c r="G9" s="1567"/>
      <c r="H9" s="308"/>
      <c r="I9" s="3361"/>
      <c r="J9" s="310"/>
      <c r="K9" s="311"/>
      <c r="L9" s="317" t="s">
        <v>1373</v>
      </c>
      <c r="M9" s="318">
        <f ca="1">INDIRECT("'数据-取费表'!ab"&amp;$G$1)</f>
        <v>0</v>
      </c>
    </row>
    <row r="10" spans="1:37" ht="18" customHeight="1">
      <c r="A10" s="1198" t="s">
        <v>1007</v>
      </c>
      <c r="B10" s="1548" t="s">
        <v>1374</v>
      </c>
      <c r="C10" s="320">
        <f ca="1">ROUND(IF(F10="押一",C6/12*F11,IF(F10="押二",C6/12*2*F11,IF(F10="押三",C6/12*3*F11,C11*F11))),0)</f>
        <v>2</v>
      </c>
      <c r="D10" s="1549" t="s">
        <v>2859</v>
      </c>
      <c r="E10" s="317" t="s">
        <v>1375</v>
      </c>
      <c r="F10" s="1273" t="s">
        <v>3180</v>
      </c>
      <c r="G10" s="1567"/>
      <c r="H10" s="1198" t="s">
        <v>1007</v>
      </c>
      <c r="I10" s="1548" t="s">
        <v>1374</v>
      </c>
      <c r="J10" s="305">
        <f ca="1">ROUND(IF(M10="押一",J6/12*M11,IF(M10="押二",J6/12*2*M11,IF(M10="押三",J6/12*3*M11,J11*M11))),0)</f>
        <v>0</v>
      </c>
      <c r="K10" s="1549" t="s">
        <v>2858</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6435</v>
      </c>
      <c r="D13" s="1238" t="s">
        <v>1380</v>
      </c>
      <c r="E13" s="1238" t="s">
        <v>1381</v>
      </c>
      <c r="F13" s="1239">
        <f ca="1">INDIRECT("'数据-取费表'!y"&amp;$G$1)</f>
        <v>0.97</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4535</v>
      </c>
      <c r="D14" s="1528" t="s">
        <v>1383</v>
      </c>
      <c r="E14" s="1525"/>
      <c r="F14" s="323"/>
      <c r="G14" s="1567"/>
      <c r="H14" s="1110" t="s">
        <v>1003</v>
      </c>
      <c r="I14" s="306" t="s">
        <v>1384</v>
      </c>
      <c r="J14" s="24">
        <f ca="1">C29</f>
        <v>6634</v>
      </c>
      <c r="K14" s="15"/>
      <c r="L14" s="913"/>
      <c r="M14" s="914"/>
    </row>
    <row r="15" spans="1:37" s="1580" customFormat="1" ht="18" customHeight="1" thickBot="1">
      <c r="A15" s="1110" t="s">
        <v>1004</v>
      </c>
      <c r="B15" s="306" t="s">
        <v>1385</v>
      </c>
      <c r="C15" s="24">
        <f ca="1">ROUND(C14*F15,0)</f>
        <v>136</v>
      </c>
      <c r="D15" s="324" t="s">
        <v>1386</v>
      </c>
      <c r="E15" s="324" t="s">
        <v>1387</v>
      </c>
      <c r="F15" s="325">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161</v>
      </c>
      <c r="K16" s="1244" t="s">
        <v>1390</v>
      </c>
      <c r="L16" s="1245"/>
      <c r="M16" s="1201"/>
    </row>
    <row r="17" spans="1:37" s="1580" customFormat="1" ht="18" customHeight="1">
      <c r="A17" s="1110" t="s">
        <v>1355</v>
      </c>
      <c r="B17" s="306" t="s">
        <v>1391</v>
      </c>
      <c r="C17" s="24">
        <f ca="1">ROUND(F17*(F43+INDIRECT("'数据-取费表'!S"&amp;$G$1))/10000,0)</f>
        <v>272</v>
      </c>
      <c r="D17" s="306" t="s">
        <v>1392</v>
      </c>
      <c r="E17" s="306" t="s">
        <v>1393</v>
      </c>
      <c r="F17" s="26">
        <f>'数据-取费表'!B35</f>
        <v>180</v>
      </c>
      <c r="G17" s="1579"/>
      <c r="H17" s="1110" t="s">
        <v>1003</v>
      </c>
      <c r="I17" s="306" t="s">
        <v>1394</v>
      </c>
      <c r="J17" s="2533">
        <f ca="1">ROUND(IF(AND(项目基本情况!B11="自然人",项目基本情况!B10="北京市"),J6*M17/(1+'数据-取费表'!C42),J18+J19+J20),0)</f>
        <v>61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68</v>
      </c>
      <c r="D18" s="306" t="s">
        <v>1386</v>
      </c>
      <c r="E18" s="306" t="s">
        <v>1387</v>
      </c>
      <c r="F18" s="326">
        <f>'数据-取费表'!B36</f>
        <v>1.4999999999999999E-2</v>
      </c>
      <c r="G18" s="1579"/>
      <c r="H18" s="1110" t="s">
        <v>1002</v>
      </c>
      <c r="I18" s="306" t="s">
        <v>1398</v>
      </c>
      <c r="J18" s="24">
        <f ca="1">ROUND(J6*M18/(1+'数据-取费表'!C42),2)</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5011</v>
      </c>
      <c r="D19" s="134" t="s">
        <v>1401</v>
      </c>
      <c r="E19" s="1543"/>
      <c r="F19" s="26"/>
      <c r="G19" s="1567"/>
      <c r="H19" s="1110" t="s">
        <v>1004</v>
      </c>
      <c r="I19" s="306" t="s">
        <v>1402</v>
      </c>
      <c r="J19" s="24">
        <f ca="1">IF(K19="按租金收入计税",ROUND(J6*M19/(1+'数据-取费表'!C42),2),ROUND(C29*M19*0.7,2))</f>
        <v>55.73</v>
      </c>
      <c r="K19" s="1553" t="s">
        <v>1403</v>
      </c>
      <c r="L19" s="306" t="s">
        <v>1387</v>
      </c>
      <c r="M19" s="326">
        <f>IF(K19="按租金收入计税",'数据-取费表'!B51,'数据-取费表'!B50)</f>
        <v>1.2E-2</v>
      </c>
    </row>
    <row r="20" spans="1:37" s="1580" customFormat="1" ht="18" customHeight="1">
      <c r="A20" s="1110" t="s">
        <v>1007</v>
      </c>
      <c r="B20" s="306" t="s">
        <v>1404</v>
      </c>
      <c r="C20" s="24">
        <f ca="1">ROUND(C19*F20,0)</f>
        <v>100</v>
      </c>
      <c r="D20" s="327" t="s">
        <v>1405</v>
      </c>
      <c r="E20" s="306" t="s">
        <v>1387</v>
      </c>
      <c r="F20" s="326">
        <f>'数据-取费表'!B37</f>
        <v>0.02</v>
      </c>
      <c r="G20" s="1579"/>
      <c r="H20" s="1110" t="s">
        <v>1354</v>
      </c>
      <c r="I20" s="158" t="s">
        <v>1406</v>
      </c>
      <c r="J20" s="25">
        <f ca="1">ROUND(M20*M21/10000,2)</f>
        <v>5.48</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1827.99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ROUND(J14*M22,1)</f>
        <v>99.5</v>
      </c>
      <c r="K22" s="1527" t="s">
        <v>1415</v>
      </c>
      <c r="L22" s="306" t="s">
        <v>1387</v>
      </c>
      <c r="M22" s="332">
        <f ca="1">INDIRECT("'数据-取费表'!Ak"&amp;$G$1)</f>
        <v>1.4999999999999999E-2</v>
      </c>
    </row>
    <row r="23" spans="1:37" s="1580" customFormat="1" ht="18" customHeight="1">
      <c r="A23" s="1110" t="s">
        <v>1002</v>
      </c>
      <c r="B23" s="306" t="s">
        <v>1416</v>
      </c>
      <c r="C23" s="24">
        <f ca="1">IF('数据-取费表'!B22&lt;=1,ROUND(C19*F24*F23/2,0)+ROUND(C20*F24*F23/2,0),ROUND(C19*(POWER((1+F24),F23/2)-1),0)+ROUND(C20*(POWER((1+F24),F23/2)-1),0))</f>
        <v>243</v>
      </c>
      <c r="D23" s="333" t="str">
        <f>IF(F23&lt;=1,"(建造成本+管理费用)×利率×(建设周期÷2)","(建造成本+管理费用)×((1+利率)^(建设周期÷2)-1)")</f>
        <v>(建造成本+管理费用)×((1+利率)^(建设周期÷2)-1)</v>
      </c>
      <c r="E23" s="306" t="s">
        <v>1417</v>
      </c>
      <c r="F23" s="329">
        <f>'数据-取费表'!B20</f>
        <v>2</v>
      </c>
      <c r="G23" s="1579"/>
      <c r="H23" s="1110" t="s">
        <v>1043</v>
      </c>
      <c r="I23" s="306" t="s">
        <v>1418</v>
      </c>
      <c r="J23" s="24">
        <f ca="1">ROUND(J13*M23,1)</f>
        <v>0</v>
      </c>
      <c r="K23" s="1527" t="s">
        <v>1419</v>
      </c>
      <c r="L23" s="306" t="s">
        <v>1420</v>
      </c>
      <c r="M23" s="334">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1543"/>
      <c r="F25" s="26"/>
      <c r="G25" s="1567"/>
      <c r="H25" s="1236" t="s">
        <v>999</v>
      </c>
      <c r="I25" s="1251" t="s">
        <v>1428</v>
      </c>
      <c r="J25" s="314">
        <f ca="1">J5-J16</f>
        <v>-161</v>
      </c>
      <c r="K25" s="1252" t="s">
        <v>1429</v>
      </c>
      <c r="L25" s="1253"/>
      <c r="M25" s="1254"/>
    </row>
    <row r="26" spans="1:37">
      <c r="A26" s="1110" t="s">
        <v>1002</v>
      </c>
      <c r="B26" s="306" t="s">
        <v>1430</v>
      </c>
      <c r="C26" s="24">
        <f ca="1">ROUND((C19+C20)*F26,0)</f>
        <v>767</v>
      </c>
      <c r="D26" s="327" t="s">
        <v>1431</v>
      </c>
      <c r="E26" s="317" t="s">
        <v>1432</v>
      </c>
      <c r="F26" s="316">
        <f ca="1">INDIRECT("'数据-取费表'!q"&amp;$G$1)</f>
        <v>0.15</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3.0000000000000001E-3</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6634</v>
      </c>
      <c r="D29" s="1249"/>
      <c r="E29" s="1247"/>
      <c r="F29" s="1250"/>
      <c r="G29" s="1579"/>
      <c r="H29" s="338" t="s">
        <v>1001</v>
      </c>
      <c r="I29" s="339" t="s">
        <v>1444</v>
      </c>
      <c r="J29" s="340">
        <f ca="1">ROUND(J26/(1+F40)^F41,0)</f>
        <v>0</v>
      </c>
      <c r="K29" s="341" t="s">
        <v>1445</v>
      </c>
      <c r="L29" s="342"/>
      <c r="M29" s="343">
        <f ca="1">INDIRECT("'数据-取费表'!k"&amp;$G$1)</f>
        <v>15116.56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380</v>
      </c>
      <c r="D30" s="1244" t="s">
        <v>1390</v>
      </c>
      <c r="E30" s="1245"/>
      <c r="F30" s="1201"/>
      <c r="G30" s="1567"/>
      <c r="H30" s="2925"/>
      <c r="I30" s="1581"/>
      <c r="J30" s="1582"/>
      <c r="K30" s="2700"/>
      <c r="L30" s="2926"/>
      <c r="M30" s="2927"/>
    </row>
    <row r="31" spans="1:37" ht="18" customHeight="1">
      <c r="A31" s="1110" t="s">
        <v>1003</v>
      </c>
      <c r="B31" s="306" t="s">
        <v>1394</v>
      </c>
      <c r="C31" s="2533">
        <f ca="1">ROUND(IF(AND(项目基本情况!B11="自然人",项目基本情况!B10="北京市"),C6*F31/(1+'数据-取费表'!C42),C32+C33+C34),0)</f>
        <v>249</v>
      </c>
      <c r="D31" s="1528" t="s">
        <v>1395</v>
      </c>
      <c r="E31" s="1527" t="s">
        <v>1446</v>
      </c>
      <c r="F31" s="2532" t="str">
        <f>IF(项目基本情况!B11="企业","——",IF('数据-取费表'!B10="住宅",IF(F6*F7*F8/12/(1+'数据-取费表'!F30)&gt;100000,4%,2.5%),IF(F6*F7*F8/12/(1+'数据-取费表'!F30)&gt;100000,12%,7%)))</f>
        <v>——</v>
      </c>
      <c r="G31" s="1567"/>
      <c r="H31" s="3038" t="s">
        <v>3059</v>
      </c>
      <c r="I31" s="1581"/>
      <c r="J31" s="1582"/>
      <c r="K31" s="2700"/>
      <c r="L31" s="2926"/>
      <c r="M31" s="2927"/>
    </row>
    <row r="32" spans="1:37" ht="18" customHeight="1">
      <c r="A32" s="1110" t="s">
        <v>1002</v>
      </c>
      <c r="B32" s="306" t="s">
        <v>1398</v>
      </c>
      <c r="C32" s="24">
        <f ca="1">IF(项目基本情况!B11="自然人","——",ROUND(C6*F32/(1+'数据-取费表'!C42),2))</f>
        <v>77.55</v>
      </c>
      <c r="D32" s="1527" t="s">
        <v>1399</v>
      </c>
      <c r="E32" s="306" t="s">
        <v>1387</v>
      </c>
      <c r="F32" s="335">
        <f>'数据-取费表'!B41</f>
        <v>5.6000000000000001E-2</v>
      </c>
      <c r="G32" s="1567"/>
      <c r="H32" s="2925"/>
      <c r="I32" s="1581"/>
      <c r="J32" s="1582"/>
      <c r="K32" s="2700"/>
      <c r="L32" s="2926"/>
      <c r="M32" s="2927"/>
    </row>
    <row r="33" spans="1:18" ht="18" customHeight="1">
      <c r="A33" s="1110" t="s">
        <v>1004</v>
      </c>
      <c r="B33" s="306" t="s">
        <v>1402</v>
      </c>
      <c r="C33" s="24">
        <f ca="1">IF(项目基本情况!B11="自然人","——",IF(D33="按租金收入计税",ROUND(C6*F33/(1+'数据-取费表'!C42),2),IF(D33="按房产原值计税",ROUND(C29*F33*0.7,2),INDIRECT("'数据-取费表'!Aj"&amp;$G$1))))</f>
        <v>166.17</v>
      </c>
      <c r="D33" s="1553" t="s">
        <v>3089</v>
      </c>
      <c r="E33" s="306" t="s">
        <v>1387</v>
      </c>
      <c r="F33" s="326">
        <f>IF(D33="按票据","——",IF(D33="按租金收入计税",'数据-取费表'!B51,'数据-取费表'!B50))</f>
        <v>0.12</v>
      </c>
      <c r="G33" s="1567"/>
      <c r="H33" s="2928"/>
      <c r="I33" s="1581"/>
      <c r="J33" s="1582"/>
      <c r="K33" s="2929"/>
      <c r="L33" s="2928"/>
      <c r="M33" s="2928"/>
    </row>
    <row r="34" spans="1:18" ht="18" customHeight="1">
      <c r="A34" s="1198" t="s">
        <v>1354</v>
      </c>
      <c r="B34" s="158" t="s">
        <v>1406</v>
      </c>
      <c r="C34" s="25">
        <f ca="1">IF(项目基本情况!B11="自然人","——",ROUND(F34*F35/10000,2))</f>
        <v>5.48</v>
      </c>
      <c r="D34" s="328" t="s">
        <v>1407</v>
      </c>
      <c r="E34" s="306" t="s">
        <v>1408</v>
      </c>
      <c r="F34" s="329">
        <f>'数据-取费表'!B52</f>
        <v>30</v>
      </c>
      <c r="G34" s="1567"/>
      <c r="H34" s="2925"/>
      <c r="I34" s="1581"/>
      <c r="J34" s="1582"/>
      <c r="K34" s="2930"/>
      <c r="L34" s="2931"/>
      <c r="M34" s="2931"/>
    </row>
    <row r="35" spans="1:18" ht="18" customHeight="1">
      <c r="A35" s="1260"/>
      <c r="B35" s="1258"/>
      <c r="C35" s="29"/>
      <c r="D35" s="331"/>
      <c r="E35" s="306" t="s">
        <v>1412</v>
      </c>
      <c r="F35" s="307">
        <f ca="1">INDIRECT("'数据-取费表'!r"&amp;$G$1)</f>
        <v>1827.99</v>
      </c>
      <c r="G35" s="1567"/>
      <c r="H35" s="2925"/>
      <c r="I35" s="1581"/>
      <c r="J35" s="1582"/>
      <c r="K35" s="2929"/>
      <c r="L35" s="2928"/>
      <c r="M35" s="2928"/>
    </row>
    <row r="36" spans="1:18" ht="18" customHeight="1">
      <c r="A36" s="1259" t="s">
        <v>1007</v>
      </c>
      <c r="B36" s="306" t="s">
        <v>1414</v>
      </c>
      <c r="C36" s="24">
        <f ca="1">ROUND(C29*F36,1)</f>
        <v>99.5</v>
      </c>
      <c r="D36" s="1527" t="s">
        <v>1447</v>
      </c>
      <c r="E36" s="306" t="s">
        <v>1387</v>
      </c>
      <c r="F36" s="332">
        <f ca="1">INDIRECT("'数据-取费表'!Ak"&amp;$G$1)</f>
        <v>1.4999999999999999E-2</v>
      </c>
      <c r="G36" s="1567"/>
      <c r="H36" s="2928"/>
      <c r="I36" s="1581"/>
      <c r="J36" s="1582"/>
      <c r="K36" s="2769"/>
      <c r="L36" s="2928"/>
      <c r="M36" s="2928"/>
    </row>
    <row r="37" spans="1:18" ht="18" customHeight="1">
      <c r="A37" s="1110" t="s">
        <v>1043</v>
      </c>
      <c r="B37" s="306" t="s">
        <v>1418</v>
      </c>
      <c r="C37" s="24">
        <f ca="1">ROUND(C13*F37,1)</f>
        <v>9.6999999999999993</v>
      </c>
      <c r="D37" s="1527" t="s">
        <v>1419</v>
      </c>
      <c r="E37" s="306" t="s">
        <v>1420</v>
      </c>
      <c r="F37" s="334">
        <f ca="1">INDIRECT("'数据-取费表'!Al"&amp;$G$1)</f>
        <v>1.5E-3</v>
      </c>
      <c r="G37" s="1567"/>
      <c r="H37" s="2928"/>
      <c r="I37" s="1581"/>
      <c r="J37" s="1582"/>
      <c r="K37" s="2769"/>
      <c r="L37" s="2928"/>
      <c r="M37" s="2928"/>
    </row>
    <row r="38" spans="1:18" ht="18" customHeight="1" thickBot="1">
      <c r="A38" s="1246" t="s">
        <v>1358</v>
      </c>
      <c r="B38" s="1247" t="s">
        <v>1404</v>
      </c>
      <c r="C38" s="1248">
        <f ca="1">ROUND(C5*F38,1)</f>
        <v>21.8</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4">
        <f ca="1">C5-C30</f>
        <v>1076</v>
      </c>
      <c r="D39" s="1252" t="s">
        <v>1449</v>
      </c>
      <c r="E39" s="1253"/>
      <c r="F39" s="1254"/>
      <c r="G39" s="1567"/>
      <c r="H39" s="2928"/>
      <c r="I39" s="1581"/>
      <c r="J39" s="1582"/>
      <c r="K39" s="2932"/>
      <c r="L39" s="2928"/>
      <c r="M39" s="2928"/>
    </row>
    <row r="40" spans="1:18" ht="18" customHeight="1">
      <c r="A40" s="303" t="s">
        <v>1000</v>
      </c>
      <c r="B40" s="304" t="s">
        <v>1450</v>
      </c>
      <c r="C40" s="305">
        <f ca="1">ROUND(C39*(1-((1+F42)/(1+F40))^F41)/(F40-F42),0)</f>
        <v>22683</v>
      </c>
      <c r="D40" s="328" t="s">
        <v>1434</v>
      </c>
      <c r="E40" s="306" t="s">
        <v>1435</v>
      </c>
      <c r="F40" s="316">
        <f ca="1">INDIRECT("'数据-取费表'!I"&amp;$G$1)</f>
        <v>0.06</v>
      </c>
      <c r="G40" s="1567"/>
      <c r="H40" s="1644"/>
      <c r="I40" s="1581"/>
      <c r="J40" s="1582"/>
      <c r="K40" s="2932"/>
      <c r="L40" s="1644"/>
      <c r="M40" s="1644"/>
    </row>
    <row r="41" spans="1:18" ht="18" customHeight="1">
      <c r="A41" s="308"/>
      <c r="B41" s="309"/>
      <c r="C41" s="310"/>
      <c r="D41" s="336" t="s">
        <v>1451</v>
      </c>
      <c r="E41" s="306" t="s">
        <v>1439</v>
      </c>
      <c r="F41" s="337">
        <f ca="1">IF(INDIRECT("'数据-取费表'!af"&amp;$G$1)=0,INDIRECT("'数据-取费表'!ae"&amp;$G$1),INDIRECT("'数据-取费表'!af"&amp;$G$1))</f>
        <v>34.86</v>
      </c>
      <c r="G41" s="1567"/>
      <c r="H41" s="1350"/>
      <c r="I41" s="1581"/>
      <c r="J41" s="1582"/>
      <c r="K41" s="2769"/>
      <c r="L41" s="1350"/>
      <c r="M41" s="1350"/>
    </row>
    <row r="42" spans="1:18" ht="18" customHeight="1">
      <c r="A42" s="312"/>
      <c r="B42" s="313"/>
      <c r="C42" s="314"/>
      <c r="D42" s="331"/>
      <c r="E42" s="306" t="s">
        <v>1442</v>
      </c>
      <c r="F42" s="316">
        <f ca="1">INDIRECT("'数据-取费表'!v"&amp;$G$1)</f>
        <v>0.03</v>
      </c>
      <c r="G42" s="1567"/>
      <c r="H42" s="1350"/>
      <c r="I42" s="1581"/>
      <c r="J42" s="1582"/>
      <c r="K42" s="2769"/>
      <c r="L42" s="1350"/>
      <c r="M42" s="1350"/>
    </row>
    <row r="43" spans="1:18" ht="18" customHeight="1" thickBot="1">
      <c r="A43" s="338" t="s">
        <v>1001</v>
      </c>
      <c r="B43" s="339" t="s">
        <v>1452</v>
      </c>
      <c r="C43" s="340">
        <f ca="1">ROUND(C40*10000/F43,0)</f>
        <v>15005</v>
      </c>
      <c r="D43" s="341" t="s">
        <v>1453</v>
      </c>
      <c r="E43" s="342" t="s">
        <v>1454</v>
      </c>
      <c r="F43" s="343">
        <f ca="1">INDIRECT("'数据-取费表'!k"&amp;$G$1)</f>
        <v>15116.56</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-32414</v>
      </c>
      <c r="D46" s="1589" t="str">
        <f>C2</f>
        <v>万元</v>
      </c>
      <c r="E46" s="1583"/>
      <c r="F46" s="1583"/>
      <c r="I46" s="1590" t="s">
        <v>1486</v>
      </c>
      <c r="J46" s="1591"/>
      <c r="K46" s="1592"/>
      <c r="L46" s="1593">
        <f ca="1">IF(M47="住宅",0,IF(L48&gt;J51,L60,J60))</f>
        <v>154</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3090</v>
      </c>
      <c r="K47" s="1599" t="s">
        <v>1492</v>
      </c>
      <c r="L47" s="1600">
        <f ca="1">INDIRECT("'数据-取费表'!d"&amp;$G$1)</f>
        <v>40</v>
      </c>
      <c r="M47" s="1563" t="str">
        <f>IF(ISNUMBER(FIND("住宅",C1)),"住宅","非住宅")</f>
        <v>非住宅</v>
      </c>
      <c r="O47" s="1601" t="s">
        <v>1008</v>
      </c>
      <c r="P47" s="1602" t="s">
        <v>1493</v>
      </c>
      <c r="Q47" s="1603">
        <f ca="1">C40+J29</f>
        <v>22683</v>
      </c>
      <c r="R47" s="1603" t="s">
        <v>1494</v>
      </c>
    </row>
    <row r="48" spans="1:18" s="1567" customFormat="1" ht="28.5" thickBot="1">
      <c r="A48" s="1267" t="s">
        <v>1103</v>
      </c>
      <c r="B48" s="304" t="s">
        <v>1366</v>
      </c>
      <c r="C48" s="1542">
        <f ca="1">C49+C53+C55</f>
        <v>0</v>
      </c>
      <c r="D48" s="1269"/>
      <c r="E48" s="1270"/>
      <c r="F48" s="1090"/>
      <c r="G48" s="728"/>
      <c r="H48" s="729"/>
      <c r="I48" s="1604" t="s">
        <v>1495</v>
      </c>
      <c r="J48" s="1605" t="s">
        <v>3091</v>
      </c>
      <c r="K48" s="1606" t="s">
        <v>1496</v>
      </c>
      <c r="L48" s="1607">
        <f ca="1">INDIRECT("'数据-取费表'!f"&amp;$G$1)</f>
        <v>34.86</v>
      </c>
      <c r="O48" s="1601" t="s">
        <v>1009</v>
      </c>
      <c r="P48" s="1602" t="s">
        <v>1497</v>
      </c>
      <c r="Q48" s="1603">
        <f ca="1">J60</f>
        <v>154</v>
      </c>
      <c r="R48" s="1603" t="s">
        <v>1498</v>
      </c>
    </row>
    <row r="49" spans="1:18" s="1567" customFormat="1" ht="13.5" thickBot="1">
      <c r="A49" s="1103" t="s">
        <v>1104</v>
      </c>
      <c r="B49" s="1554" t="s">
        <v>1455</v>
      </c>
      <c r="C49" s="1271">
        <f ca="1">ROUND(F49*F51*F50*(1-F52)/10000,0)</f>
        <v>0</v>
      </c>
      <c r="D49" s="1183" t="s">
        <v>2852</v>
      </c>
      <c r="E49" s="1555" t="s">
        <v>1456</v>
      </c>
      <c r="F49" s="1188"/>
      <c r="G49" s="1608"/>
      <c r="H49" s="729"/>
      <c r="I49" s="1604" t="s">
        <v>1499</v>
      </c>
      <c r="J49" s="1609">
        <v>2018</v>
      </c>
      <c r="K49" s="1606" t="s">
        <v>1500</v>
      </c>
      <c r="L49" s="1610"/>
      <c r="O49" s="1611" t="s">
        <v>1010</v>
      </c>
      <c r="P49" s="1602" t="s">
        <v>1501</v>
      </c>
      <c r="Q49" s="1603">
        <f ca="1">C29</f>
        <v>6634</v>
      </c>
      <c r="R49" s="1603" t="s">
        <v>1494</v>
      </c>
    </row>
    <row r="50" spans="1:18" s="1567" customFormat="1" ht="13.5" thickBot="1">
      <c r="A50" s="1104"/>
      <c r="B50" s="1107"/>
      <c r="C50" s="1275"/>
      <c r="D50" s="1081"/>
      <c r="E50" s="1184" t="s">
        <v>1371</v>
      </c>
      <c r="F50" s="1185">
        <f ca="1">F7</f>
        <v>15116.56</v>
      </c>
      <c r="H50" s="729"/>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5"/>
      <c r="B51" s="1107"/>
      <c r="C51" s="1108"/>
      <c r="D51" s="1081"/>
      <c r="E51" s="1109" t="s">
        <v>1372</v>
      </c>
      <c r="F51" s="307">
        <f ca="1">F8</f>
        <v>365</v>
      </c>
      <c r="I51" s="1615" t="s">
        <v>1505</v>
      </c>
      <c r="J51" s="1616">
        <f>IF(J49="",J50,J49+J50-YEAR('数据-取费表'!B2))</f>
        <v>58</v>
      </c>
      <c r="K51" s="1617" t="s">
        <v>1506</v>
      </c>
      <c r="L51" s="1618">
        <f ca="1">ROUND(-PV(INDIRECT("'数据-取费表'!h"&amp;$G$1),J51,(C39-C13*C76),0),0)</f>
        <v>9746</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34.86</v>
      </c>
      <c r="R52" s="1603" t="s">
        <v>1511</v>
      </c>
    </row>
    <row r="53" spans="1:18" s="1567" customFormat="1" ht="24.75" thickBot="1">
      <c r="A53" s="1311" t="s">
        <v>1105</v>
      </c>
      <c r="B53" s="1556" t="s">
        <v>1374</v>
      </c>
      <c r="C53" s="320">
        <f ca="1">ROUND(IF(F53="押一",C49/12*F11,IF(F53="押二",C49/12*2*F11,IF(F53="押三",C49/12*3*F11,C54*F11))),0)</f>
        <v>0</v>
      </c>
      <c r="D53" s="1549" t="s">
        <v>2858</v>
      </c>
      <c r="E53" s="317" t="s">
        <v>1375</v>
      </c>
      <c r="F53" s="1273"/>
      <c r="I53" s="1622" t="s">
        <v>1512</v>
      </c>
      <c r="J53" s="2385">
        <f ca="1">IF(M47="住宅",IF(D1="——",MAX(J51,L48),MAX(J51,L48-'数据-取费表'!B24)),IF(D1="——",MIN(J51,L48),MIN(J51,L48-'数据-取费表'!B24)))</f>
        <v>34.86</v>
      </c>
      <c r="K53" s="3357" t="s">
        <v>1513</v>
      </c>
      <c r="L53" s="3358"/>
      <c r="O53" s="1601" t="s">
        <v>1014</v>
      </c>
      <c r="P53" s="1602" t="s">
        <v>1514</v>
      </c>
      <c r="Q53" s="1603">
        <f ca="1">Q47+Q48</f>
        <v>22837</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f ca="1">ROUND(IF(J47="钢混",J57/J50,1-(1-2%)*(J50-J57)/J50),3)</f>
        <v>0.38600000000000001</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6435</v>
      </c>
      <c r="D56" s="1630"/>
      <c r="E56" s="1631"/>
      <c r="F56" s="1623"/>
      <c r="I56" s="1632" t="s">
        <v>1519</v>
      </c>
      <c r="J56" s="1633" t="s">
        <v>3092</v>
      </c>
      <c r="K56" s="1604" t="s">
        <v>1520</v>
      </c>
      <c r="L56" s="1607" t="str">
        <f ca="1">IF(L48&lt;J51,"——",L48-J53)</f>
        <v>——</v>
      </c>
      <c r="O56" s="1601" t="s">
        <v>1008</v>
      </c>
      <c r="P56" s="1602" t="s">
        <v>1493</v>
      </c>
      <c r="Q56" s="1603">
        <f ca="1">C40+J29</f>
        <v>22683</v>
      </c>
      <c r="R56" s="1603" t="s">
        <v>1494</v>
      </c>
    </row>
    <row r="57" spans="1:18" s="1567" customFormat="1" ht="24.75" thickBot="1">
      <c r="A57" s="1634"/>
      <c r="B57" s="1078" t="s">
        <v>1443</v>
      </c>
      <c r="C57" s="242">
        <f ca="1">C29</f>
        <v>6634</v>
      </c>
      <c r="D57" s="1635"/>
      <c r="E57" s="1636"/>
      <c r="F57" s="1637"/>
      <c r="I57" s="1638" t="s">
        <v>1521</v>
      </c>
      <c r="J57" s="1639">
        <f ca="1">IF(OR(M47="住宅",J51&lt;L48,J56="是"),"——",J51-L48)</f>
        <v>23.14</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672</v>
      </c>
      <c r="D58" s="1088" t="s">
        <v>1390</v>
      </c>
      <c r="E58" s="1089"/>
      <c r="F58" s="1090"/>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563</v>
      </c>
      <c r="D59" s="1091" t="s">
        <v>1395</v>
      </c>
      <c r="E59" s="1092" t="s">
        <v>1396</v>
      </c>
      <c r="F59" s="2532" t="str">
        <f>IF(项目基本情况!B11="企业","——",IF('数据-取费表'!B10="住宅",IF(F49*F50*F51/12/(1+'数据-取费表'!F30)&gt;100000,4%,2.5%),IF(F49*F50*F51/12/(1+'数据-取费表'!F30)&gt;100000,12%,7%)))</f>
        <v>——</v>
      </c>
      <c r="I59" s="1638" t="s">
        <v>1528</v>
      </c>
      <c r="J59" s="1639">
        <f ca="1">IF(OR(M47="住宅",J51&lt;L48,J56="是"),"——",ROUND(C29*J58,0))</f>
        <v>2654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f ca="1">IF(OR(M47="住宅",J51&lt;L48,J56="是"),"0",ROUND(J59/(1+J52)^J53,0))</f>
        <v>154</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IF(项目基本情况!B11="自然人","——",IF(D61="按租金收入计税",ROUND(C48*F61,2),IF(D61="按房产原值计税",ROUND(C57*F61*0.7,2),INDIRECT("'数据-取费表'!Aj"&amp;$G$1))))</f>
        <v>557.26</v>
      </c>
      <c r="D61" s="1553" t="s">
        <v>1403</v>
      </c>
      <c r="E61" s="1078" t="s">
        <v>1459</v>
      </c>
      <c r="F61" s="326">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5">
        <f ca="1">IF(项目基本情况!B11="自然人","——",ROUND(F62*F63/10000,2))</f>
        <v>5.48</v>
      </c>
      <c r="D62" s="1093" t="s">
        <v>1462</v>
      </c>
      <c r="E62" s="1078" t="s">
        <v>1463</v>
      </c>
      <c r="F62" s="329">
        <f t="shared" si="0"/>
        <v>30</v>
      </c>
      <c r="I62" s="1645" t="s">
        <v>1535</v>
      </c>
      <c r="J62" s="1646" t="s">
        <v>1536</v>
      </c>
      <c r="K62" s="1646" t="s">
        <v>1537</v>
      </c>
      <c r="L62" s="1646" t="s">
        <v>1538</v>
      </c>
      <c r="M62" s="1647" t="s">
        <v>1539</v>
      </c>
      <c r="O62" s="1601" t="s">
        <v>1014</v>
      </c>
      <c r="P62" s="1602" t="s">
        <v>1540</v>
      </c>
      <c r="Q62" s="1603">
        <f ca="1">Q56+Q57</f>
        <v>22683</v>
      </c>
      <c r="R62" s="1603" t="s">
        <v>1015</v>
      </c>
    </row>
    <row r="63" spans="1:18" s="1567" customFormat="1" ht="13.5" thickBot="1">
      <c r="A63" s="330"/>
      <c r="B63" s="1084"/>
      <c r="C63" s="29"/>
      <c r="D63" s="1094"/>
      <c r="E63" s="1078" t="s">
        <v>1464</v>
      </c>
      <c r="F63" s="307">
        <f t="shared" ca="1" si="0"/>
        <v>1827.99</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ROUND(C57*F64,1)</f>
        <v>99.5</v>
      </c>
      <c r="D64" s="1092" t="s">
        <v>1467</v>
      </c>
      <c r="E64" s="1078" t="s">
        <v>1459</v>
      </c>
      <c r="F64" s="332">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9.6999999999999993</v>
      </c>
      <c r="D65" s="1092" t="s">
        <v>1419</v>
      </c>
      <c r="E65" s="1078" t="s">
        <v>1420</v>
      </c>
      <c r="F65" s="334">
        <f t="shared" ca="1" si="0"/>
        <v>1.5E-3</v>
      </c>
      <c r="I65" s="1645" t="s">
        <v>1544</v>
      </c>
      <c r="J65" s="1646">
        <v>40</v>
      </c>
      <c r="K65" s="1646">
        <v>30</v>
      </c>
      <c r="L65" s="1646">
        <v>50</v>
      </c>
      <c r="M65" s="1648">
        <v>0.02</v>
      </c>
      <c r="O65" s="1601" t="s">
        <v>1008</v>
      </c>
      <c r="P65" s="1602" t="s">
        <v>1545</v>
      </c>
      <c r="Q65" s="1603">
        <f ca="1">C40+J29</f>
        <v>22683</v>
      </c>
      <c r="R65" s="1603" t="s">
        <v>1494</v>
      </c>
    </row>
    <row r="66" spans="1:18" s="1567" customFormat="1" ht="16.5" thickBot="1">
      <c r="A66" s="1110" t="s">
        <v>1469</v>
      </c>
      <c r="B66" s="1078" t="s">
        <v>1404</v>
      </c>
      <c r="C66" s="24">
        <f ca="1">ROUND(C48*F66,1)</f>
        <v>0</v>
      </c>
      <c r="D66" s="1092" t="s">
        <v>1470</v>
      </c>
      <c r="E66" s="1078" t="s">
        <v>1387</v>
      </c>
      <c r="F66" s="316">
        <f t="shared" ca="1" si="0"/>
        <v>1.4999999999999999E-2</v>
      </c>
      <c r="O66" s="1601" t="s">
        <v>1009</v>
      </c>
      <c r="P66" s="1602" t="s">
        <v>1523</v>
      </c>
      <c r="Q66" s="1603">
        <f ca="1">L60</f>
        <v>0</v>
      </c>
      <c r="R66" s="1603" t="s">
        <v>1546</v>
      </c>
    </row>
    <row r="67" spans="1:18" s="1567" customFormat="1" ht="16.5" thickBot="1">
      <c r="A67" s="1085" t="s">
        <v>999</v>
      </c>
      <c r="B67" s="1095" t="s">
        <v>1428</v>
      </c>
      <c r="C67" s="320">
        <f ca="1">C48-C58</f>
        <v>-672</v>
      </c>
      <c r="D67" s="1091" t="s">
        <v>1429</v>
      </c>
      <c r="E67" s="1096"/>
      <c r="F67" s="1097"/>
      <c r="O67" s="1611" t="s">
        <v>1010</v>
      </c>
      <c r="P67" s="1602" t="s">
        <v>1527</v>
      </c>
      <c r="Q67" s="1649">
        <f ca="1">L51</f>
        <v>9746</v>
      </c>
      <c r="R67" s="1603" t="s">
        <v>1547</v>
      </c>
    </row>
    <row r="68" spans="1:18" s="1567" customFormat="1" ht="16.5" thickBot="1">
      <c r="A68" s="1075" t="s">
        <v>1000</v>
      </c>
      <c r="B68" s="1076" t="s">
        <v>1450</v>
      </c>
      <c r="C68" s="305">
        <f ca="1">ROUND(C67*(1-((1+F70)/(1+F68))^F69)/(F68-F70),0)</f>
        <v>-9731</v>
      </c>
      <c r="D68" s="1093" t="s">
        <v>1434</v>
      </c>
      <c r="E68" s="1078" t="s">
        <v>1435</v>
      </c>
      <c r="F68" s="316">
        <f ca="1">F40</f>
        <v>0.06</v>
      </c>
      <c r="O68" s="1611" t="s">
        <v>1011</v>
      </c>
      <c r="P68" s="1650" t="s">
        <v>1548</v>
      </c>
      <c r="Q68" s="1603">
        <f ca="1">ROUND(Q69-Q70*Q71,0)</f>
        <v>561</v>
      </c>
      <c r="R68" s="1603" t="s">
        <v>1019</v>
      </c>
    </row>
    <row r="69" spans="1:18" s="1567" customFormat="1" ht="13.5" thickBot="1">
      <c r="A69" s="1079"/>
      <c r="B69" s="1080"/>
      <c r="C69" s="310"/>
      <c r="D69" s="1098" t="s">
        <v>1438</v>
      </c>
      <c r="E69" s="1078" t="s">
        <v>1439</v>
      </c>
      <c r="F69" s="337">
        <f ca="1">F41</f>
        <v>34.86</v>
      </c>
      <c r="O69" s="1611" t="s">
        <v>1016</v>
      </c>
      <c r="P69" s="1650" t="s">
        <v>1549</v>
      </c>
      <c r="Q69" s="1603">
        <f ca="1">C39</f>
        <v>1076</v>
      </c>
      <c r="R69" s="1603" t="s">
        <v>1494</v>
      </c>
    </row>
    <row r="70" spans="1:18" s="1567" customFormat="1" ht="13.5" thickBot="1">
      <c r="A70" s="1082"/>
      <c r="B70" s="1083"/>
      <c r="C70" s="314"/>
      <c r="D70" s="1094"/>
      <c r="E70" s="1078" t="s">
        <v>1442</v>
      </c>
      <c r="F70" s="1182"/>
      <c r="O70" s="1611" t="s">
        <v>1017</v>
      </c>
      <c r="P70" s="1650" t="s">
        <v>1550</v>
      </c>
      <c r="Q70" s="1603">
        <f ca="1">C13</f>
        <v>6435</v>
      </c>
      <c r="R70" s="1603" t="s">
        <v>1494</v>
      </c>
    </row>
    <row r="71" spans="1:18" s="1567" customFormat="1" ht="13.5" thickBot="1">
      <c r="A71" s="1099" t="s">
        <v>1001</v>
      </c>
      <c r="B71" s="1100" t="s">
        <v>1452</v>
      </c>
      <c r="C71" s="340">
        <f ca="1">ROUND(C68*10000/F71,0)</f>
        <v>-6437</v>
      </c>
      <c r="D71" s="1101" t="s">
        <v>1453</v>
      </c>
      <c r="E71" s="1102" t="s">
        <v>1454</v>
      </c>
      <c r="F71" s="343">
        <f ca="1">F43</f>
        <v>15116.56</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4" t="s">
        <v>1471</v>
      </c>
      <c r="C75" s="345">
        <f ca="1">ROUND(C13*C76,0)</f>
        <v>515</v>
      </c>
      <c r="D75" s="1567"/>
      <c r="E75" s="1567"/>
      <c r="F75" s="1567"/>
      <c r="K75" s="1585"/>
      <c r="L75" s="1567"/>
      <c r="O75" s="1601" t="s">
        <v>1014</v>
      </c>
      <c r="P75" s="1602" t="s">
        <v>1514</v>
      </c>
      <c r="Q75" s="1603">
        <f ca="1">Q65+Q66</f>
        <v>22683</v>
      </c>
      <c r="R75" s="1603" t="s">
        <v>1015</v>
      </c>
    </row>
    <row r="76" spans="1:18">
      <c r="B76" s="346" t="s">
        <v>1472</v>
      </c>
      <c r="C76" s="347">
        <f ca="1">INDIRECT("'数据-取费表'!j"&amp;$G$1)</f>
        <v>0.08</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0.52100000000000002</v>
      </c>
    </row>
    <row r="80" spans="1:18">
      <c r="B80" s="344" t="s">
        <v>1476</v>
      </c>
      <c r="C80" s="278">
        <f ca="1">ROUND(C75/C39,3)</f>
        <v>0.47899999999999998</v>
      </c>
    </row>
    <row r="81" spans="2:3">
      <c r="B81" s="274" t="s">
        <v>1477</v>
      </c>
      <c r="C81" s="242"/>
    </row>
    <row r="82" spans="2:3">
      <c r="B82" s="277" t="s">
        <v>1478</v>
      </c>
      <c r="C82" s="279">
        <f ca="1">1-C83</f>
        <v>0.71599999999999997</v>
      </c>
    </row>
    <row r="83" spans="2:3">
      <c r="B83" s="277" t="s">
        <v>1479</v>
      </c>
      <c r="C83" s="278">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election activeCell="A2" sqref="A2"/>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48"/>
  <sheetViews>
    <sheetView topLeftCell="A31" workbookViewId="0">
      <selection activeCell="N50" sqref="N50"/>
    </sheetView>
  </sheetViews>
  <sheetFormatPr defaultColWidth="9" defaultRowHeight="13.5"/>
  <cols>
    <col min="1" max="1" width="4" style="3072" customWidth="1"/>
    <col min="2" max="2" width="5.25" style="3072" customWidth="1"/>
    <col min="3" max="3" width="8.5" style="3093" customWidth="1"/>
    <col min="4" max="4" width="7.375" style="3072" customWidth="1"/>
    <col min="5" max="5" width="10.5" style="3077" bestFit="1" customWidth="1"/>
    <col min="6" max="6" width="10.625" style="3072" customWidth="1"/>
    <col min="7" max="7" width="6.75" style="3072" customWidth="1"/>
    <col min="8" max="8" width="9" style="3072" hidden="1" customWidth="1"/>
    <col min="9" max="9" width="10.25" style="3072" customWidth="1"/>
    <col min="10" max="10" width="10.125" style="3072" customWidth="1"/>
    <col min="11" max="11" width="9.75" style="3072" customWidth="1"/>
    <col min="12" max="12" width="11.25" style="3072" customWidth="1"/>
    <col min="13" max="13" width="8" style="3072" customWidth="1"/>
    <col min="14" max="14" width="9.875" style="3072" customWidth="1"/>
    <col min="15" max="15" width="24.125" style="3081" customWidth="1"/>
    <col min="16" max="16" width="6.5" style="3072" customWidth="1"/>
    <col min="17" max="16384" width="9" style="3072"/>
  </cols>
  <sheetData>
    <row r="1" spans="1:33" ht="30.75" customHeight="1">
      <c r="A1" s="3368" t="s">
        <v>3234</v>
      </c>
      <c r="B1" s="3368"/>
      <c r="C1" s="3368"/>
      <c r="D1" s="3368"/>
      <c r="E1" s="3368"/>
      <c r="F1" s="3368"/>
      <c r="G1" s="3368"/>
      <c r="H1" s="3368"/>
      <c r="I1" s="3368"/>
      <c r="J1" s="3368"/>
      <c r="K1" s="3368"/>
      <c r="L1" s="3368"/>
      <c r="M1" s="3368"/>
      <c r="N1" s="3368"/>
      <c r="O1" s="3368"/>
    </row>
    <row r="2" spans="1:33" s="3077" customFormat="1" ht="41.25" customHeight="1">
      <c r="A2" s="3073" t="s">
        <v>3235</v>
      </c>
      <c r="B2" s="3073" t="s">
        <v>3236</v>
      </c>
      <c r="C2" s="3074" t="s">
        <v>3237</v>
      </c>
      <c r="D2" s="3075" t="s">
        <v>3238</v>
      </c>
      <c r="E2" s="3075" t="s">
        <v>3239</v>
      </c>
      <c r="F2" s="3075" t="s">
        <v>3240</v>
      </c>
      <c r="G2" s="3075" t="s">
        <v>3241</v>
      </c>
      <c r="H2" s="3075" t="s">
        <v>3242</v>
      </c>
      <c r="I2" s="3075" t="s">
        <v>3243</v>
      </c>
      <c r="J2" s="3075" t="s">
        <v>3244</v>
      </c>
      <c r="K2" s="3075" t="s">
        <v>3245</v>
      </c>
      <c r="L2" s="3075" t="s">
        <v>3246</v>
      </c>
      <c r="M2" s="3075" t="s">
        <v>3247</v>
      </c>
      <c r="N2" s="3075" t="s">
        <v>3248</v>
      </c>
      <c r="O2" s="3075" t="s">
        <v>3249</v>
      </c>
      <c r="P2" s="3076" t="s">
        <v>3250</v>
      </c>
    </row>
    <row r="3" spans="1:33" s="3081" customFormat="1" ht="22.5">
      <c r="A3" s="3076">
        <v>1</v>
      </c>
      <c r="B3" s="3367" t="s">
        <v>3251</v>
      </c>
      <c r="C3" s="3078" t="s">
        <v>3252</v>
      </c>
      <c r="D3" s="3079" t="s">
        <v>3253</v>
      </c>
      <c r="E3" s="3079">
        <v>380</v>
      </c>
      <c r="F3" s="3079">
        <v>210</v>
      </c>
      <c r="G3" s="3079">
        <v>6</v>
      </c>
      <c r="H3" s="3079" t="s">
        <v>3254</v>
      </c>
      <c r="I3" s="3079" t="s">
        <v>3255</v>
      </c>
      <c r="J3" s="3079">
        <f>K3*12*3+1034208+1116945+1206300</f>
        <v>6230253</v>
      </c>
      <c r="K3" s="3079">
        <f>F3*E3</f>
        <v>79800</v>
      </c>
      <c r="L3" s="3079">
        <f>K3*3</f>
        <v>239400</v>
      </c>
      <c r="M3" s="3079">
        <f>K3*2</f>
        <v>159600</v>
      </c>
      <c r="N3" s="3079">
        <f>K3*12</f>
        <v>957600</v>
      </c>
      <c r="O3" s="3080" t="s">
        <v>3256</v>
      </c>
      <c r="P3" s="3076"/>
    </row>
    <row r="4" spans="1:33" s="3106" customFormat="1" ht="29.25" customHeight="1">
      <c r="A4" s="3102">
        <v>2</v>
      </c>
      <c r="B4" s="3367"/>
      <c r="C4" s="3103" t="s">
        <v>3257</v>
      </c>
      <c r="D4" s="3104" t="s">
        <v>3258</v>
      </c>
      <c r="E4" s="3104">
        <v>79</v>
      </c>
      <c r="F4" s="3104">
        <v>210</v>
      </c>
      <c r="G4" s="3104">
        <v>3</v>
      </c>
      <c r="H4" s="3104" t="s">
        <v>3259</v>
      </c>
      <c r="I4" s="3104" t="s">
        <v>3260</v>
      </c>
      <c r="J4" s="3104">
        <f>N4*3</f>
        <v>597240</v>
      </c>
      <c r="K4" s="3104">
        <f>F4*E4</f>
        <v>16590</v>
      </c>
      <c r="L4" s="3104">
        <f t="shared" ref="L4:L7" si="0">K4*3</f>
        <v>49770</v>
      </c>
      <c r="M4" s="3104">
        <f t="shared" ref="M4:M6" si="1">K4*2</f>
        <v>33180</v>
      </c>
      <c r="N4" s="3104">
        <f t="shared" ref="N4:N7" si="2">K4*12</f>
        <v>199080</v>
      </c>
      <c r="O4" s="3105"/>
      <c r="P4" s="3102"/>
    </row>
    <row r="5" spans="1:33" s="3107" customFormat="1" ht="27.95" customHeight="1">
      <c r="A5" s="3102">
        <v>3</v>
      </c>
      <c r="B5" s="3367"/>
      <c r="C5" s="3103" t="s">
        <v>3261</v>
      </c>
      <c r="D5" s="3102" t="s">
        <v>3262</v>
      </c>
      <c r="E5" s="3102">
        <v>86</v>
      </c>
      <c r="F5" s="3102">
        <v>210</v>
      </c>
      <c r="G5" s="3102">
        <v>3</v>
      </c>
      <c r="H5" s="3102" t="s">
        <v>3263</v>
      </c>
      <c r="I5" s="3102" t="s">
        <v>3264</v>
      </c>
      <c r="J5" s="3104">
        <f>N5*3</f>
        <v>650160</v>
      </c>
      <c r="K5" s="3104">
        <f>F5*E5</f>
        <v>18060</v>
      </c>
      <c r="L5" s="3104">
        <f t="shared" si="0"/>
        <v>54180</v>
      </c>
      <c r="M5" s="3104">
        <f t="shared" si="1"/>
        <v>36120</v>
      </c>
      <c r="N5" s="3104">
        <f t="shared" si="2"/>
        <v>216720</v>
      </c>
      <c r="O5" s="3105"/>
      <c r="P5" s="3102"/>
    </row>
    <row r="6" spans="1:33" ht="27.95" customHeight="1">
      <c r="A6" s="3076">
        <v>4</v>
      </c>
      <c r="B6" s="3367"/>
      <c r="C6" s="3078" t="s">
        <v>3265</v>
      </c>
      <c r="D6" s="3076" t="s">
        <v>3266</v>
      </c>
      <c r="E6" s="3076">
        <v>85</v>
      </c>
      <c r="F6" s="3076">
        <v>210</v>
      </c>
      <c r="G6" s="3076">
        <v>3</v>
      </c>
      <c r="H6" s="3076" t="s">
        <v>3267</v>
      </c>
      <c r="I6" s="3076" t="s">
        <v>3268</v>
      </c>
      <c r="J6" s="3079">
        <f>N6*3</f>
        <v>642600</v>
      </c>
      <c r="K6" s="3079">
        <f>F6*E6</f>
        <v>17850</v>
      </c>
      <c r="L6" s="3079">
        <f t="shared" si="0"/>
        <v>53550</v>
      </c>
      <c r="M6" s="3079">
        <f t="shared" si="1"/>
        <v>35700</v>
      </c>
      <c r="N6" s="3079">
        <f t="shared" si="2"/>
        <v>214200</v>
      </c>
      <c r="O6" s="3080"/>
      <c r="P6" s="3076"/>
    </row>
    <row r="7" spans="1:33" ht="22.5">
      <c r="A7" s="3076">
        <v>5</v>
      </c>
      <c r="B7" s="3367"/>
      <c r="C7" s="3078" t="s">
        <v>3269</v>
      </c>
      <c r="D7" s="3076" t="s">
        <v>3270</v>
      </c>
      <c r="E7" s="3076">
        <v>269</v>
      </c>
      <c r="F7" s="3076">
        <v>210</v>
      </c>
      <c r="G7" s="3076">
        <v>6</v>
      </c>
      <c r="H7" s="3076" t="s">
        <v>3271</v>
      </c>
      <c r="I7" s="3076" t="s">
        <v>3272</v>
      </c>
      <c r="J7" s="3079">
        <f>2033640+732110+790679+853934</f>
        <v>4410363</v>
      </c>
      <c r="K7" s="3079">
        <f>F7*E7</f>
        <v>56490</v>
      </c>
      <c r="L7" s="3079">
        <f t="shared" si="0"/>
        <v>169470</v>
      </c>
      <c r="M7" s="3079">
        <f>K7*2</f>
        <v>112980</v>
      </c>
      <c r="N7" s="3079">
        <f t="shared" si="2"/>
        <v>677880</v>
      </c>
      <c r="O7" s="3080" t="s">
        <v>3273</v>
      </c>
      <c r="P7" s="3076"/>
    </row>
    <row r="8" spans="1:33" ht="28.5" customHeight="1">
      <c r="A8" s="3076">
        <v>6</v>
      </c>
      <c r="B8" s="3367"/>
      <c r="C8" s="3078" t="s">
        <v>3274</v>
      </c>
      <c r="D8" s="3365" t="s">
        <v>3275</v>
      </c>
      <c r="E8" s="3079">
        <v>182</v>
      </c>
      <c r="F8" s="3363">
        <v>210</v>
      </c>
      <c r="G8" s="3363">
        <v>3</v>
      </c>
      <c r="H8" s="3363" t="s">
        <v>3276</v>
      </c>
      <c r="I8" s="3363" t="s">
        <v>3277</v>
      </c>
      <c r="J8" s="3363">
        <f>N8*3</f>
        <v>3333960</v>
      </c>
      <c r="K8" s="3363">
        <v>92610</v>
      </c>
      <c r="L8" s="3363">
        <f>K8*3</f>
        <v>277830</v>
      </c>
      <c r="M8" s="3363">
        <f>K8*2</f>
        <v>185220</v>
      </c>
      <c r="N8" s="3363">
        <f>K8*12</f>
        <v>1111320</v>
      </c>
      <c r="O8" s="3363"/>
      <c r="P8" s="3365"/>
    </row>
    <row r="9" spans="1:33" ht="34.5" customHeight="1">
      <c r="A9" s="3076">
        <v>7</v>
      </c>
      <c r="B9" s="3367"/>
      <c r="C9" s="3078" t="s">
        <v>3278</v>
      </c>
      <c r="D9" s="3366"/>
      <c r="E9" s="3079">
        <v>259</v>
      </c>
      <c r="F9" s="3364"/>
      <c r="G9" s="3364"/>
      <c r="H9" s="3364"/>
      <c r="I9" s="3364"/>
      <c r="J9" s="3364"/>
      <c r="K9" s="3364"/>
      <c r="L9" s="3364"/>
      <c r="M9" s="3364"/>
      <c r="N9" s="3364"/>
      <c r="O9" s="3364"/>
      <c r="P9" s="3366"/>
    </row>
    <row r="10" spans="1:33" ht="30.95" customHeight="1">
      <c r="A10" s="3076">
        <v>8</v>
      </c>
      <c r="B10" s="3367"/>
      <c r="C10" s="3078" t="s">
        <v>3279</v>
      </c>
      <c r="D10" s="3082" t="s">
        <v>3280</v>
      </c>
      <c r="E10" s="3083">
        <v>190</v>
      </c>
      <c r="F10" s="3083">
        <v>210</v>
      </c>
      <c r="G10" s="3083">
        <v>3</v>
      </c>
      <c r="H10" s="3079" t="s">
        <v>3281</v>
      </c>
      <c r="I10" s="3079" t="s">
        <v>3282</v>
      </c>
      <c r="J10" s="3084">
        <f>N10*3</f>
        <v>1436400</v>
      </c>
      <c r="K10" s="3084">
        <f t="shared" ref="K10:K18" si="3">F10*E10</f>
        <v>39900</v>
      </c>
      <c r="L10" s="3084">
        <f>K10*3</f>
        <v>119700</v>
      </c>
      <c r="M10" s="3084">
        <f>K10*2</f>
        <v>79800</v>
      </c>
      <c r="N10" s="3079">
        <f>K10*12</f>
        <v>478800</v>
      </c>
      <c r="O10" s="3080"/>
      <c r="P10" s="3076"/>
    </row>
    <row r="11" spans="1:33" s="3107" customFormat="1" ht="27.95" customHeight="1">
      <c r="A11" s="3102">
        <v>9</v>
      </c>
      <c r="B11" s="3367"/>
      <c r="C11" s="3103" t="s">
        <v>3283</v>
      </c>
      <c r="D11" s="3102" t="s">
        <v>3284</v>
      </c>
      <c r="E11" s="3108">
        <v>130</v>
      </c>
      <c r="F11" s="3108">
        <v>210</v>
      </c>
      <c r="G11" s="3108">
        <v>3</v>
      </c>
      <c r="H11" s="3104" t="s">
        <v>3285</v>
      </c>
      <c r="I11" s="3104" t="s">
        <v>3286</v>
      </c>
      <c r="J11" s="3109">
        <f>N11*3</f>
        <v>982800</v>
      </c>
      <c r="K11" s="3109">
        <f t="shared" si="3"/>
        <v>27300</v>
      </c>
      <c r="L11" s="3109">
        <f>K11*3</f>
        <v>81900</v>
      </c>
      <c r="M11" s="3109">
        <f t="shared" ref="M11:M35" si="4">K11*2</f>
        <v>54600</v>
      </c>
      <c r="N11" s="3104">
        <f t="shared" ref="N11:N36" si="5">K11*12</f>
        <v>327600</v>
      </c>
      <c r="O11" s="3110"/>
      <c r="P11" s="3102"/>
    </row>
    <row r="12" spans="1:33" ht="35.25" customHeight="1">
      <c r="A12" s="3076">
        <v>10</v>
      </c>
      <c r="B12" s="3367"/>
      <c r="C12" s="3078" t="s">
        <v>3287</v>
      </c>
      <c r="D12" s="3076" t="s">
        <v>3288</v>
      </c>
      <c r="E12" s="3083">
        <v>226</v>
      </c>
      <c r="F12" s="3083">
        <v>210</v>
      </c>
      <c r="G12" s="3083">
        <v>3</v>
      </c>
      <c r="H12" s="3079" t="s">
        <v>3289</v>
      </c>
      <c r="I12" s="3079" t="s">
        <v>3290</v>
      </c>
      <c r="J12" s="3084">
        <f>N12*3</f>
        <v>1708560</v>
      </c>
      <c r="K12" s="3084">
        <f t="shared" si="3"/>
        <v>47460</v>
      </c>
      <c r="L12" s="3084">
        <f t="shared" ref="L12:L36" si="6">K12*3</f>
        <v>142380</v>
      </c>
      <c r="M12" s="3084">
        <f t="shared" si="4"/>
        <v>94920</v>
      </c>
      <c r="N12" s="3079">
        <f t="shared" si="5"/>
        <v>569520</v>
      </c>
      <c r="O12" s="3080"/>
      <c r="P12" s="3076"/>
    </row>
    <row r="13" spans="1:33" s="3107" customFormat="1" ht="23.1" customHeight="1">
      <c r="A13" s="3102">
        <v>11</v>
      </c>
      <c r="B13" s="3367"/>
      <c r="C13" s="3103" t="s">
        <v>3291</v>
      </c>
      <c r="D13" s="3102" t="s">
        <v>3292</v>
      </c>
      <c r="E13" s="3102">
        <v>115</v>
      </c>
      <c r="F13" s="3108">
        <v>210</v>
      </c>
      <c r="G13" s="3102">
        <v>1</v>
      </c>
      <c r="H13" s="3109" t="s">
        <v>3293</v>
      </c>
      <c r="I13" s="3104" t="s">
        <v>3294</v>
      </c>
      <c r="J13" s="3109">
        <v>289800</v>
      </c>
      <c r="K13" s="3109">
        <f t="shared" si="3"/>
        <v>24150</v>
      </c>
      <c r="L13" s="3109">
        <f t="shared" si="6"/>
        <v>72450</v>
      </c>
      <c r="M13" s="3109"/>
      <c r="N13" s="3104">
        <f>K13*12</f>
        <v>289800</v>
      </c>
      <c r="O13" s="3110" t="s">
        <v>3295</v>
      </c>
      <c r="P13" s="3102"/>
    </row>
    <row r="14" spans="1:33" s="3111" customFormat="1" ht="27.95" customHeight="1">
      <c r="A14" s="3102">
        <v>12</v>
      </c>
      <c r="B14" s="3367"/>
      <c r="C14" s="3103" t="s">
        <v>3296</v>
      </c>
      <c r="D14" s="3102" t="s">
        <v>3297</v>
      </c>
      <c r="E14" s="3102">
        <v>67</v>
      </c>
      <c r="F14" s="3108">
        <v>210</v>
      </c>
      <c r="G14" s="3102">
        <v>1</v>
      </c>
      <c r="H14" s="3109" t="s">
        <v>3298</v>
      </c>
      <c r="I14" s="3104" t="s">
        <v>3299</v>
      </c>
      <c r="J14" s="3109">
        <f>N14</f>
        <v>168840</v>
      </c>
      <c r="K14" s="3109">
        <f t="shared" si="3"/>
        <v>14070</v>
      </c>
      <c r="L14" s="3109">
        <f t="shared" si="6"/>
        <v>42210</v>
      </c>
      <c r="M14" s="3109">
        <f t="shared" si="4"/>
        <v>28140</v>
      </c>
      <c r="N14" s="3104">
        <f t="shared" si="5"/>
        <v>168840</v>
      </c>
      <c r="O14" s="3110"/>
      <c r="P14" s="3102"/>
      <c r="Q14" s="3107"/>
      <c r="R14" s="3107"/>
      <c r="S14" s="3107"/>
      <c r="T14" s="3107"/>
      <c r="U14" s="3107"/>
      <c r="V14" s="3107"/>
      <c r="W14" s="3107"/>
      <c r="X14" s="3107"/>
      <c r="Y14" s="3107"/>
      <c r="Z14" s="3107"/>
      <c r="AA14" s="3107"/>
      <c r="AB14" s="3107"/>
      <c r="AC14" s="3107"/>
      <c r="AD14" s="3107"/>
      <c r="AE14" s="3107"/>
      <c r="AF14" s="3107"/>
      <c r="AG14" s="3107"/>
    </row>
    <row r="15" spans="1:33" ht="27.95" customHeight="1">
      <c r="A15" s="3076">
        <v>13</v>
      </c>
      <c r="B15" s="3367"/>
      <c r="C15" s="3078" t="s">
        <v>3300</v>
      </c>
      <c r="D15" s="3076" t="s">
        <v>3301</v>
      </c>
      <c r="E15" s="3083">
        <v>115</v>
      </c>
      <c r="F15" s="3083">
        <v>210</v>
      </c>
      <c r="G15" s="3083">
        <v>3</v>
      </c>
      <c r="H15" s="3079" t="s">
        <v>3302</v>
      </c>
      <c r="I15" s="3079" t="s">
        <v>3303</v>
      </c>
      <c r="J15" s="3084">
        <f>N15*3</f>
        <v>869400</v>
      </c>
      <c r="K15" s="3084">
        <f t="shared" si="3"/>
        <v>24150</v>
      </c>
      <c r="L15" s="3084">
        <f t="shared" si="6"/>
        <v>72450</v>
      </c>
      <c r="M15" s="3084">
        <f t="shared" si="4"/>
        <v>48300</v>
      </c>
      <c r="N15" s="3079">
        <f t="shared" si="5"/>
        <v>289800</v>
      </c>
      <c r="O15" s="3080"/>
      <c r="P15" s="3076"/>
    </row>
    <row r="16" spans="1:33" ht="35.1" customHeight="1">
      <c r="A16" s="3076">
        <v>14</v>
      </c>
      <c r="B16" s="3367"/>
      <c r="C16" s="3078" t="s">
        <v>3304</v>
      </c>
      <c r="D16" s="3076" t="s">
        <v>3305</v>
      </c>
      <c r="E16" s="3076">
        <v>89</v>
      </c>
      <c r="F16" s="3083">
        <v>210</v>
      </c>
      <c r="G16" s="3083">
        <v>3</v>
      </c>
      <c r="H16" s="3079" t="s">
        <v>3306</v>
      </c>
      <c r="I16" s="3079" t="s">
        <v>3307</v>
      </c>
      <c r="J16" s="3084">
        <f>N16*3</f>
        <v>672840</v>
      </c>
      <c r="K16" s="3084">
        <f t="shared" si="3"/>
        <v>18690</v>
      </c>
      <c r="L16" s="3084">
        <f t="shared" si="6"/>
        <v>56070</v>
      </c>
      <c r="M16" s="3084">
        <f t="shared" si="4"/>
        <v>37380</v>
      </c>
      <c r="N16" s="3079">
        <f t="shared" si="5"/>
        <v>224280</v>
      </c>
      <c r="O16" s="3080"/>
      <c r="P16" s="3076"/>
    </row>
    <row r="17" spans="1:16" s="3107" customFormat="1" ht="22.5">
      <c r="A17" s="3102">
        <v>15</v>
      </c>
      <c r="B17" s="3367"/>
      <c r="C17" s="3103" t="s">
        <v>3308</v>
      </c>
      <c r="D17" s="3102" t="s">
        <v>3309</v>
      </c>
      <c r="E17" s="3108">
        <v>204</v>
      </c>
      <c r="F17" s="3108">
        <v>210</v>
      </c>
      <c r="G17" s="3108">
        <v>2</v>
      </c>
      <c r="H17" s="3104" t="s">
        <v>3310</v>
      </c>
      <c r="I17" s="3104" t="s">
        <v>3311</v>
      </c>
      <c r="J17" s="3109">
        <f>N17*2</f>
        <v>1028160</v>
      </c>
      <c r="K17" s="3109">
        <f t="shared" si="3"/>
        <v>42840</v>
      </c>
      <c r="L17" s="3109">
        <f t="shared" si="6"/>
        <v>128520</v>
      </c>
      <c r="M17" s="3109">
        <f t="shared" si="4"/>
        <v>85680</v>
      </c>
      <c r="N17" s="3104">
        <f t="shared" si="5"/>
        <v>514080</v>
      </c>
      <c r="O17" s="3110"/>
      <c r="P17" s="3102"/>
    </row>
    <row r="18" spans="1:16" ht="26.25" customHeight="1">
      <c r="A18" s="3076">
        <v>16</v>
      </c>
      <c r="B18" s="3367"/>
      <c r="C18" s="3078" t="s">
        <v>3312</v>
      </c>
      <c r="D18" s="3076" t="s">
        <v>3313</v>
      </c>
      <c r="E18" s="3083">
        <v>193</v>
      </c>
      <c r="F18" s="3083">
        <v>210</v>
      </c>
      <c r="G18" s="3083">
        <v>3</v>
      </c>
      <c r="H18" s="3079" t="s">
        <v>3314</v>
      </c>
      <c r="I18" s="3079" t="s">
        <v>3315</v>
      </c>
      <c r="J18" s="3084">
        <f>N18*3</f>
        <v>1459080</v>
      </c>
      <c r="K18" s="3084">
        <f t="shared" si="3"/>
        <v>40530</v>
      </c>
      <c r="L18" s="3084">
        <f t="shared" si="6"/>
        <v>121590</v>
      </c>
      <c r="M18" s="3084">
        <f t="shared" si="4"/>
        <v>81060</v>
      </c>
      <c r="N18" s="3079">
        <f t="shared" si="5"/>
        <v>486360</v>
      </c>
      <c r="O18" s="3080"/>
      <c r="P18" s="3076"/>
    </row>
    <row r="19" spans="1:16" s="3107" customFormat="1" ht="30.75" customHeight="1">
      <c r="A19" s="3102">
        <v>17</v>
      </c>
      <c r="B19" s="3367"/>
      <c r="C19" s="3103" t="s">
        <v>3316</v>
      </c>
      <c r="D19" s="3102"/>
      <c r="E19" s="3102">
        <v>656</v>
      </c>
      <c r="F19" s="3102">
        <v>210</v>
      </c>
      <c r="G19" s="3102"/>
      <c r="H19" s="3102"/>
      <c r="I19" s="3102"/>
      <c r="J19" s="3102"/>
      <c r="K19" s="3104">
        <f>E19*F19</f>
        <v>137760</v>
      </c>
      <c r="L19" s="3109">
        <f t="shared" si="6"/>
        <v>413280</v>
      </c>
      <c r="M19" s="3109">
        <f t="shared" si="4"/>
        <v>275520</v>
      </c>
      <c r="N19" s="3104">
        <f t="shared" si="5"/>
        <v>1653120</v>
      </c>
      <c r="O19" s="3112"/>
      <c r="P19" s="3102"/>
    </row>
    <row r="20" spans="1:16" s="3081" customFormat="1" ht="31.5" customHeight="1">
      <c r="A20" s="3076">
        <v>18</v>
      </c>
      <c r="B20" s="3367"/>
      <c r="C20" s="3078" t="s">
        <v>3317</v>
      </c>
      <c r="D20" s="3076" t="s">
        <v>3318</v>
      </c>
      <c r="E20" s="3086">
        <v>119</v>
      </c>
      <c r="F20" s="3086">
        <v>210</v>
      </c>
      <c r="G20" s="3086">
        <v>3</v>
      </c>
      <c r="H20" s="3086" t="s">
        <v>3319</v>
      </c>
      <c r="I20" s="3076" t="s">
        <v>3320</v>
      </c>
      <c r="J20" s="3086">
        <f>N20*3</f>
        <v>899640</v>
      </c>
      <c r="K20" s="3084">
        <f t="shared" ref="K20:K29" si="7">F20*E20</f>
        <v>24990</v>
      </c>
      <c r="L20" s="3084">
        <f t="shared" si="6"/>
        <v>74970</v>
      </c>
      <c r="M20" s="3084">
        <f t="shared" si="4"/>
        <v>49980</v>
      </c>
      <c r="N20" s="3079">
        <f t="shared" si="5"/>
        <v>299880</v>
      </c>
      <c r="O20" s="3087"/>
      <c r="P20" s="3076"/>
    </row>
    <row r="21" spans="1:16" ht="28.5" customHeight="1">
      <c r="A21" s="3076">
        <v>19</v>
      </c>
      <c r="B21" s="3367"/>
      <c r="C21" s="3078" t="s">
        <v>3321</v>
      </c>
      <c r="D21" s="3076">
        <v>36524</v>
      </c>
      <c r="E21" s="3083">
        <v>39</v>
      </c>
      <c r="F21" s="3083">
        <v>210</v>
      </c>
      <c r="G21" s="3083">
        <v>3</v>
      </c>
      <c r="H21" s="3079" t="s">
        <v>3322</v>
      </c>
      <c r="I21" s="3079" t="s">
        <v>3323</v>
      </c>
      <c r="J21" s="3086">
        <f>N21*3</f>
        <v>294840</v>
      </c>
      <c r="K21" s="3084">
        <f t="shared" si="7"/>
        <v>8190</v>
      </c>
      <c r="L21" s="3084">
        <f t="shared" si="6"/>
        <v>24570</v>
      </c>
      <c r="M21" s="3084">
        <f t="shared" si="4"/>
        <v>16380</v>
      </c>
      <c r="N21" s="3079">
        <f t="shared" si="5"/>
        <v>98280</v>
      </c>
      <c r="O21" s="3080"/>
      <c r="P21" s="3076"/>
    </row>
    <row r="22" spans="1:16" s="3081" customFormat="1" ht="31.5" customHeight="1">
      <c r="A22" s="3076">
        <v>20</v>
      </c>
      <c r="B22" s="3367"/>
      <c r="C22" s="3078" t="s">
        <v>3324</v>
      </c>
      <c r="D22" s="3076" t="s">
        <v>3325</v>
      </c>
      <c r="E22" s="3086">
        <v>115</v>
      </c>
      <c r="F22" s="3086">
        <v>210</v>
      </c>
      <c r="G22" s="3086">
        <v>3</v>
      </c>
      <c r="H22" s="3086" t="s">
        <v>3326</v>
      </c>
      <c r="I22" s="3076" t="s">
        <v>3327</v>
      </c>
      <c r="J22" s="3086">
        <f t="shared" ref="J22" si="8">N22*3</f>
        <v>869400</v>
      </c>
      <c r="K22" s="3084">
        <f t="shared" si="7"/>
        <v>24150</v>
      </c>
      <c r="L22" s="3084">
        <f t="shared" si="6"/>
        <v>72450</v>
      </c>
      <c r="M22" s="3084">
        <f t="shared" si="4"/>
        <v>48300</v>
      </c>
      <c r="N22" s="3079">
        <f t="shared" si="5"/>
        <v>289800</v>
      </c>
      <c r="O22" s="3087"/>
      <c r="P22" s="3076"/>
    </row>
    <row r="23" spans="1:16" ht="30.75" customHeight="1">
      <c r="A23" s="3076">
        <v>21</v>
      </c>
      <c r="B23" s="3367"/>
      <c r="C23" s="3078" t="s">
        <v>3328</v>
      </c>
      <c r="D23" s="3076" t="s">
        <v>3329</v>
      </c>
      <c r="E23" s="3076">
        <v>401</v>
      </c>
      <c r="F23" s="3076">
        <v>140</v>
      </c>
      <c r="G23" s="3076">
        <v>10</v>
      </c>
      <c r="H23" s="3076" t="s">
        <v>3330</v>
      </c>
      <c r="I23" s="3076" t="s">
        <v>3331</v>
      </c>
      <c r="J23" s="3076"/>
      <c r="K23" s="3084">
        <f t="shared" si="7"/>
        <v>56140</v>
      </c>
      <c r="L23" s="3084">
        <f t="shared" si="6"/>
        <v>168420</v>
      </c>
      <c r="M23" s="3084">
        <f t="shared" si="4"/>
        <v>112280</v>
      </c>
      <c r="N23" s="3079">
        <f>K23*12</f>
        <v>673680</v>
      </c>
      <c r="O23" s="3085" t="s">
        <v>3332</v>
      </c>
      <c r="P23" s="3076"/>
    </row>
    <row r="24" spans="1:16" ht="35.25" customHeight="1">
      <c r="A24" s="3076">
        <v>22</v>
      </c>
      <c r="B24" s="3367" t="s">
        <v>3333</v>
      </c>
      <c r="C24" s="3078" t="s">
        <v>3334</v>
      </c>
      <c r="D24" s="3076" t="s">
        <v>3335</v>
      </c>
      <c r="E24" s="3076">
        <v>768</v>
      </c>
      <c r="F24" s="3076">
        <v>110</v>
      </c>
      <c r="G24" s="3076">
        <v>6</v>
      </c>
      <c r="H24" s="3076" t="s">
        <v>3336</v>
      </c>
      <c r="I24" s="3076" t="s">
        <v>3337</v>
      </c>
      <c r="J24" s="3076">
        <f>1013760+1013760+1013760+1094861+1182450+1277046</f>
        <v>6595637</v>
      </c>
      <c r="K24" s="3079">
        <f t="shared" si="7"/>
        <v>84480</v>
      </c>
      <c r="L24" s="3084">
        <f t="shared" si="6"/>
        <v>253440</v>
      </c>
      <c r="M24" s="3084">
        <f t="shared" si="4"/>
        <v>168960</v>
      </c>
      <c r="N24" s="3079">
        <f>K24*12</f>
        <v>1013760</v>
      </c>
      <c r="O24" s="3088" t="s">
        <v>3338</v>
      </c>
      <c r="P24" s="3076"/>
    </row>
    <row r="25" spans="1:16" ht="33.75">
      <c r="A25" s="3076">
        <v>23</v>
      </c>
      <c r="B25" s="3367"/>
      <c r="C25" s="3078" t="s">
        <v>3339</v>
      </c>
      <c r="D25" s="3076" t="s">
        <v>3340</v>
      </c>
      <c r="E25" s="3083">
        <v>847</v>
      </c>
      <c r="F25" s="3083">
        <v>110</v>
      </c>
      <c r="G25" s="3083">
        <v>6</v>
      </c>
      <c r="H25" s="3079" t="s">
        <v>3341</v>
      </c>
      <c r="I25" s="3079" t="s">
        <v>3342</v>
      </c>
      <c r="J25" s="3084">
        <f>1118040+1118040+1118040+1207483+1304082+1408408</f>
        <v>7274093</v>
      </c>
      <c r="K25" s="3079">
        <f t="shared" si="7"/>
        <v>93170</v>
      </c>
      <c r="L25" s="3084">
        <f t="shared" si="6"/>
        <v>279510</v>
      </c>
      <c r="M25" s="3084">
        <f t="shared" si="4"/>
        <v>186340</v>
      </c>
      <c r="N25" s="3079">
        <f>K25*12</f>
        <v>1118040</v>
      </c>
      <c r="O25" s="3080" t="s">
        <v>3343</v>
      </c>
      <c r="P25" s="3076"/>
    </row>
    <row r="26" spans="1:16" ht="35.1" customHeight="1">
      <c r="A26" s="3076">
        <v>24</v>
      </c>
      <c r="B26" s="3367"/>
      <c r="C26" s="3078" t="s">
        <v>3344</v>
      </c>
      <c r="D26" s="3076" t="s">
        <v>3345</v>
      </c>
      <c r="E26" s="3083">
        <v>604</v>
      </c>
      <c r="F26" s="3083">
        <v>120</v>
      </c>
      <c r="G26" s="3083">
        <v>3</v>
      </c>
      <c r="H26" s="3079" t="s">
        <v>3346</v>
      </c>
      <c r="I26" s="3079" t="s">
        <v>3347</v>
      </c>
      <c r="J26" s="3084">
        <f>N26*3</f>
        <v>2609280</v>
      </c>
      <c r="K26" s="3079">
        <f t="shared" si="7"/>
        <v>72480</v>
      </c>
      <c r="L26" s="3084">
        <f t="shared" si="6"/>
        <v>217440</v>
      </c>
      <c r="M26" s="3084">
        <f t="shared" si="4"/>
        <v>144960</v>
      </c>
      <c r="N26" s="3079">
        <f t="shared" si="5"/>
        <v>869760</v>
      </c>
      <c r="O26" s="3080"/>
      <c r="P26" s="3076"/>
    </row>
    <row r="27" spans="1:16" s="3107" customFormat="1" ht="22.5">
      <c r="A27" s="3102">
        <v>25</v>
      </c>
      <c r="B27" s="3367"/>
      <c r="C27" s="3103" t="s">
        <v>3348</v>
      </c>
      <c r="D27" s="3102" t="s">
        <v>3349</v>
      </c>
      <c r="E27" s="3108">
        <v>489</v>
      </c>
      <c r="F27" s="3108">
        <v>120</v>
      </c>
      <c r="G27" s="3108">
        <v>3</v>
      </c>
      <c r="H27" s="3104" t="s">
        <v>3330</v>
      </c>
      <c r="I27" s="3104" t="s">
        <v>3350</v>
      </c>
      <c r="J27" s="3109">
        <f>N27*3</f>
        <v>2112480</v>
      </c>
      <c r="K27" s="3104">
        <f t="shared" si="7"/>
        <v>58680</v>
      </c>
      <c r="L27" s="3109">
        <f t="shared" si="6"/>
        <v>176040</v>
      </c>
      <c r="M27" s="3109">
        <f t="shared" si="4"/>
        <v>117360</v>
      </c>
      <c r="N27" s="3104">
        <f t="shared" si="5"/>
        <v>704160</v>
      </c>
      <c r="O27" s="3110"/>
      <c r="P27" s="3102"/>
    </row>
    <row r="28" spans="1:16" s="3107" customFormat="1" ht="35.1" customHeight="1">
      <c r="A28" s="3102">
        <v>26</v>
      </c>
      <c r="B28" s="3367"/>
      <c r="C28" s="3103" t="s">
        <v>3351</v>
      </c>
      <c r="D28" s="3102" t="s">
        <v>3352</v>
      </c>
      <c r="E28" s="3102">
        <v>399</v>
      </c>
      <c r="F28" s="3102">
        <v>120</v>
      </c>
      <c r="G28" s="3102">
        <v>3</v>
      </c>
      <c r="H28" s="3102" t="s">
        <v>3353</v>
      </c>
      <c r="I28" s="3102" t="s">
        <v>3354</v>
      </c>
      <c r="J28" s="3102">
        <f>N28*3</f>
        <v>1723680</v>
      </c>
      <c r="K28" s="3104">
        <f t="shared" si="7"/>
        <v>47880</v>
      </c>
      <c r="L28" s="3109">
        <f t="shared" si="6"/>
        <v>143640</v>
      </c>
      <c r="M28" s="3109">
        <f t="shared" si="4"/>
        <v>95760</v>
      </c>
      <c r="N28" s="3104">
        <f t="shared" si="5"/>
        <v>574560</v>
      </c>
      <c r="O28" s="3112"/>
      <c r="P28" s="3102"/>
    </row>
    <row r="29" spans="1:16" ht="34.5" customHeight="1">
      <c r="A29" s="3076">
        <v>27</v>
      </c>
      <c r="B29" s="3367"/>
      <c r="C29" s="3078" t="s">
        <v>3355</v>
      </c>
      <c r="D29" s="3076" t="s">
        <v>3329</v>
      </c>
      <c r="E29" s="3076">
        <v>1631</v>
      </c>
      <c r="F29" s="3076">
        <v>140</v>
      </c>
      <c r="G29" s="3076">
        <v>10</v>
      </c>
      <c r="H29" s="3076" t="s">
        <v>3330</v>
      </c>
      <c r="I29" s="3076" t="s">
        <v>3331</v>
      </c>
      <c r="J29" s="3076"/>
      <c r="K29" s="3079">
        <f t="shared" si="7"/>
        <v>228340</v>
      </c>
      <c r="L29" s="3084">
        <f t="shared" si="6"/>
        <v>685020</v>
      </c>
      <c r="M29" s="3084">
        <f t="shared" si="4"/>
        <v>456680</v>
      </c>
      <c r="N29" s="3079">
        <f t="shared" si="5"/>
        <v>2740080</v>
      </c>
      <c r="O29" s="3085" t="s">
        <v>3332</v>
      </c>
      <c r="P29" s="3076"/>
    </row>
    <row r="30" spans="1:16" ht="34.5" customHeight="1">
      <c r="A30" s="3076">
        <v>28</v>
      </c>
      <c r="B30" s="3367" t="s">
        <v>3356</v>
      </c>
      <c r="C30" s="3078" t="s">
        <v>3357</v>
      </c>
      <c r="D30" s="3076" t="s">
        <v>3358</v>
      </c>
      <c r="E30" s="3076">
        <v>196.39</v>
      </c>
      <c r="F30" s="3076">
        <v>75</v>
      </c>
      <c r="G30" s="3076">
        <v>6</v>
      </c>
      <c r="H30" s="3076" t="s">
        <v>3359</v>
      </c>
      <c r="I30" s="3076" t="s">
        <v>3360</v>
      </c>
      <c r="J30" s="3076">
        <f>N30*3</f>
        <v>530244</v>
      </c>
      <c r="K30" s="3079">
        <f>ROUND(F30*E30,0)</f>
        <v>14729</v>
      </c>
      <c r="L30" s="3084">
        <f t="shared" si="6"/>
        <v>44187</v>
      </c>
      <c r="M30" s="3084">
        <f t="shared" si="4"/>
        <v>29458</v>
      </c>
      <c r="N30" s="3079">
        <f t="shared" si="5"/>
        <v>176748</v>
      </c>
      <c r="O30" s="3080" t="s">
        <v>3361</v>
      </c>
      <c r="P30" s="3076"/>
    </row>
    <row r="31" spans="1:16" ht="30" customHeight="1">
      <c r="A31" s="3076">
        <v>29</v>
      </c>
      <c r="B31" s="3367"/>
      <c r="C31" s="3078" t="s">
        <v>3362</v>
      </c>
      <c r="D31" s="3079" t="s">
        <v>3363</v>
      </c>
      <c r="E31" s="3083">
        <v>338</v>
      </c>
      <c r="F31" s="3083">
        <v>75</v>
      </c>
      <c r="G31" s="3083">
        <v>3</v>
      </c>
      <c r="H31" s="3084" t="s">
        <v>3364</v>
      </c>
      <c r="I31" s="3079" t="s">
        <v>3365</v>
      </c>
      <c r="J31" s="3076">
        <f t="shared" ref="J31:J34" si="9">N31*3</f>
        <v>912600</v>
      </c>
      <c r="K31" s="3079">
        <f>ROUND(F31*E31,0)</f>
        <v>25350</v>
      </c>
      <c r="L31" s="3084">
        <f t="shared" si="6"/>
        <v>76050</v>
      </c>
      <c r="M31" s="3084">
        <f t="shared" si="4"/>
        <v>50700</v>
      </c>
      <c r="N31" s="3079">
        <f t="shared" si="5"/>
        <v>304200</v>
      </c>
      <c r="O31" s="3080"/>
      <c r="P31" s="3076"/>
    </row>
    <row r="32" spans="1:16" ht="33.75">
      <c r="A32" s="3076">
        <v>30</v>
      </c>
      <c r="B32" s="3367"/>
      <c r="C32" s="3078" t="s">
        <v>3366</v>
      </c>
      <c r="D32" s="3076" t="s">
        <v>3367</v>
      </c>
      <c r="E32" s="3083">
        <v>1106</v>
      </c>
      <c r="F32" s="3083">
        <v>75</v>
      </c>
      <c r="G32" s="3083">
        <v>6</v>
      </c>
      <c r="H32" s="3079" t="s">
        <v>3322</v>
      </c>
      <c r="I32" s="3079" t="s">
        <v>3368</v>
      </c>
      <c r="J32" s="3076">
        <f>995400+995400+995400+1075032+1161035+1253917</f>
        <v>6476184</v>
      </c>
      <c r="K32" s="3079">
        <f>F32*E32</f>
        <v>82950</v>
      </c>
      <c r="L32" s="3084">
        <f t="shared" si="6"/>
        <v>248850</v>
      </c>
      <c r="M32" s="3084">
        <f t="shared" si="4"/>
        <v>165900</v>
      </c>
      <c r="N32" s="3079">
        <f t="shared" si="5"/>
        <v>995400</v>
      </c>
      <c r="O32" s="3080" t="s">
        <v>3369</v>
      </c>
      <c r="P32" s="3076"/>
    </row>
    <row r="33" spans="1:16" s="3107" customFormat="1" ht="36" customHeight="1">
      <c r="A33" s="3102">
        <v>31</v>
      </c>
      <c r="B33" s="3367"/>
      <c r="C33" s="3103" t="s">
        <v>3370</v>
      </c>
      <c r="D33" s="3102" t="s">
        <v>3371</v>
      </c>
      <c r="E33" s="3108">
        <v>421</v>
      </c>
      <c r="F33" s="3108">
        <v>75</v>
      </c>
      <c r="G33" s="3108">
        <v>5</v>
      </c>
      <c r="H33" s="3104" t="s">
        <v>3372</v>
      </c>
      <c r="I33" s="3104" t="s">
        <v>3373</v>
      </c>
      <c r="J33" s="3102">
        <f>378900+378900+378900+409212+441949</f>
        <v>1987861</v>
      </c>
      <c r="K33" s="3104">
        <f>E33*F33</f>
        <v>31575</v>
      </c>
      <c r="L33" s="3109">
        <f t="shared" si="6"/>
        <v>94725</v>
      </c>
      <c r="M33" s="3109">
        <f t="shared" si="4"/>
        <v>63150</v>
      </c>
      <c r="N33" s="3104">
        <f t="shared" si="5"/>
        <v>378900</v>
      </c>
      <c r="O33" s="3110" t="s">
        <v>3374</v>
      </c>
      <c r="P33" s="3102"/>
    </row>
    <row r="34" spans="1:16" s="3107" customFormat="1" ht="27.95" customHeight="1">
      <c r="A34" s="3102">
        <v>32</v>
      </c>
      <c r="B34" s="3367"/>
      <c r="C34" s="3103" t="s">
        <v>3375</v>
      </c>
      <c r="D34" s="3102" t="s">
        <v>3376</v>
      </c>
      <c r="E34" s="3108">
        <v>294</v>
      </c>
      <c r="F34" s="3108">
        <v>75</v>
      </c>
      <c r="G34" s="3108">
        <v>3</v>
      </c>
      <c r="H34" s="3104" t="s">
        <v>3377</v>
      </c>
      <c r="I34" s="3104" t="s">
        <v>3378</v>
      </c>
      <c r="J34" s="3102">
        <f t="shared" si="9"/>
        <v>793800</v>
      </c>
      <c r="K34" s="3104">
        <f>F34*E34</f>
        <v>22050</v>
      </c>
      <c r="L34" s="3109">
        <f t="shared" si="6"/>
        <v>66150</v>
      </c>
      <c r="M34" s="3109">
        <f t="shared" si="4"/>
        <v>44100</v>
      </c>
      <c r="N34" s="3104">
        <f t="shared" si="5"/>
        <v>264600</v>
      </c>
      <c r="O34" s="3110"/>
      <c r="P34" s="3102"/>
    </row>
    <row r="35" spans="1:16" s="3107" customFormat="1" ht="22.5">
      <c r="A35" s="3102">
        <v>33</v>
      </c>
      <c r="B35" s="3367"/>
      <c r="C35" s="3103" t="s">
        <v>3379</v>
      </c>
      <c r="D35" s="3102" t="s">
        <v>3380</v>
      </c>
      <c r="E35" s="3108">
        <v>307</v>
      </c>
      <c r="F35" s="3113">
        <v>75</v>
      </c>
      <c r="G35" s="3108">
        <v>2</v>
      </c>
      <c r="H35" s="3104" t="s">
        <v>3381</v>
      </c>
      <c r="I35" s="3104" t="s">
        <v>3311</v>
      </c>
      <c r="J35" s="3102">
        <f>N35*2</f>
        <v>552600</v>
      </c>
      <c r="K35" s="3104">
        <f>E35*F35</f>
        <v>23025</v>
      </c>
      <c r="L35" s="3109">
        <f t="shared" si="6"/>
        <v>69075</v>
      </c>
      <c r="M35" s="3109">
        <f t="shared" si="4"/>
        <v>46050</v>
      </c>
      <c r="N35" s="3104">
        <f t="shared" si="5"/>
        <v>276300</v>
      </c>
      <c r="O35" s="3110"/>
      <c r="P35" s="3102"/>
    </row>
    <row r="36" spans="1:16" ht="43.5" customHeight="1">
      <c r="A36" s="3076">
        <v>34</v>
      </c>
      <c r="B36" s="3367"/>
      <c r="C36" s="3078" t="s">
        <v>3382</v>
      </c>
      <c r="D36" s="3076" t="s">
        <v>3329</v>
      </c>
      <c r="E36" s="3076">
        <v>2078</v>
      </c>
      <c r="F36" s="3076">
        <v>140</v>
      </c>
      <c r="G36" s="3076">
        <v>10</v>
      </c>
      <c r="H36" s="3076" t="s">
        <v>3330</v>
      </c>
      <c r="I36" s="3076" t="s">
        <v>3331</v>
      </c>
      <c r="J36" s="3076"/>
      <c r="K36" s="3076">
        <f>E36*F36</f>
        <v>290920</v>
      </c>
      <c r="L36" s="3084">
        <f t="shared" si="6"/>
        <v>872760</v>
      </c>
      <c r="M36" s="3084"/>
      <c r="N36" s="3079">
        <f t="shared" si="5"/>
        <v>3491040</v>
      </c>
      <c r="O36" s="3085" t="s">
        <v>3332</v>
      </c>
      <c r="P36" s="3076"/>
    </row>
    <row r="37" spans="1:16" ht="27.95" customHeight="1">
      <c r="A37" s="3362" t="s">
        <v>3383</v>
      </c>
      <c r="B37" s="3362"/>
      <c r="C37" s="3362"/>
      <c r="D37" s="3362"/>
      <c r="E37" s="3089">
        <f>SUM(E3:E36)</f>
        <v>13477.39</v>
      </c>
      <c r="F37" s="3090"/>
      <c r="G37" s="3090"/>
      <c r="H37" s="3090"/>
      <c r="I37" s="3090"/>
      <c r="J37" s="3079">
        <f>SUM(J3:J36)</f>
        <v>58112795</v>
      </c>
      <c r="K37" s="3079">
        <f>SUM(K3:K36)</f>
        <v>1887349</v>
      </c>
      <c r="L37" s="3091">
        <f>SUM(L3:L36)</f>
        <v>5662047</v>
      </c>
      <c r="M37" s="3084">
        <f>SUM(M3:M36)</f>
        <v>3144558</v>
      </c>
      <c r="N37" s="3079">
        <f>SUM(N3:N36)</f>
        <v>22648188</v>
      </c>
      <c r="O37" s="3092"/>
      <c r="P37" s="3076"/>
    </row>
    <row r="38" spans="1:16" ht="20.25" customHeight="1">
      <c r="O38" s="3094"/>
    </row>
    <row r="39" spans="1:16" ht="20.25" customHeight="1">
      <c r="O39" s="3095"/>
    </row>
    <row r="40" spans="1:16">
      <c r="E40" s="3114">
        <f>E3+E6+E7+E8+E9+E10+E12+E15+E16+E18+E20+E21+E22+E23+E24+E25+E26+E29+E30+E31+E32+E36</f>
        <v>10230.39</v>
      </c>
      <c r="F40" s="3072">
        <f>E3*F3*12+E6*F6*12+E7*F7*12+(E8+E9)*F8*12+E10*F10*12+E12*F12*12+E15*F15*12+E16*F16*12+E18*F18*12+E20*F20*12+E21*F21*12+E22*F22*12+E23*F23*12+E24*F24*12+E25*F25*12+E26*F26*12+E29*F29*12+E30*F30*12+E31*F31*12+E32*F32*12+E36*F36*12</f>
        <v>17080431</v>
      </c>
    </row>
    <row r="41" spans="1:16">
      <c r="F41" s="3072">
        <f>F40/E40/365</f>
        <v>4.574185477764094</v>
      </c>
    </row>
    <row r="45" spans="1:16">
      <c r="I45" s="3072">
        <v>1</v>
      </c>
      <c r="J45" s="3072">
        <f>典型户型修正!B24</f>
        <v>5303.27</v>
      </c>
      <c r="K45" s="3072">
        <f>(J45*I45+J46*I46+J47*I47)/J48</f>
        <v>0.7254366403467456</v>
      </c>
    </row>
    <row r="46" spans="1:16">
      <c r="I46" s="3072">
        <v>0.6</v>
      </c>
      <c r="J46" s="3072">
        <f>典型户型修正!B25</f>
        <v>5310.54</v>
      </c>
      <c r="L46" s="3072">
        <f ca="1">结果表!G20/台账!K45</f>
        <v>25215.158681889508</v>
      </c>
    </row>
    <row r="47" spans="1:16">
      <c r="I47" s="3072">
        <v>0.55000000000000004</v>
      </c>
      <c r="J47" s="3072">
        <f>典型户型修正!B26</f>
        <v>4502.75</v>
      </c>
      <c r="M47" s="3072">
        <f ca="1">L46*I47</f>
        <v>13868.33727503923</v>
      </c>
    </row>
    <row r="48" spans="1:16">
      <c r="J48" s="3072">
        <f>SUM(J45:J47)</f>
        <v>15116.560000000001</v>
      </c>
    </row>
  </sheetData>
  <mergeCells count="17">
    <mergeCell ref="A1:O1"/>
    <mergeCell ref="B3:B23"/>
    <mergeCell ref="D8:D9"/>
    <mergeCell ref="F8:F9"/>
    <mergeCell ref="G8:G9"/>
    <mergeCell ref="H8:H9"/>
    <mergeCell ref="I8:I9"/>
    <mergeCell ref="J8:J9"/>
    <mergeCell ref="K8:K9"/>
    <mergeCell ref="L8:L9"/>
    <mergeCell ref="A37:D37"/>
    <mergeCell ref="M8:M9"/>
    <mergeCell ref="N8:N9"/>
    <mergeCell ref="O8:O9"/>
    <mergeCell ref="P8:P9"/>
    <mergeCell ref="B24:B29"/>
    <mergeCell ref="B30:B36"/>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6"/>
  <sheetViews>
    <sheetView workbookViewId="0">
      <selection activeCell="C3" sqref="C3"/>
    </sheetView>
  </sheetViews>
  <sheetFormatPr defaultRowHeight="13.5"/>
  <cols>
    <col min="1" max="3" width="19.25" style="3096" customWidth="1"/>
    <col min="4" max="16384" width="9" style="3096"/>
  </cols>
  <sheetData>
    <row r="1" spans="1:4" ht="14.25">
      <c r="A1" s="3369" t="s">
        <v>3384</v>
      </c>
      <c r="B1" s="3369"/>
      <c r="C1" s="3369"/>
    </row>
    <row r="2" spans="1:4" ht="30.75" customHeight="1">
      <c r="A2" s="3097" t="s">
        <v>608</v>
      </c>
      <c r="B2" s="3097" t="s">
        <v>3385</v>
      </c>
      <c r="C2" s="3097" t="s">
        <v>3386</v>
      </c>
    </row>
    <row r="3" spans="1:4" ht="30.75" customHeight="1">
      <c r="A3" s="3098">
        <v>1</v>
      </c>
      <c r="B3" s="3097" t="s">
        <v>3387</v>
      </c>
      <c r="C3" s="3099">
        <v>14705808</v>
      </c>
      <c r="D3" s="3100">
        <f>C3/15116.56/365</f>
        <v>2.6652813160869173</v>
      </c>
    </row>
    <row r="4" spans="1:4" ht="30.75" customHeight="1">
      <c r="A4" s="3098">
        <v>2</v>
      </c>
      <c r="B4" s="3097" t="s">
        <v>3388</v>
      </c>
      <c r="C4" s="3099">
        <v>16120682</v>
      </c>
      <c r="D4" s="3100">
        <f>C4/15116.56/365</f>
        <v>2.9217131447098095</v>
      </c>
    </row>
    <row r="5" spans="1:4" ht="30.75" customHeight="1">
      <c r="A5" s="3098">
        <v>3</v>
      </c>
      <c r="B5" s="3097" t="s">
        <v>3389</v>
      </c>
      <c r="C5" s="3099">
        <v>8755957.5</v>
      </c>
    </row>
    <row r="6" spans="1:4" ht="30.75" customHeight="1">
      <c r="A6" s="3097" t="s">
        <v>3177</v>
      </c>
      <c r="B6" s="3101"/>
      <c r="C6" s="3099">
        <f>SUM(C3:C5)</f>
        <v>39582447.5</v>
      </c>
    </row>
  </sheetData>
  <mergeCells count="1">
    <mergeCell ref="A1:C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t="s">
        <v>3084</v>
      </c>
      <c r="D1" s="1932"/>
      <c r="E1" s="1932"/>
      <c r="F1" s="1934" t="s">
        <v>1950</v>
      </c>
      <c r="G1" s="1745"/>
      <c r="H1" s="1935" t="str">
        <f>IF(G1="现房","——","估价对象范围")</f>
        <v>估价对象范围</v>
      </c>
      <c r="I1" s="1936"/>
    </row>
    <row r="2" spans="1:12" ht="21.75" customHeight="1" thickBot="1">
      <c r="A2" s="3277" t="str">
        <f>项目基本情况!S2</f>
        <v>房地产</v>
      </c>
      <c r="B2" s="3278"/>
      <c r="C2" s="3278"/>
      <c r="D2" s="3278"/>
      <c r="E2" s="3278"/>
      <c r="F2" s="3278"/>
      <c r="G2" s="3278"/>
      <c r="H2" s="3278"/>
      <c r="I2" s="3279"/>
    </row>
    <row r="3" spans="1:12" ht="12.75">
      <c r="A3" s="3281" t="s">
        <v>1951</v>
      </c>
      <c r="B3" s="3282"/>
      <c r="C3" s="3282"/>
      <c r="D3" s="3282"/>
      <c r="E3" s="3282"/>
      <c r="F3" s="3282"/>
      <c r="G3" s="3282"/>
      <c r="H3" s="3282"/>
      <c r="I3" s="3282"/>
    </row>
    <row r="4" spans="1:12" ht="14.25">
      <c r="A4" s="1939" t="s">
        <v>1952</v>
      </c>
      <c r="B4" s="1940" t="s">
        <v>1953</v>
      </c>
      <c r="C4" s="1941" t="s">
        <v>3233</v>
      </c>
      <c r="D4" s="1941" t="s">
        <v>3087</v>
      </c>
      <c r="E4" s="3286" t="s">
        <v>1954</v>
      </c>
      <c r="F4" s="3287"/>
      <c r="G4" s="3287"/>
      <c r="H4" s="3287"/>
      <c r="I4" s="3288"/>
      <c r="K4" s="149" t="str">
        <f>IF(ISNUMBER(FIND("比较法",结果表车位!C4)),"比较法",IF(ISNUMBER(FIND("成本法",结果表车位!C4)),"成本法",IF(ISNUMBER(FIND("假设开发法",结果表车位!C4)),"假设开发法",IF(ISNUMBER(FIND("收益法",结果表车位!C4)),"收益法","基准地价系数修正法"))))</f>
        <v>比较法</v>
      </c>
      <c r="L4" s="14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22" t="s">
        <v>1955</v>
      </c>
      <c r="B5" s="3280">
        <v>25</v>
      </c>
      <c r="C5" s="3283"/>
      <c r="D5" s="3271"/>
      <c r="E5" s="134" t="s">
        <v>1956</v>
      </c>
      <c r="F5" s="1942"/>
      <c r="G5" s="1942"/>
      <c r="H5" s="1942"/>
      <c r="I5" s="1556"/>
    </row>
    <row r="6" spans="1:12" ht="12.75">
      <c r="A6" s="3222"/>
      <c r="B6" s="3280"/>
      <c r="C6" s="3285"/>
      <c r="D6" s="3271"/>
      <c r="E6" s="134" t="s">
        <v>1957</v>
      </c>
      <c r="F6" s="1942"/>
      <c r="G6" s="1942"/>
      <c r="H6" s="1942"/>
      <c r="I6" s="1556"/>
    </row>
    <row r="7" spans="1:12" ht="12.75">
      <c r="A7" s="3222"/>
      <c r="B7" s="3280"/>
      <c r="C7" s="3284"/>
      <c r="D7" s="3271"/>
      <c r="E7" s="134" t="s">
        <v>1958</v>
      </c>
      <c r="F7" s="1942"/>
      <c r="G7" s="1942"/>
      <c r="H7" s="1942"/>
      <c r="I7" s="1556"/>
    </row>
    <row r="8" spans="1:12" ht="12.75">
      <c r="A8" s="3222" t="s">
        <v>1959</v>
      </c>
      <c r="B8" s="3280">
        <v>15</v>
      </c>
      <c r="C8" s="3283"/>
      <c r="D8" s="3271"/>
      <c r="E8" s="134" t="s">
        <v>1960</v>
      </c>
      <c r="F8" s="1942"/>
      <c r="G8" s="1942"/>
      <c r="H8" s="1942"/>
      <c r="I8" s="1556"/>
    </row>
    <row r="9" spans="1:12" ht="12.75">
      <c r="A9" s="3222"/>
      <c r="B9" s="3280"/>
      <c r="C9" s="3284"/>
      <c r="D9" s="3271"/>
      <c r="E9" s="134" t="s">
        <v>1961</v>
      </c>
      <c r="F9" s="1942"/>
      <c r="G9" s="1942"/>
      <c r="H9" s="1942"/>
      <c r="I9" s="1556"/>
    </row>
    <row r="10" spans="1:12" ht="12.75">
      <c r="A10" s="3222" t="s">
        <v>1962</v>
      </c>
      <c r="B10" s="3280">
        <v>15</v>
      </c>
      <c r="C10" s="3283"/>
      <c r="D10" s="3271"/>
      <c r="E10" s="134" t="s">
        <v>1963</v>
      </c>
      <c r="F10" s="1942"/>
      <c r="G10" s="1942"/>
      <c r="H10" s="1942"/>
      <c r="I10" s="1556"/>
    </row>
    <row r="11" spans="1:12" ht="12.75">
      <c r="A11" s="3222"/>
      <c r="B11" s="3280"/>
      <c r="C11" s="3284"/>
      <c r="D11" s="3271"/>
      <c r="E11" s="134" t="s">
        <v>1964</v>
      </c>
      <c r="F11" s="1942"/>
      <c r="G11" s="1942"/>
      <c r="H11" s="1942"/>
      <c r="I11" s="1556"/>
    </row>
    <row r="12" spans="1:12" ht="12.75">
      <c r="A12" s="3222" t="s">
        <v>1965</v>
      </c>
      <c r="B12" s="3280">
        <v>15</v>
      </c>
      <c r="C12" s="3283"/>
      <c r="D12" s="3271"/>
      <c r="E12" s="134" t="s">
        <v>1966</v>
      </c>
      <c r="F12" s="1942"/>
      <c r="G12" s="1942"/>
      <c r="H12" s="1942"/>
      <c r="I12" s="1556"/>
    </row>
    <row r="13" spans="1:12" ht="12.75">
      <c r="A13" s="3222"/>
      <c r="B13" s="3280"/>
      <c r="C13" s="3284"/>
      <c r="D13" s="3271"/>
      <c r="E13" s="134" t="s">
        <v>1967</v>
      </c>
      <c r="F13" s="1942"/>
      <c r="G13" s="1942"/>
      <c r="H13" s="1942"/>
      <c r="I13" s="1556"/>
    </row>
    <row r="14" spans="1:12" ht="12.75">
      <c r="A14" s="3222" t="s">
        <v>1968</v>
      </c>
      <c r="B14" s="3280">
        <v>30</v>
      </c>
      <c r="C14" s="3283">
        <v>6</v>
      </c>
      <c r="D14" s="3271">
        <v>4</v>
      </c>
      <c r="E14" s="134" t="s">
        <v>1969</v>
      </c>
      <c r="F14" s="1942"/>
      <c r="G14" s="1942"/>
      <c r="H14" s="1942"/>
      <c r="I14" s="1556"/>
    </row>
    <row r="15" spans="1:12" ht="12.75">
      <c r="A15" s="3222"/>
      <c r="B15" s="3280"/>
      <c r="C15" s="3285"/>
      <c r="D15" s="3271"/>
      <c r="E15" s="134" t="s">
        <v>1970</v>
      </c>
      <c r="F15" s="1942"/>
      <c r="G15" s="1942"/>
      <c r="H15" s="1942"/>
      <c r="I15" s="1556"/>
    </row>
    <row r="16" spans="1:12" ht="12.75">
      <c r="A16" s="3222"/>
      <c r="B16" s="3280"/>
      <c r="C16" s="3284"/>
      <c r="D16" s="3271"/>
      <c r="E16" s="134" t="s">
        <v>1971</v>
      </c>
      <c r="F16" s="1942"/>
      <c r="G16" s="1942"/>
      <c r="H16" s="1942"/>
      <c r="I16" s="1556"/>
    </row>
    <row r="17" spans="1:36" ht="15">
      <c r="A17" s="1943" t="s">
        <v>1972</v>
      </c>
      <c r="B17" s="60"/>
      <c r="C17" s="135">
        <f>SUM(C5:C16)</f>
        <v>6</v>
      </c>
      <c r="D17" s="135">
        <f>SUM(D5:D16)</f>
        <v>4</v>
      </c>
      <c r="E17" s="132"/>
      <c r="F17" s="132"/>
      <c r="G17" s="132"/>
      <c r="H17" s="132"/>
      <c r="I17" s="132"/>
      <c r="K17" s="306"/>
      <c r="L17" s="306" t="s">
        <v>1973</v>
      </c>
      <c r="M17" s="306" t="s">
        <v>1974</v>
      </c>
    </row>
    <row r="18" spans="1:36" ht="31.9" customHeight="1" thickBot="1">
      <c r="A18" s="1944" t="s">
        <v>1975</v>
      </c>
      <c r="B18" s="1945"/>
      <c r="C18" s="136">
        <f>ROUND(C17/SUM(C17:D17),2)</f>
        <v>0.6</v>
      </c>
      <c r="D18" s="136">
        <f>1-C18</f>
        <v>0.4</v>
      </c>
      <c r="E18" s="3302" t="s">
        <v>2874</v>
      </c>
      <c r="F18" s="3303"/>
      <c r="G18" s="3303"/>
      <c r="H18" s="3303"/>
      <c r="I18" s="3303"/>
      <c r="K18" s="306" t="s">
        <v>1976</v>
      </c>
      <c r="L18" s="306">
        <f>IF(C1="",'数据-汇总表'!E3,SUMIF(项目类型,C1,'数据-汇总表'!E17:E26)+SUMIF(项目类型,C1,'数据-汇总表'!I17:I26))</f>
        <v>7889.71</v>
      </c>
      <c r="M18" s="306">
        <f>IF(C1="",'数据-汇总表'!E3,SUMIF(项目类型,C1,'数据-汇总表'!E17:E26))</f>
        <v>7889.71</v>
      </c>
    </row>
    <row r="19" spans="1:36" ht="15">
      <c r="A19" s="1946" t="s">
        <v>1977</v>
      </c>
      <c r="B19" s="1947" t="s">
        <v>1978</v>
      </c>
      <c r="C19" s="137">
        <f ca="1">SUMIF(INDIRECT("'"&amp;C4&amp;"'"&amp;"!A:A"),结果表车位!B19,INDIRECT("'"&amp;C4&amp;"'"&amp;"!B:B"))</f>
        <v>3537</v>
      </c>
      <c r="D19" s="138">
        <f ca="1">SUMIF(INDIRECT("'"&amp;D4&amp;"'"&amp;"!A:A"),结果表车位!B19,INDIRECT("'"&amp;D4&amp;"'"&amp;"!B:B"))</f>
        <v>1154</v>
      </c>
      <c r="E19" s="1946" t="s">
        <v>1979</v>
      </c>
      <c r="F19" s="1947" t="s">
        <v>1978</v>
      </c>
      <c r="G19" s="139">
        <f ca="1">ROUND(C19*$C$18+D19*$D$18,0)</f>
        <v>2584</v>
      </c>
      <c r="H19" s="1948" t="s">
        <v>1980</v>
      </c>
      <c r="I19" s="132"/>
      <c r="K19" s="306" t="s">
        <v>1981</v>
      </c>
      <c r="L19" s="306">
        <f>IF(C1="",'数据-汇总表'!D3,SUMIF(项目类型,C1,'数据-汇总表'!D17:D26)+SUMIF(项目类型,C1,'数据-汇总表'!H17:H27))</f>
        <v>954.07</v>
      </c>
      <c r="M19" s="306">
        <f>IF(C1="",'数据-汇总表'!D3,SUMIF(项目类型,C1,'数据-汇总表'!D17:D26))</f>
        <v>954.07</v>
      </c>
    </row>
    <row r="20" spans="1:36" ht="15">
      <c r="A20" s="1949"/>
      <c r="B20" s="1154" t="s">
        <v>1982</v>
      </c>
      <c r="C20" s="140">
        <f ca="1">SUMIF(INDIRECT("'"&amp;C4&amp;"'"&amp;"!A:A"),结果表车位!B20,INDIRECT("'"&amp;C4&amp;"'"&amp;"!B:B"))</f>
        <v>4483</v>
      </c>
      <c r="D20" s="141">
        <f ca="1">SUMIF(INDIRECT("'"&amp;D4&amp;"'"&amp;"!A:A"),结果表车位!B20,INDIRECT("'"&amp;D4&amp;"'"&amp;"!B:B"))</f>
        <v>1463</v>
      </c>
      <c r="E20" s="1949"/>
      <c r="F20" s="1154" t="s">
        <v>1982</v>
      </c>
      <c r="G20" s="142">
        <f ca="1">ROUND(C20*$C$18+D20*$D$18,0)</f>
        <v>3275</v>
      </c>
      <c r="H20" s="914" t="s">
        <v>1983</v>
      </c>
      <c r="I20" s="132"/>
    </row>
    <row r="21" spans="1:36" ht="15" customHeight="1" thickBot="1">
      <c r="A21" s="934"/>
      <c r="B21" s="1950" t="s">
        <v>1984</v>
      </c>
      <c r="C21" s="725">
        <f ca="1">ROUND(C19*10000/L19,0)</f>
        <v>37073</v>
      </c>
      <c r="D21" s="726">
        <f ca="1">ROUND(D19*10000/L19,0)</f>
        <v>12096</v>
      </c>
      <c r="E21" s="934"/>
      <c r="F21" s="1950" t="s">
        <v>1984</v>
      </c>
      <c r="G21" s="143">
        <f ca="1">ROUND(G19*10000/L19,0)</f>
        <v>27084</v>
      </c>
      <c r="H21" s="1951" t="s">
        <v>1983</v>
      </c>
      <c r="I21" s="132"/>
    </row>
    <row r="22" spans="1:36" ht="15" thickBot="1">
      <c r="A22" s="1873" t="s">
        <v>1985</v>
      </c>
      <c r="B22" s="1952"/>
      <c r="C22" s="1953"/>
      <c r="D22" s="727">
        <f ca="1">IF(C19&lt;D19,D19/C19-1,C19/D19-1)</f>
        <v>2.064991334488735</v>
      </c>
      <c r="E22" s="132"/>
      <c r="F22" s="132"/>
      <c r="G22" s="132"/>
      <c r="H22" s="132"/>
      <c r="I22" s="132"/>
    </row>
    <row r="23" spans="1:36" ht="13.5" thickBot="1">
      <c r="A23" s="1932"/>
      <c r="B23" s="1932"/>
      <c r="C23" s="1932"/>
      <c r="D23" s="1932"/>
      <c r="E23" s="132"/>
      <c r="F23" s="132"/>
      <c r="G23" s="132"/>
      <c r="H23" s="132"/>
      <c r="I23" s="132"/>
    </row>
    <row r="24" spans="1:36" ht="14.25">
      <c r="A24" s="3295" t="s">
        <v>1986</v>
      </c>
      <c r="B24" s="1947" t="s">
        <v>1978</v>
      </c>
      <c r="C24" s="139">
        <f>IF(B30=0,0,D30)</f>
        <v>0</v>
      </c>
      <c r="D24" s="1954"/>
      <c r="E24" s="132"/>
      <c r="F24" s="132"/>
      <c r="G24" s="132"/>
      <c r="H24" s="132"/>
      <c r="I24" s="132"/>
    </row>
    <row r="25" spans="1:36" ht="14.25">
      <c r="A25" s="3296"/>
      <c r="B25" s="1154" t="s">
        <v>1982</v>
      </c>
      <c r="C25" s="144">
        <f>IF(B30=0,0,C30)</f>
        <v>0</v>
      </c>
      <c r="D25" s="1955"/>
      <c r="E25" s="132"/>
      <c r="F25" s="132"/>
      <c r="G25" s="132"/>
      <c r="H25" s="132"/>
      <c r="I25" s="132"/>
    </row>
    <row r="26" spans="1:36" ht="13.5" customHeight="1">
      <c r="A26" s="1956" t="s">
        <v>1987</v>
      </c>
      <c r="B26" s="145" t="s">
        <v>1988</v>
      </c>
      <c r="C26" s="145" t="s">
        <v>1989</v>
      </c>
      <c r="D26" s="146" t="s">
        <v>1990</v>
      </c>
      <c r="E26" s="132"/>
      <c r="F26" s="132"/>
      <c r="G26" s="132"/>
      <c r="H26" s="132"/>
      <c r="I26" s="132"/>
    </row>
    <row r="27" spans="1:36" ht="14.25">
      <c r="A27" s="1956"/>
      <c r="B27" s="145">
        <v>0</v>
      </c>
      <c r="C27" s="145">
        <v>0</v>
      </c>
      <c r="D27" s="146">
        <f>ROUND(C27*B27/10000,0)</f>
        <v>0</v>
      </c>
      <c r="E27" s="132"/>
      <c r="F27" s="132"/>
      <c r="G27" s="132"/>
      <c r="H27" s="132"/>
      <c r="I27" s="132"/>
    </row>
    <row r="28" spans="1:36" ht="14.25">
      <c r="A28" s="1956"/>
      <c r="B28" s="145"/>
      <c r="C28" s="145"/>
      <c r="D28" s="146"/>
      <c r="E28" s="132"/>
      <c r="F28" s="132"/>
      <c r="G28" s="132"/>
      <c r="H28" s="132"/>
      <c r="I28" s="132"/>
    </row>
    <row r="29" spans="1:36" ht="14.25">
      <c r="A29" s="1956"/>
      <c r="B29" s="145"/>
      <c r="C29" s="145"/>
      <c r="D29" s="146"/>
      <c r="E29" s="132"/>
      <c r="F29" s="132"/>
      <c r="G29" s="132"/>
      <c r="H29" s="132"/>
      <c r="I29" s="132"/>
    </row>
    <row r="30" spans="1:36" ht="15" thickBot="1">
      <c r="A30" s="145" t="s">
        <v>1991</v>
      </c>
      <c r="B30" s="145"/>
      <c r="C30" s="145"/>
      <c r="D30" s="145"/>
      <c r="E30" s="2520" t="s">
        <v>2875</v>
      </c>
      <c r="F30" s="132"/>
      <c r="G30" s="132"/>
      <c r="H30" s="132"/>
      <c r="I30" s="132"/>
    </row>
    <row r="31" spans="1:36" s="2526" customFormat="1" ht="26.45" customHeight="1" thickTop="1" thickBot="1">
      <c r="A31" s="2521"/>
      <c r="B31" s="2522"/>
      <c r="C31" s="2522"/>
      <c r="D31" s="2522"/>
      <c r="E31" s="2522"/>
      <c r="F31" s="2522"/>
      <c r="G31" s="2522"/>
      <c r="H31" s="2522"/>
      <c r="I31" s="2523" t="s">
        <v>2876</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7">
        <f ca="1">IF(D32="总价",G19-C24,G20-C25)</f>
        <v>2584</v>
      </c>
      <c r="D32" s="1960" t="s">
        <v>3189</v>
      </c>
      <c r="E32" s="132"/>
      <c r="F32" s="132"/>
      <c r="G32" s="132"/>
      <c r="H32" s="132"/>
      <c r="I32" s="132"/>
    </row>
    <row r="33" spans="1:15" ht="15">
      <c r="A33" s="891" t="s">
        <v>1993</v>
      </c>
      <c r="B33" s="1961"/>
      <c r="C33" s="1962"/>
      <c r="D33" s="1963"/>
      <c r="E33" s="1964" t="s">
        <v>1994</v>
      </c>
      <c r="F33" s="1965" t="str">
        <f>IF(D32="楼面单价","取值（单价）","取值（总价）")</f>
        <v>取值（总价）</v>
      </c>
      <c r="G33" s="132"/>
      <c r="H33" s="132"/>
      <c r="I33" s="132"/>
    </row>
    <row r="34" spans="1:15" ht="15">
      <c r="A34" s="1966"/>
      <c r="B34" s="1967" t="s">
        <v>1995</v>
      </c>
      <c r="C34" s="151"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2"/>
      <c r="H34" s="132"/>
      <c r="I34" s="132"/>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7"/>
      <c r="G35" s="132"/>
      <c r="H35" s="132"/>
      <c r="I35" s="132"/>
    </row>
    <row r="36" spans="1:15" ht="15.75" thickBot="1">
      <c r="A36" s="3272" t="s">
        <v>1999</v>
      </c>
      <c r="B36" s="1972" t="s">
        <v>2000</v>
      </c>
      <c r="C36" s="148"/>
      <c r="D36" s="1973"/>
      <c r="E36" s="1974"/>
      <c r="F36" s="1975"/>
      <c r="G36" s="132"/>
      <c r="H36" s="132"/>
      <c r="I36" s="132"/>
    </row>
    <row r="37" spans="1:15" ht="15.75" thickBot="1">
      <c r="A37" s="3273"/>
      <c r="B37" s="1859" t="s">
        <v>2001</v>
      </c>
      <c r="C37" s="150"/>
      <c r="D37" s="1298"/>
      <c r="E37" s="1298"/>
      <c r="F37" s="1975"/>
      <c r="G37" s="132"/>
      <c r="H37" s="132"/>
      <c r="I37" s="132"/>
    </row>
    <row r="38" spans="1:15" ht="15.75" thickBot="1">
      <c r="A38" s="3274"/>
      <c r="B38" s="1976" t="s">
        <v>2002</v>
      </c>
      <c r="C38" s="680"/>
      <c r="D38" s="1977" t="s">
        <v>2003</v>
      </c>
      <c r="E38" s="1298"/>
      <c r="F38" s="1975"/>
      <c r="G38" s="132"/>
      <c r="H38" s="132"/>
      <c r="I38" s="132"/>
    </row>
    <row r="39" spans="1:15" ht="15">
      <c r="A39" s="1949" t="s">
        <v>2004</v>
      </c>
      <c r="B39" s="1978" t="s">
        <v>1988</v>
      </c>
      <c r="C39" s="1979" t="s">
        <v>1989</v>
      </c>
      <c r="D39" s="1979" t="s">
        <v>2007</v>
      </c>
      <c r="E39" s="1980" t="s">
        <v>1990</v>
      </c>
      <c r="F39" s="1975"/>
      <c r="G39" s="132"/>
      <c r="H39" s="132"/>
      <c r="I39" s="132"/>
    </row>
    <row r="40" spans="1:15" ht="14.25">
      <c r="A40" s="1981" t="s">
        <v>2009</v>
      </c>
      <c r="B40" s="152"/>
      <c r="C40" s="153"/>
      <c r="D40" s="153"/>
      <c r="E40" s="154"/>
      <c r="F40" s="1975"/>
      <c r="G40" s="132"/>
      <c r="H40" s="132"/>
      <c r="I40" s="132"/>
    </row>
    <row r="41" spans="1:15" ht="14.25">
      <c r="A41" s="1981" t="s">
        <v>2010</v>
      </c>
      <c r="B41" s="152"/>
      <c r="C41" s="153"/>
      <c r="D41" s="153"/>
      <c r="E41" s="154"/>
      <c r="F41" s="1975"/>
      <c r="G41" s="132"/>
      <c r="H41" s="132"/>
      <c r="I41" s="132"/>
    </row>
    <row r="42" spans="1:15" ht="15" thickBot="1">
      <c r="A42" s="1982"/>
      <c r="B42" s="155"/>
      <c r="C42" s="156"/>
      <c r="D42" s="156"/>
      <c r="E42" s="157"/>
      <c r="F42" s="1975"/>
      <c r="G42" s="132"/>
      <c r="H42" s="132"/>
      <c r="I42" s="132"/>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92" t="s">
        <v>2013</v>
      </c>
      <c r="B45" s="3293"/>
      <c r="C45" s="3294"/>
      <c r="D45" s="158">
        <f ca="1">ROUND(H101*F45,0)</f>
        <v>2584</v>
      </c>
      <c r="E45" s="159" t="s">
        <v>2014</v>
      </c>
      <c r="F45" s="160">
        <v>1</v>
      </c>
      <c r="G45" s="161" t="s">
        <v>2015</v>
      </c>
      <c r="H45" s="132"/>
      <c r="I45" s="132"/>
      <c r="J45" s="3209" t="s">
        <v>2016</v>
      </c>
      <c r="K45" s="3209"/>
      <c r="L45" s="3209"/>
      <c r="M45" s="3209"/>
      <c r="N45" s="3209"/>
      <c r="O45" s="3209"/>
    </row>
    <row r="46" spans="1:15" ht="14.25" customHeight="1">
      <c r="A46" s="3289" t="s">
        <v>2017</v>
      </c>
      <c r="B46" s="3290"/>
      <c r="C46" s="3290"/>
      <c r="D46" s="3290"/>
      <c r="E46" s="3290"/>
      <c r="F46" s="3290"/>
      <c r="G46" s="3291"/>
      <c r="H46" s="1991"/>
      <c r="I46" s="162"/>
      <c r="J46" s="3052">
        <v>1</v>
      </c>
      <c r="K46" s="3210" t="s">
        <v>2018</v>
      </c>
      <c r="L46" s="3210"/>
      <c r="M46" s="3211"/>
      <c r="N46" s="3211"/>
      <c r="O46" s="3211"/>
    </row>
    <row r="47" spans="1:15" ht="12" customHeight="1">
      <c r="A47" s="163" t="s">
        <v>2019</v>
      </c>
      <c r="B47" s="164"/>
      <c r="C47" s="165"/>
      <c r="D47" s="1244" t="s">
        <v>2020</v>
      </c>
      <c r="E47" s="306" t="s">
        <v>2021</v>
      </c>
      <c r="F47" s="166" t="s">
        <v>2022</v>
      </c>
      <c r="G47" s="2771" t="s">
        <v>2023</v>
      </c>
      <c r="H47" s="2772"/>
      <c r="I47" s="162"/>
      <c r="J47" s="3052">
        <v>2</v>
      </c>
      <c r="K47" s="3210" t="s">
        <v>2024</v>
      </c>
      <c r="L47" s="3210"/>
      <c r="M47" s="3212">
        <f>'数据-取费表'!B2</f>
        <v>44131</v>
      </c>
      <c r="N47" s="3212"/>
      <c r="O47" s="3212"/>
    </row>
    <row r="48" spans="1:15" ht="25.5">
      <c r="A48" s="3275" t="s">
        <v>2025</v>
      </c>
      <c r="B48" s="3276"/>
      <c r="C48" s="3276"/>
      <c r="D48" s="3049" t="b">
        <f>IF(H48="情况1",0,IF(H48="情况2",D52,IF(H48="情况3",D53,IF(H48="情况4",D54))))</f>
        <v>0</v>
      </c>
      <c r="E48" s="3062" t="str">
        <f>IF(H48="情况4","(销售额-原购置价)×税（费）率","销售额×税（费）率")</f>
        <v>销售额×税（费）率</v>
      </c>
      <c r="F48" s="2773">
        <f>IF(H48="情况1","免征",'数据-取费表'!B41)</f>
        <v>5.6000000000000001E-2</v>
      </c>
      <c r="G48" s="2774" t="s">
        <v>2026</v>
      </c>
      <c r="H48" s="2775"/>
      <c r="I48" s="1991"/>
      <c r="J48" s="3052">
        <v>3</v>
      </c>
      <c r="K48" s="3210" t="s">
        <v>2027</v>
      </c>
      <c r="L48" s="3210"/>
      <c r="M48" s="3213">
        <f ca="1">H101</f>
        <v>2584</v>
      </c>
      <c r="N48" s="3213"/>
      <c r="O48" s="3213"/>
    </row>
    <row r="49" spans="1:35" ht="25.5" customHeight="1">
      <c r="A49" s="3061" t="s">
        <v>2028</v>
      </c>
      <c r="B49" s="3258" t="s">
        <v>2029</v>
      </c>
      <c r="C49" s="3258"/>
      <c r="D49" s="1774">
        <v>0</v>
      </c>
      <c r="E49" s="328" t="s">
        <v>2030</v>
      </c>
      <c r="F49" s="3047" t="s">
        <v>34</v>
      </c>
      <c r="G49" s="3241"/>
      <c r="H49" s="2527" t="s">
        <v>2877</v>
      </c>
      <c r="I49" s="2528"/>
      <c r="J49" s="3052">
        <v>4</v>
      </c>
      <c r="K49" s="3210" t="str">
        <f>IF(项目基本情况!E8="房地产抵押价值","房地产抵押价值","抵押担保权已注销时的房地产抵押价值")</f>
        <v>房地产抵押价值</v>
      </c>
      <c r="L49" s="3210"/>
      <c r="M49" s="3213">
        <f ca="1">IF(项目基本情况!E8="房地产抵押价值",H107,H109)</f>
        <v>2584</v>
      </c>
      <c r="N49" s="3213"/>
      <c r="O49" s="3213"/>
    </row>
    <row r="50" spans="1:35" ht="25.5" customHeight="1">
      <c r="A50" s="2776"/>
      <c r="B50" s="3258" t="s">
        <v>2031</v>
      </c>
      <c r="C50" s="3258"/>
      <c r="D50" s="2777"/>
      <c r="E50" s="336"/>
      <c r="F50" s="3047"/>
      <c r="G50" s="3242"/>
      <c r="H50" s="2529" t="s">
        <v>2878</v>
      </c>
      <c r="I50" s="2528"/>
      <c r="J50" s="3209" t="s">
        <v>2032</v>
      </c>
      <c r="K50" s="3209"/>
      <c r="L50" s="3209"/>
      <c r="M50" s="3209"/>
      <c r="N50" s="3209"/>
      <c r="O50" s="3209"/>
    </row>
    <row r="51" spans="1:35" ht="20.45" customHeight="1">
      <c r="A51" s="2778"/>
      <c r="B51" s="3258" t="s">
        <v>2033</v>
      </c>
      <c r="C51" s="3258"/>
      <c r="D51" s="1244"/>
      <c r="E51" s="331"/>
      <c r="F51" s="3047"/>
      <c r="G51" s="3243"/>
      <c r="H51" s="2529" t="s">
        <v>2879</v>
      </c>
      <c r="I51" s="2528"/>
      <c r="J51" s="3048" t="s">
        <v>2034</v>
      </c>
      <c r="K51" s="3210" t="s">
        <v>2035</v>
      </c>
      <c r="L51" s="3210"/>
      <c r="M51" s="3048" t="s">
        <v>2036</v>
      </c>
      <c r="N51" s="3048" t="s">
        <v>2037</v>
      </c>
      <c r="O51" s="3048" t="s">
        <v>2038</v>
      </c>
    </row>
    <row r="52" spans="1:35" ht="24" customHeight="1">
      <c r="A52" s="3063" t="s">
        <v>2039</v>
      </c>
      <c r="B52" s="3258" t="s">
        <v>2040</v>
      </c>
      <c r="C52" s="3258"/>
      <c r="D52" s="1244">
        <f ca="1">ROUND(D45*'数据-取费表'!B41/(1+'数据-取费表'!C42),0)</f>
        <v>138</v>
      </c>
      <c r="E52" s="3062" t="s">
        <v>2041</v>
      </c>
      <c r="F52" s="2779">
        <f>'数据-取费表'!B41</f>
        <v>5.6000000000000001E-2</v>
      </c>
      <c r="G52" s="2780"/>
      <c r="H52" s="2769"/>
      <c r="I52" s="1992"/>
      <c r="J52" s="3052">
        <v>1</v>
      </c>
      <c r="K52" s="3235" t="s">
        <v>2042</v>
      </c>
      <c r="L52" s="3235"/>
      <c r="M52" s="2750" t="b">
        <f>D48</f>
        <v>0</v>
      </c>
      <c r="N52" s="3052" t="str">
        <f>E48</f>
        <v>销售额×税（费）率</v>
      </c>
      <c r="O52" s="2751">
        <f>F48</f>
        <v>5.6000000000000001E-2</v>
      </c>
    </row>
    <row r="53" spans="1:35" ht="12" customHeight="1">
      <c r="A53" s="3063" t="s">
        <v>2043</v>
      </c>
      <c r="B53" s="3259" t="s">
        <v>3038</v>
      </c>
      <c r="C53" s="3260"/>
      <c r="D53" s="1244">
        <f ca="1">ROUND(D45*'数据-取费表'!B41/(1+'数据-取费表'!C42),0)</f>
        <v>138</v>
      </c>
      <c r="E53" s="3062" t="s">
        <v>2041</v>
      </c>
      <c r="F53" s="2779">
        <f>'数据-取费表'!B41</f>
        <v>5.6000000000000001E-2</v>
      </c>
      <c r="G53" s="2780"/>
      <c r="H53" s="2769"/>
      <c r="I53" s="1992"/>
      <c r="J53" s="3052">
        <v>2</v>
      </c>
      <c r="K53" s="3235" t="s">
        <v>2044</v>
      </c>
      <c r="L53" s="3235"/>
      <c r="M53" s="2750">
        <f t="shared" ref="M53:O54" ca="1" si="0">D55</f>
        <v>1</v>
      </c>
      <c r="N53" s="3052" t="str">
        <f t="shared" si="0"/>
        <v>销售额×税（费）率</v>
      </c>
      <c r="O53" s="2751" t="str">
        <f t="shared" si="0"/>
        <v>免征</v>
      </c>
    </row>
    <row r="54" spans="1:35" ht="12" customHeight="1">
      <c r="A54" s="3063" t="s">
        <v>2045</v>
      </c>
      <c r="B54" s="3259" t="s">
        <v>3039</v>
      </c>
      <c r="C54" s="3260"/>
      <c r="D54" s="1244">
        <f ca="1">C68</f>
        <v>138</v>
      </c>
      <c r="E54" s="331" t="s">
        <v>2046</v>
      </c>
      <c r="F54" s="2779">
        <f>'数据-取费表'!B41</f>
        <v>5.6000000000000001E-2</v>
      </c>
      <c r="G54" s="2780"/>
      <c r="H54" s="2781"/>
      <c r="I54" s="1992"/>
      <c r="J54" s="3052">
        <v>3</v>
      </c>
      <c r="K54" s="3235" t="s">
        <v>2047</v>
      </c>
      <c r="L54" s="3235"/>
      <c r="M54" s="2750">
        <f t="shared" ca="1" si="0"/>
        <v>1462</v>
      </c>
      <c r="N54" s="3052" t="str">
        <f t="shared" si="0"/>
        <v>增值额×税（费）率</v>
      </c>
      <c r="O54" s="2752" t="str">
        <f t="shared" si="0"/>
        <v>免征</v>
      </c>
    </row>
    <row r="55" spans="1:35" ht="24" customHeight="1">
      <c r="A55" s="3298" t="s">
        <v>2048</v>
      </c>
      <c r="B55" s="3276"/>
      <c r="C55" s="3276"/>
      <c r="D55" s="3049">
        <f ca="1">IF(H55="个人住宅",0,ROUND(D45*I55,0))</f>
        <v>1</v>
      </c>
      <c r="E55" s="3062" t="s">
        <v>2049</v>
      </c>
      <c r="F55" s="2779" t="str">
        <f>IF(H55="正常",I55,"免征")</f>
        <v>免征</v>
      </c>
      <c r="G55" s="2780"/>
      <c r="H55" s="2775"/>
      <c r="I55" s="168">
        <f>'数据-取费表'!B49</f>
        <v>5.0000000000000001E-4</v>
      </c>
      <c r="J55" s="3052">
        <f>IF(H59="非个人房产","",4)</f>
        <v>4</v>
      </c>
      <c r="K55" s="3235" t="str">
        <f>IF(H59="非个人房产","——","个人所得税")</f>
        <v>个人所得税</v>
      </c>
      <c r="L55" s="3235"/>
      <c r="M55" s="2753">
        <f ca="1">D59</f>
        <v>25</v>
      </c>
      <c r="N55" s="3053" t="str">
        <f>E59</f>
        <v>差额计税</v>
      </c>
      <c r="O55" s="2754">
        <f>F59</f>
        <v>0.01</v>
      </c>
    </row>
    <row r="56" spans="1:35" ht="24.75">
      <c r="A56" s="3298" t="s">
        <v>2050</v>
      </c>
      <c r="B56" s="3276"/>
      <c r="C56" s="3276"/>
      <c r="D56" s="3049">
        <f ca="1">IF(H56="个人住宅",D57,D58)</f>
        <v>1462</v>
      </c>
      <c r="E56" s="3062" t="s">
        <v>2051</v>
      </c>
      <c r="F56" s="2779" t="str">
        <f>IF(H56="正常",F58,"免征")</f>
        <v>免征</v>
      </c>
      <c r="G56" s="2782" t="s">
        <v>2052</v>
      </c>
      <c r="H56" s="2783"/>
      <c r="I56" s="1993"/>
      <c r="J56" s="3052" t="str">
        <f>IF(项目基本情况!K6="上海银行",IF(J55="",4,J55+1),"")</f>
        <v/>
      </c>
      <c r="K56" s="3216" t="str">
        <f>IF(项目基本情况!K6="上海银行","其他处置费用","")</f>
        <v/>
      </c>
      <c r="L56" s="3217"/>
      <c r="M56" s="2750" t="str">
        <f>IF(项目基本情况!K6="上海银行",M69,"")</f>
        <v/>
      </c>
      <c r="N56" s="3216" t="str">
        <f>IF(项目基本情况!K6="上海银行","包含处置中涉及的律师、诉讼、拍卖、评估等费用","")</f>
        <v/>
      </c>
      <c r="O56" s="3219"/>
    </row>
    <row r="57" spans="1:35" ht="12.75">
      <c r="A57" s="3063" t="s">
        <v>2028</v>
      </c>
      <c r="B57" s="3259" t="s">
        <v>2053</v>
      </c>
      <c r="C57" s="3260"/>
      <c r="D57" s="1774">
        <v>0</v>
      </c>
      <c r="E57" s="328" t="s">
        <v>2030</v>
      </c>
      <c r="F57" s="306"/>
      <c r="G57" s="2780"/>
      <c r="H57" s="2784"/>
      <c r="I57" s="1993"/>
      <c r="J57" s="3235">
        <f>IF(AND(J55="",J56=""),4,IF(项目基本情况!K6="上海银行",结果表车位!J56+1,结果表车位!J55+1))</f>
        <v>5</v>
      </c>
      <c r="K57" s="3235" t="s">
        <v>2054</v>
      </c>
      <c r="L57" s="2755" t="s">
        <v>2055</v>
      </c>
      <c r="M57" s="2756"/>
      <c r="N57" s="2757">
        <f ca="1">SUMIF(M52:M56,"&lt;9e307")</f>
        <v>1488</v>
      </c>
      <c r="O57" s="2758"/>
      <c r="P57" s="2918">
        <f ca="1">N57/M49</f>
        <v>0.57585139318885448</v>
      </c>
    </row>
    <row r="58" spans="1:35" ht="24.75">
      <c r="A58" s="3063" t="s">
        <v>2039</v>
      </c>
      <c r="B58" s="3259" t="s">
        <v>2056</v>
      </c>
      <c r="C58" s="3258"/>
      <c r="D58" s="3049">
        <f ca="1">IF(H58="转让取得",C81,C97)</f>
        <v>1462</v>
      </c>
      <c r="E58" s="3062" t="s">
        <v>2051</v>
      </c>
      <c r="F58" s="306" t="s">
        <v>34</v>
      </c>
      <c r="G58" s="2780"/>
      <c r="H58" s="2783"/>
      <c r="I58" s="1993"/>
      <c r="J58" s="3235"/>
      <c r="K58" s="3235"/>
      <c r="L58" s="2755" t="s">
        <v>2057</v>
      </c>
      <c r="M58" s="2759"/>
      <c r="N58" s="2760" t="str">
        <f ca="1">NUMBERSTRING(INT(N57*10000),2)&amp;"元整"</f>
        <v>壹仟肆佰捌拾捌万元整</v>
      </c>
      <c r="O58" s="2761"/>
    </row>
    <row r="59" spans="1:35" ht="24.75" thickBot="1">
      <c r="A59" s="3239" t="s">
        <v>2058</v>
      </c>
      <c r="B59" s="3240"/>
      <c r="C59" s="3240"/>
      <c r="D59" s="2785">
        <f ca="1">IF(H59="非个人房产","——",IF(H59="个人住宅（满五唯一有凭证）",0,IF(H59="个人其他（无凭证）",ROUND(D45*F59,0),ROUND(C67*F59,0))))</f>
        <v>25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2880</v>
      </c>
      <c r="J59" s="3237">
        <f>J57+1</f>
        <v>6</v>
      </c>
      <c r="K59" s="3235" t="s">
        <v>2059</v>
      </c>
      <c r="L59" s="3052" t="s">
        <v>2055</v>
      </c>
      <c r="M59" s="2762"/>
      <c r="N59" s="2763">
        <f ca="1">M49-N57</f>
        <v>1096</v>
      </c>
      <c r="O59" s="2764"/>
    </row>
    <row r="60" spans="1:35" ht="12" customHeight="1">
      <c r="A60" s="1994"/>
      <c r="B60" s="1932"/>
      <c r="C60" s="1932"/>
      <c r="D60" s="1932"/>
      <c r="E60" s="1762"/>
      <c r="F60" s="1993"/>
      <c r="G60" s="1993"/>
      <c r="H60" s="1995"/>
      <c r="I60" s="132"/>
      <c r="J60" s="3238"/>
      <c r="K60" s="3235"/>
      <c r="L60" s="2755" t="s">
        <v>2057</v>
      </c>
      <c r="M60" s="2759"/>
      <c r="N60" s="2760" t="str">
        <f ca="1">NUMBERSTRING(INT(N59*10000),2)&amp;"元整"</f>
        <v>壹仟零玖拾陆万元整</v>
      </c>
      <c r="O60" s="2761"/>
    </row>
    <row r="61" spans="1:35" ht="13.5" thickBot="1">
      <c r="A61" s="3297" t="s">
        <v>2060</v>
      </c>
      <c r="B61" s="3297"/>
      <c r="C61" s="3297"/>
      <c r="D61" s="3297"/>
      <c r="E61" s="3297"/>
      <c r="F61" s="1993"/>
      <c r="G61" s="1993"/>
      <c r="H61" s="1995"/>
      <c r="I61" s="132"/>
      <c r="J61" s="3052">
        <f>J59+1</f>
        <v>7</v>
      </c>
      <c r="K61" s="3235" t="s">
        <v>2061</v>
      </c>
      <c r="L61" s="3235"/>
      <c r="M61" s="2765"/>
      <c r="N61" s="2766">
        <f ca="1">ROUND(N59*10000/'数据-汇总表'!E3,0)</f>
        <v>476</v>
      </c>
      <c r="O61" s="2767"/>
    </row>
    <row r="62" spans="1:35" ht="12.75">
      <c r="A62" s="3254" t="s">
        <v>2062</v>
      </c>
      <c r="B62" s="3255"/>
      <c r="C62" s="3057"/>
      <c r="D62" s="3057" t="s">
        <v>2063</v>
      </c>
      <c r="E62" s="169" t="s">
        <v>2064</v>
      </c>
      <c r="F62" s="1993"/>
      <c r="G62" s="1993"/>
      <c r="H62" s="1995"/>
      <c r="I62" s="132"/>
    </row>
    <row r="63" spans="1:35" ht="12.75">
      <c r="A63" s="176" t="s">
        <v>775</v>
      </c>
      <c r="B63" s="170" t="s">
        <v>2065</v>
      </c>
      <c r="C63" s="2789">
        <f ca="1">ROUND((C64+C65)/(1+'数据-取费表'!C42),0)</f>
        <v>2461</v>
      </c>
      <c r="D63" s="170"/>
      <c r="E63" s="171"/>
      <c r="F63" s="1993"/>
      <c r="G63" s="1993"/>
      <c r="H63" s="1995"/>
      <c r="I63" s="132"/>
      <c r="J63" s="3218" t="s">
        <v>2066</v>
      </c>
      <c r="K63" s="3050" t="s">
        <v>2067</v>
      </c>
      <c r="L63" s="3050">
        <f ca="1">IF(M49&gt;10000,M49*0.5%,IF(AND(M49&gt;1000,M49&lt;=10000),M49*1%,IF(AND(M49&gt;100,M49&lt;=1000),M49*3%,IF(AND(M49&gt;10,M49&lt;=100),M49*5%,M49*8%))))</f>
        <v>25.84</v>
      </c>
      <c r="M63" s="306">
        <f ca="1">ROUND(L63,1)</f>
        <v>25.8</v>
      </c>
      <c r="N63" s="2768"/>
      <c r="Z63" s="1937"/>
      <c r="AI63" s="1938"/>
    </row>
    <row r="64" spans="1:35" ht="14.25" customHeight="1">
      <c r="A64" s="172" t="s">
        <v>770</v>
      </c>
      <c r="B64" s="173" t="s">
        <v>2068</v>
      </c>
      <c r="C64" s="2790">
        <f ca="1">D45</f>
        <v>2584</v>
      </c>
      <c r="D64" s="173" t="s">
        <v>32</v>
      </c>
      <c r="E64" s="175"/>
      <c r="F64" s="1993"/>
      <c r="G64" s="1993"/>
      <c r="H64" s="1995"/>
      <c r="I64" s="132"/>
      <c r="J64" s="3218"/>
      <c r="K64" s="3050" t="s">
        <v>2069</v>
      </c>
      <c r="L64" s="3050">
        <f ca="1">IF(M49&gt;2000,M49*0.5%,IF(AND(M49&gt;1000,M49&lt;=2000),M49*0.6%,IF(AND(M49&gt;500,M49&lt;=1000),M49*0.7%,IF(AND(M49&gt;200,M49&lt;=500),M49*0.8%,IF(AND(M49&gt;100,M49&lt;=200),M49*0.9%,IF(AND(M49&gt;50,M49&lt;=100),M49*1%,IF(AND(M49&gt;20,M49&lt;=50),M49*1.5%,IF(AND(M49&gt;10,M49&lt;=20),M49*2%,IF(AND(M49&gt;1,M49&lt;=10),M49*2.5%)))))))))</f>
        <v>12.92</v>
      </c>
      <c r="M64" s="306">
        <f t="shared" ref="M64:M65" ca="1" si="1">ROUND(L64,1)</f>
        <v>12.9</v>
      </c>
      <c r="N64" s="2769" t="s">
        <v>2070</v>
      </c>
      <c r="Z64" s="1937"/>
      <c r="AI64" s="1938"/>
    </row>
    <row r="65" spans="1:35" ht="14.25" customHeight="1">
      <c r="A65" s="172" t="s">
        <v>771</v>
      </c>
      <c r="B65" s="173" t="s">
        <v>2071</v>
      </c>
      <c r="C65" s="2791"/>
      <c r="D65" s="173"/>
      <c r="E65" s="175"/>
      <c r="F65" s="1993"/>
      <c r="G65" s="1993"/>
      <c r="H65" s="1995"/>
      <c r="I65" s="132"/>
      <c r="J65" s="3218"/>
      <c r="K65" s="3050" t="s">
        <v>2072</v>
      </c>
      <c r="L65" s="3050">
        <f ca="1">IF(M49&gt;1000,M49*0.1%,IF(AND(M49&gt;500,M49&lt;=1000),M49*0.5%,IF(AND(M49&gt;50,M49&lt;=500),M49*1%,IF(AND(M49&gt;1,M49&lt;=50),M49*1.5%))))</f>
        <v>2.5840000000000001</v>
      </c>
      <c r="M65" s="306">
        <f t="shared" ca="1" si="1"/>
        <v>2.6</v>
      </c>
      <c r="N65" s="2769" t="s">
        <v>2070</v>
      </c>
      <c r="Z65" s="1937"/>
      <c r="AI65" s="1938"/>
    </row>
    <row r="66" spans="1:35" ht="14.25" customHeight="1">
      <c r="A66" s="176" t="s">
        <v>772</v>
      </c>
      <c r="B66" s="177" t="s">
        <v>2073</v>
      </c>
      <c r="C66" s="2792"/>
      <c r="D66" s="177" t="s">
        <v>32</v>
      </c>
      <c r="E66" s="1508" t="s">
        <v>1337</v>
      </c>
      <c r="F66" s="1993"/>
      <c r="G66" s="1993"/>
      <c r="H66" s="1995"/>
      <c r="I66" s="132"/>
      <c r="J66" s="3218"/>
      <c r="K66" s="3050" t="s">
        <v>2074</v>
      </c>
      <c r="L66" s="3050">
        <f ca="1">M49*0.5%</f>
        <v>12.92</v>
      </c>
      <c r="M66" s="306">
        <f ca="1">IF(L66&gt;0.5,0.5,ROUND(L66,0))</f>
        <v>0.5</v>
      </c>
      <c r="N66" s="2769" t="s">
        <v>2075</v>
      </c>
      <c r="Z66" s="1937"/>
      <c r="AI66" s="1938"/>
    </row>
    <row r="67" spans="1:35" ht="14.25" customHeight="1">
      <c r="A67" s="176" t="s">
        <v>773</v>
      </c>
      <c r="B67" s="177" t="s">
        <v>2076</v>
      </c>
      <c r="C67" s="2793">
        <f ca="1">C63-C66</f>
        <v>2461</v>
      </c>
      <c r="D67" s="173" t="s">
        <v>32</v>
      </c>
      <c r="E67" s="175"/>
      <c r="F67" s="1993"/>
      <c r="G67" s="1993"/>
      <c r="H67" s="1995"/>
      <c r="I67" s="132"/>
      <c r="J67" s="3218"/>
      <c r="K67" s="3050" t="s">
        <v>2077</v>
      </c>
      <c r="L67" s="3050">
        <f ca="1">IF(M49&gt;=10000,(8.25+(M49-10000)*0.01%),IF(AND(M49&gt;=8000,M49&lt;10000),(7.85+(M49-8000)*0.02%),IF(AND(M49&gt;=5000,M49&lt;8000),(6.65+(M49-5000)*0.04%),IF(AND(M49&gt;=2000,M49&lt;5000),(4.25+(PM49-2000)*0.08%),IF(AND(M49&gt;=1000,M49&lt;2000),(2.75+(M49-1000)*0.15%),IF(AND(M49&gt;=100,M49&lt;1000),(0.5+(M49-100)*0.25%),IF(AND(M49&gt;0,M49&lt;100),M49*0.5%)))))))</f>
        <v>2.65</v>
      </c>
      <c r="M67" s="306">
        <f ca="1">ROUND(L67*0.9,1)</f>
        <v>2.4</v>
      </c>
      <c r="N67" s="2768"/>
      <c r="Z67" s="1937"/>
      <c r="AI67" s="1938"/>
    </row>
    <row r="68" spans="1:35" ht="14.25" customHeight="1" thickBot="1">
      <c r="A68" s="179" t="s">
        <v>774</v>
      </c>
      <c r="B68" s="180" t="s">
        <v>2078</v>
      </c>
      <c r="C68" s="2794">
        <f ca="1">IF(C67&lt;=0,0,ROUND(C67*D68,0))</f>
        <v>138</v>
      </c>
      <c r="D68" s="2795">
        <f>'数据-取费表'!B41</f>
        <v>5.6000000000000001E-2</v>
      </c>
      <c r="E68" s="182"/>
      <c r="F68" s="1993"/>
      <c r="G68" s="1993"/>
      <c r="H68" s="1995"/>
      <c r="I68" s="132"/>
      <c r="J68" s="3218"/>
      <c r="K68" s="3050" t="s">
        <v>2079</v>
      </c>
      <c r="L68" s="3050">
        <f ca="1">IF(M49&gt;10000,M49*0.5%,IF(AND(M49&gt;5000,M49&lt;=10000),M49*1%,IF(AND(M49&gt;1000,M49&lt;=5000),M49*2%,IF(AND(M49&gt;200,M49&lt;=1000),M49*3%,M49*5%))))</f>
        <v>51.68</v>
      </c>
      <c r="M68" s="306">
        <f ca="1">ROUND(L68,1)</f>
        <v>51.7</v>
      </c>
      <c r="N68" s="2768"/>
      <c r="Z68" s="1937"/>
      <c r="AI68" s="1938"/>
    </row>
    <row r="69" spans="1:35" s="1957" customFormat="1" ht="16.5" customHeight="1">
      <c r="A69" s="1996"/>
      <c r="B69" s="1997"/>
      <c r="C69" s="1998"/>
      <c r="D69" s="1999"/>
      <c r="E69" s="2000"/>
      <c r="F69" s="1762"/>
      <c r="G69" s="1762"/>
      <c r="H69" s="1761"/>
      <c r="I69" s="1932"/>
      <c r="J69" s="3218"/>
      <c r="K69" s="3050" t="s">
        <v>2080</v>
      </c>
      <c r="L69" s="3050"/>
      <c r="M69" s="306">
        <f ca="1">ROUND(SUM(M63:M68),0)</f>
        <v>96</v>
      </c>
      <c r="N69" s="2770">
        <f ca="1">M69/M49</f>
        <v>3.7151702786377708E-2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62" t="s">
        <v>2081</v>
      </c>
      <c r="B70" s="3263"/>
      <c r="C70" s="3263"/>
      <c r="D70" s="3263"/>
      <c r="E70" s="3263"/>
      <c r="F70" s="3263"/>
      <c r="G70" s="3263"/>
      <c r="H70" s="326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54" t="s">
        <v>2062</v>
      </c>
      <c r="B71" s="3255"/>
      <c r="C71" s="3057"/>
      <c r="D71" s="3057" t="s">
        <v>2063</v>
      </c>
      <c r="E71" s="183" t="s">
        <v>2064</v>
      </c>
      <c r="F71" s="184"/>
      <c r="G71" s="184"/>
      <c r="H71" s="185"/>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6" t="s">
        <v>775</v>
      </c>
      <c r="B72" s="177" t="s">
        <v>2082</v>
      </c>
      <c r="C72" s="2793">
        <f ca="1">ROUND(D45/(1+'数据-取费表'!C42),0)</f>
        <v>2461</v>
      </c>
      <c r="D72" s="173" t="s">
        <v>32</v>
      </c>
      <c r="E72" s="3059"/>
      <c r="F72" s="3058"/>
      <c r="G72" s="3058"/>
      <c r="H72" s="186"/>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6" t="s">
        <v>772</v>
      </c>
      <c r="B73" s="166" t="s">
        <v>2083</v>
      </c>
      <c r="C73" s="2793">
        <f ca="1">C74+C78</f>
        <v>15</v>
      </c>
      <c r="D73" s="173" t="s">
        <v>32</v>
      </c>
      <c r="E73" s="3059"/>
      <c r="F73" s="3058"/>
      <c r="G73" s="3058"/>
      <c r="H73" s="186"/>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2" t="s">
        <v>770</v>
      </c>
      <c r="B74" s="173" t="s">
        <v>2084</v>
      </c>
      <c r="C74" s="173">
        <f>ROUND(IF(G77="2016年5月1日后购买",C75/(1+'数据-取费表'!C42)+C76+C77,C75+C76+C77),0)</f>
        <v>0</v>
      </c>
      <c r="D74" s="173" t="s">
        <v>32</v>
      </c>
      <c r="E74" s="3059"/>
      <c r="F74" s="3058"/>
      <c r="G74" s="3058"/>
      <c r="H74" s="186"/>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2" t="s">
        <v>776</v>
      </c>
      <c r="B75" s="173" t="s">
        <v>2085</v>
      </c>
      <c r="C75" s="2796"/>
      <c r="D75" s="173" t="s">
        <v>32</v>
      </c>
      <c r="E75" s="188" t="s">
        <v>2086</v>
      </c>
      <c r="F75" s="2797"/>
      <c r="G75" s="188"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2" t="s">
        <v>777</v>
      </c>
      <c r="B76" s="189" t="s">
        <v>2088</v>
      </c>
      <c r="C76" s="173">
        <f>IF(F75="购房发票",ROUND(C75*H75*D76,0),0)</f>
        <v>0</v>
      </c>
      <c r="D76" s="2799">
        <v>0.05</v>
      </c>
      <c r="E76" s="3259" t="s">
        <v>2089</v>
      </c>
      <c r="F76" s="3258"/>
      <c r="G76" s="3258"/>
      <c r="H76" s="326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2" t="s">
        <v>778</v>
      </c>
      <c r="B77" s="173" t="s">
        <v>2090</v>
      </c>
      <c r="C77" s="173">
        <f>ROUND(IF(G77="个人住宅",0,IF(G77="2016年5月1日前购买",C75*D77,C75*D77/(1+'数据-取费表'!C42))),0)</f>
        <v>0</v>
      </c>
      <c r="D77" s="2800">
        <f>'数据-取费表'!B48+'数据-取费表'!B49</f>
        <v>4.0500000000000001E-2</v>
      </c>
      <c r="E77" s="3049" t="s">
        <v>2091</v>
      </c>
      <c r="F77" s="190"/>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2" t="s">
        <v>771</v>
      </c>
      <c r="B78" s="173" t="s">
        <v>2092</v>
      </c>
      <c r="C78" s="2801">
        <f ca="1">ROUND(D45*D78/(1+'数据-取费表'!C42),0)</f>
        <v>15</v>
      </c>
      <c r="D78" s="2802">
        <f>'数据-取费表'!B43</f>
        <v>6.000000000000001E-3</v>
      </c>
      <c r="E78" s="3251" t="s">
        <v>2093</v>
      </c>
      <c r="F78" s="3252"/>
      <c r="G78" s="3252"/>
      <c r="H78" s="325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6" t="s">
        <v>773</v>
      </c>
      <c r="B79" s="177" t="s">
        <v>2094</v>
      </c>
      <c r="C79" s="2793">
        <f ca="1">C72-C73</f>
        <v>2446</v>
      </c>
      <c r="D79" s="173" t="s">
        <v>32</v>
      </c>
      <c r="E79" s="3059"/>
      <c r="F79" s="3058"/>
      <c r="G79" s="3058"/>
      <c r="H79" s="186"/>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6" t="s">
        <v>780</v>
      </c>
      <c r="B80" s="177" t="s">
        <v>2095</v>
      </c>
      <c r="C80" s="2803">
        <f ca="1">IF(C79&lt;=0,0,C79/C73)</f>
        <v>163.06666666666666</v>
      </c>
      <c r="D80" s="173" t="s">
        <v>32</v>
      </c>
      <c r="E80" s="3049"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6"/>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9" t="s">
        <v>781</v>
      </c>
      <c r="B81" s="180" t="s">
        <v>2096</v>
      </c>
      <c r="C81" s="2804">
        <f ca="1">ROUND(IF(C79&lt;=0,0,IF(C80&gt;=200%,C79*60%-C73*35%,IF(C80&gt;=100%,C79*50%-C73*15%,IF(C80&gt;=50%,C79*40%-C73*5%,IF(C80&lt;50%,C79*30%,0))))),0)</f>
        <v>1462</v>
      </c>
      <c r="D81" s="2805"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62" t="s">
        <v>2097</v>
      </c>
      <c r="B83" s="3263"/>
      <c r="C83" s="3263"/>
      <c r="D83" s="3263"/>
      <c r="E83" s="3263"/>
      <c r="F83" s="3263"/>
      <c r="G83" s="3263"/>
      <c r="H83" s="326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54" t="s">
        <v>2062</v>
      </c>
      <c r="B84" s="3255"/>
      <c r="C84" s="3057"/>
      <c r="D84" s="3057" t="s">
        <v>2063</v>
      </c>
      <c r="E84" s="183" t="s">
        <v>2064</v>
      </c>
      <c r="F84" s="184"/>
      <c r="G84" s="184"/>
      <c r="H84" s="195"/>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6" t="s">
        <v>775</v>
      </c>
      <c r="B85" s="177" t="s">
        <v>2082</v>
      </c>
      <c r="C85" s="2793">
        <f ca="1">ROUND(D45/(1+'数据-取费表'!C42),0)</f>
        <v>2461</v>
      </c>
      <c r="D85" s="173" t="s">
        <v>32</v>
      </c>
      <c r="E85" s="3059"/>
      <c r="F85" s="3058"/>
      <c r="G85" s="3058"/>
      <c r="H85" s="196"/>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6" t="s">
        <v>772</v>
      </c>
      <c r="B86" s="166" t="s">
        <v>2083</v>
      </c>
      <c r="C86" s="2793">
        <f ca="1">IF(H88="仅含出让金",C87+C90+C91+C92+C93+C94,C87+C91+C92+C93+C94)</f>
        <v>15</v>
      </c>
      <c r="D86" s="2806"/>
      <c r="E86" s="3059"/>
      <c r="F86" s="3058"/>
      <c r="G86" s="3058"/>
      <c r="H86" s="196"/>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2" t="s">
        <v>770</v>
      </c>
      <c r="B87" s="173" t="s">
        <v>2098</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2" t="s">
        <v>776</v>
      </c>
      <c r="B88" s="173" t="s">
        <v>2099</v>
      </c>
      <c r="C88" s="2807"/>
      <c r="D88" s="2802"/>
      <c r="E88" s="197" t="s">
        <v>2100</v>
      </c>
      <c r="F88" s="3055"/>
      <c r="G88" s="198" t="s">
        <v>2101</v>
      </c>
      <c r="H88" s="2009"/>
      <c r="I88" s="2006"/>
      <c r="J88" s="2746" t="s">
        <v>3035</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2" t="s">
        <v>777</v>
      </c>
      <c r="B89" s="173" t="s">
        <v>2090</v>
      </c>
      <c r="C89" s="2801">
        <f>ROUND(C88*D89,0)</f>
        <v>0</v>
      </c>
      <c r="D89" s="2802">
        <f>'数据-取费表'!B48+'数据-取费表'!B49</f>
        <v>4.0500000000000001E-2</v>
      </c>
      <c r="E89" s="197" t="s">
        <v>2102</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2" t="s">
        <v>771</v>
      </c>
      <c r="B90" s="173" t="s">
        <v>2103</v>
      </c>
      <c r="C90" s="2807"/>
      <c r="D90" s="2802"/>
      <c r="E90" s="197" t="str">
        <f>IF(H88="-","土地取得成本中已包含该笔费用"," ")</f>
        <v xml:space="preserve"> </v>
      </c>
      <c r="F90" s="3055"/>
      <c r="G90" s="3220" t="s">
        <v>2872</v>
      </c>
      <c r="H90" s="3221"/>
      <c r="I90" s="2006"/>
      <c r="J90" s="2746" t="s">
        <v>3036</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2" t="s">
        <v>2104</v>
      </c>
      <c r="B91" s="173" t="s">
        <v>2105</v>
      </c>
      <c r="C91" s="2801">
        <f>IF(H91="——",成本法!C33,I91)</f>
        <v>0</v>
      </c>
      <c r="D91" s="2802"/>
      <c r="E91" s="3251" t="s">
        <v>2106</v>
      </c>
      <c r="F91" s="3252"/>
      <c r="G91" s="325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2" t="s">
        <v>2107</v>
      </c>
      <c r="B92" s="173" t="s">
        <v>2108</v>
      </c>
      <c r="C92" s="2801">
        <f>ROUND((C87+C90+C91)*D92,0)</f>
        <v>0</v>
      </c>
      <c r="D92" s="2808"/>
      <c r="E92" s="3251" t="s">
        <v>2109</v>
      </c>
      <c r="F92" s="3252"/>
      <c r="G92" s="3252"/>
      <c r="H92" s="3253"/>
      <c r="I92" s="2006"/>
      <c r="J92" s="2747" t="s">
        <v>3037</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2" t="s">
        <v>2110</v>
      </c>
      <c r="B93" s="173" t="s">
        <v>2092</v>
      </c>
      <c r="C93" s="2801">
        <f ca="1">ROUND(D45*D93/(1+'数据-取费表'!C42),0)</f>
        <v>15</v>
      </c>
      <c r="D93" s="2802">
        <f>'数据-取费表'!B43</f>
        <v>6.000000000000001E-3</v>
      </c>
      <c r="E93" s="3251" t="s">
        <v>2093</v>
      </c>
      <c r="F93" s="3252"/>
      <c r="G93" s="3252"/>
      <c r="H93" s="325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2" t="s">
        <v>2111</v>
      </c>
      <c r="B94" s="173" t="s">
        <v>2112</v>
      </c>
      <c r="C94" s="2807">
        <f>ROUND((C87+C90+C91)*D94,0)</f>
        <v>0</v>
      </c>
      <c r="D94" s="2802">
        <v>0.2</v>
      </c>
      <c r="E94" s="3299" t="s">
        <v>2113</v>
      </c>
      <c r="F94" s="3300"/>
      <c r="G94" s="3300"/>
      <c r="H94" s="330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6" t="s">
        <v>773</v>
      </c>
      <c r="B95" s="177" t="s">
        <v>2094</v>
      </c>
      <c r="C95" s="2793">
        <f ca="1">ROUND(C85-C86,0)</f>
        <v>2446</v>
      </c>
      <c r="D95" s="173" t="s">
        <v>32</v>
      </c>
      <c r="E95" s="3059"/>
      <c r="F95" s="3058"/>
      <c r="G95" s="3058"/>
      <c r="H95" s="196"/>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6" t="s">
        <v>780</v>
      </c>
      <c r="B96" s="177" t="s">
        <v>2095</v>
      </c>
      <c r="C96" s="2803">
        <f ca="1">IF(C95&lt;=0,0,C95/C86)</f>
        <v>163.06666666666666</v>
      </c>
      <c r="D96" s="173" t="s">
        <v>32</v>
      </c>
      <c r="E96" s="3049"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6"/>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9" t="s">
        <v>781</v>
      </c>
      <c r="B97" s="180" t="s">
        <v>2096</v>
      </c>
      <c r="C97" s="2804">
        <f ca="1">ROUND(IF(C95&lt;=0,0,IF(C96&gt;=200%,C95*60%-C86*35%,IF(C96&gt;=100%,C95*50%-C86*15%,IF(C96&gt;=50%,C95*40%-C86*5%,IF(C96&lt;50%,C95*30%,0))))),0)</f>
        <v>1462</v>
      </c>
      <c r="D97" s="2805"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2"/>
    </row>
    <row r="99" spans="1:35" ht="21.75" customHeight="1" thickBot="1">
      <c r="A99" s="1985" t="s">
        <v>2114</v>
      </c>
      <c r="B99" s="1932"/>
      <c r="C99" s="1932"/>
      <c r="D99" s="1932"/>
      <c r="E99" s="1762"/>
      <c r="F99" s="1762"/>
      <c r="G99" s="1762"/>
      <c r="H99" s="1761"/>
      <c r="I99" s="132"/>
    </row>
    <row r="100" spans="1:35" ht="18.75" customHeight="1">
      <c r="A100" s="3201" t="s">
        <v>2115</v>
      </c>
      <c r="B100" s="3202"/>
      <c r="C100" s="3202"/>
      <c r="D100" s="3236"/>
      <c r="E100" s="3202" t="s">
        <v>2116</v>
      </c>
      <c r="F100" s="3202"/>
      <c r="G100" s="3202"/>
      <c r="H100" s="3236"/>
      <c r="I100" s="132"/>
    </row>
    <row r="101" spans="1:35" ht="18.75" customHeight="1">
      <c r="A101" s="3244" t="s">
        <v>2117</v>
      </c>
      <c r="B101" s="3245"/>
      <c r="C101" s="2810" t="str">
        <f>C4</f>
        <v>比较法-车位</v>
      </c>
      <c r="D101" s="2811" t="str">
        <f>D4</f>
        <v>收益法 (元)</v>
      </c>
      <c r="E101" s="3214" t="s">
        <v>2118</v>
      </c>
      <c r="F101" s="3215"/>
      <c r="G101" s="2012" t="s">
        <v>2119</v>
      </c>
      <c r="H101" s="2820">
        <f ca="1">H118</f>
        <v>2584</v>
      </c>
      <c r="I101" s="132"/>
    </row>
    <row r="102" spans="1:35" ht="18.75" customHeight="1">
      <c r="A102" s="3246" t="s">
        <v>2120</v>
      </c>
      <c r="B102" s="2809" t="s">
        <v>2119</v>
      </c>
      <c r="C102" s="2810">
        <f ca="1">C19</f>
        <v>3537</v>
      </c>
      <c r="D102" s="2811">
        <f ca="1">D19</f>
        <v>1154</v>
      </c>
      <c r="E102" s="3214"/>
      <c r="F102" s="3215"/>
      <c r="G102" s="2012" t="s">
        <v>2121</v>
      </c>
      <c r="H102" s="2780">
        <f ca="1">I118</f>
        <v>3275</v>
      </c>
      <c r="I102" s="132"/>
    </row>
    <row r="103" spans="1:35" ht="42.75" customHeight="1">
      <c r="A103" s="3246"/>
      <c r="B103" s="2809" t="s">
        <v>2121</v>
      </c>
      <c r="C103" s="2812">
        <f ca="1">C20</f>
        <v>4483</v>
      </c>
      <c r="D103" s="2813">
        <f ca="1">D20</f>
        <v>1463</v>
      </c>
      <c r="E103" s="3207" t="s">
        <v>2122</v>
      </c>
      <c r="F103" s="3208"/>
      <c r="G103" s="2013" t="s">
        <v>2123</v>
      </c>
      <c r="H103" s="2820">
        <f>IF(D36="正常操作",H104+H105+H106,H105+H106)</f>
        <v>0</v>
      </c>
      <c r="I103" s="132"/>
    </row>
    <row r="104" spans="1:35" ht="18.75" customHeight="1">
      <c r="A104" s="3246" t="s">
        <v>2124</v>
      </c>
      <c r="B104" s="2814" t="s">
        <v>2119</v>
      </c>
      <c r="C104" s="2815">
        <f ca="1">H118</f>
        <v>2584</v>
      </c>
      <c r="D104" s="2816"/>
      <c r="E104" s="1859" t="s">
        <v>2125</v>
      </c>
      <c r="F104" s="1850"/>
      <c r="G104" s="2013" t="s">
        <v>2123</v>
      </c>
      <c r="H104" s="2821">
        <f>IF(D36="同一抵押权人同一抵押物续贷",C36&amp;"（续贷，未扣减，详见特别提示）",C36)</f>
        <v>0</v>
      </c>
      <c r="I104" s="132"/>
    </row>
    <row r="105" spans="1:35" ht="18.75" customHeight="1" thickBot="1">
      <c r="A105" s="3256"/>
      <c r="B105" s="2817" t="s">
        <v>2121</v>
      </c>
      <c r="C105" s="2818">
        <f ca="1">I118</f>
        <v>3275</v>
      </c>
      <c r="D105" s="2819"/>
      <c r="E105" s="1859" t="s">
        <v>2126</v>
      </c>
      <c r="F105" s="1850"/>
      <c r="G105" s="2013" t="s">
        <v>2123</v>
      </c>
      <c r="H105" s="2822">
        <f>C37</f>
        <v>0</v>
      </c>
      <c r="I105" s="132"/>
    </row>
    <row r="106" spans="1:35" ht="18.75" customHeight="1">
      <c r="A106" s="1932" t="s">
        <v>2127</v>
      </c>
      <c r="B106" s="1932"/>
      <c r="C106" s="1932"/>
      <c r="D106" s="1932"/>
      <c r="E106" s="2014" t="s">
        <v>2128</v>
      </c>
      <c r="F106" s="1850"/>
      <c r="G106" s="2013" t="s">
        <v>2123</v>
      </c>
      <c r="H106" s="2822">
        <f>C38</f>
        <v>0</v>
      </c>
      <c r="I106" s="132"/>
    </row>
    <row r="107" spans="1:35" ht="18.75" customHeight="1">
      <c r="A107" s="132"/>
      <c r="B107" s="132"/>
      <c r="C107" s="132"/>
      <c r="D107" s="132"/>
      <c r="E107" s="3247" t="str">
        <f>IF(项目基本情况!E8="已注销","——","3.房地产抵押价值")</f>
        <v>3.房地产抵押价值</v>
      </c>
      <c r="F107" s="3215"/>
      <c r="G107" s="2012" t="s">
        <v>2119</v>
      </c>
      <c r="H107" s="2820">
        <f ca="1">IF(E107="——","——",H101-H103)</f>
        <v>2584</v>
      </c>
      <c r="I107" s="132"/>
    </row>
    <row r="108" spans="1:35" ht="18.75" customHeight="1">
      <c r="A108" s="132"/>
      <c r="B108" s="132"/>
      <c r="C108" s="132"/>
      <c r="D108" s="132"/>
      <c r="E108" s="3247"/>
      <c r="F108" s="3215"/>
      <c r="G108" s="2012" t="s">
        <v>2121</v>
      </c>
      <c r="H108" s="2780">
        <f ca="1">ROUND(H107*10000/'数据-汇总表'!E3,0)</f>
        <v>1123</v>
      </c>
      <c r="I108" s="132"/>
    </row>
    <row r="109" spans="1:35" ht="18.75" customHeight="1">
      <c r="A109" s="132"/>
      <c r="B109" s="132"/>
      <c r="C109" s="132"/>
      <c r="D109" s="132"/>
      <c r="E109" s="3247" t="str">
        <f>IF(项目基本情况!E8="已注销及未注销","4.抵押担保权已注销时的房地产抵押价值",IF(项目基本情况!E8="已注销","3.抵押担保权已注销时的房地产抵押价值","——"))</f>
        <v>——</v>
      </c>
      <c r="F109" s="3215"/>
      <c r="G109" s="2012" t="s">
        <v>2119</v>
      </c>
      <c r="H109" s="2823" t="str">
        <f>IF(E109="——","——",H101-H105-H106)</f>
        <v>——</v>
      </c>
      <c r="I109" s="132"/>
    </row>
    <row r="110" spans="1:35" ht="18.75" customHeight="1">
      <c r="A110" s="132"/>
      <c r="B110" s="132"/>
      <c r="C110" s="132"/>
      <c r="D110" s="132"/>
      <c r="E110" s="3247"/>
      <c r="F110" s="3215"/>
      <c r="G110" s="2012" t="s">
        <v>2121</v>
      </c>
      <c r="H110" s="2780" t="str">
        <f>IF(H109="——","——",ROUND(H109*10000/'数据-汇总表'!E3,0))</f>
        <v>——</v>
      </c>
      <c r="I110" s="132"/>
    </row>
    <row r="111" spans="1:35" ht="18.75" customHeight="1">
      <c r="A111" s="132"/>
      <c r="B111" s="132"/>
      <c r="C111" s="132"/>
      <c r="D111" s="132"/>
      <c r="E111" s="3248" t="str">
        <f>IF(项目基本情况!E9="抵押净值",IF(OR(项目基本情况!E8="已注销",项目基本情况!E8="房地产抵押价值"),"4.抵押净值","5.抵押净值"),"——")</f>
        <v>——</v>
      </c>
      <c r="F111" s="3234"/>
      <c r="G111" s="2012" t="s">
        <v>2119</v>
      </c>
      <c r="H111" s="2820" t="str">
        <f>IF(E111="——","——",N59)</f>
        <v>——</v>
      </c>
      <c r="I111" s="132"/>
    </row>
    <row r="112" spans="1:35" ht="18.75" customHeight="1" thickBot="1">
      <c r="A112" s="132"/>
      <c r="B112" s="132"/>
      <c r="C112" s="132"/>
      <c r="D112" s="132"/>
      <c r="E112" s="3249"/>
      <c r="F112" s="3250"/>
      <c r="G112" s="2015" t="s">
        <v>2121</v>
      </c>
      <c r="H112" s="2824" t="str">
        <f>IF(E111="——","——",N61)</f>
        <v>——</v>
      </c>
      <c r="I112" s="132"/>
    </row>
    <row r="113" spans="1:27" ht="18.75" customHeight="1">
      <c r="A113" s="132"/>
      <c r="B113" s="132"/>
      <c r="C113" s="132"/>
      <c r="D113" s="132"/>
      <c r="E113" s="3257" t="s">
        <v>2127</v>
      </c>
      <c r="F113" s="3257"/>
      <c r="G113" s="3257"/>
      <c r="H113" s="3257"/>
      <c r="I113" s="132"/>
    </row>
    <row r="114" spans="1:27" ht="3.75" customHeight="1">
      <c r="A114" s="1932"/>
      <c r="B114" s="1932"/>
      <c r="C114" s="1932"/>
      <c r="D114" s="1932"/>
      <c r="E114" s="1994"/>
      <c r="F114" s="1994"/>
      <c r="G114" s="1994"/>
      <c r="H114" s="1994"/>
      <c r="I114" s="1932"/>
    </row>
    <row r="115" spans="1:27" ht="18.75" customHeight="1">
      <c r="A115" s="3268" t="s">
        <v>2129</v>
      </c>
      <c r="B115" s="3269"/>
      <c r="C115" s="3269"/>
      <c r="D115" s="3269"/>
      <c r="E115" s="3269"/>
      <c r="F115" s="3269"/>
      <c r="G115" s="3269"/>
      <c r="H115" s="3269"/>
      <c r="I115" s="3270"/>
    </row>
    <row r="116" spans="1:27" ht="27" customHeight="1">
      <c r="A116" s="3222" t="s">
        <v>2130</v>
      </c>
      <c r="B116" s="3226" t="s">
        <v>2131</v>
      </c>
      <c r="C116" s="3226" t="s">
        <v>2132</v>
      </c>
      <c r="D116" s="3232" t="s">
        <v>2133</v>
      </c>
      <c r="E116" s="3233"/>
      <c r="F116" s="3264" t="s">
        <v>2134</v>
      </c>
      <c r="G116" s="3264"/>
      <c r="H116" s="3222" t="s">
        <v>2135</v>
      </c>
      <c r="I116" s="3222"/>
    </row>
    <row r="117" spans="1:27" ht="18.75" customHeight="1">
      <c r="A117" s="3222"/>
      <c r="B117" s="3227"/>
      <c r="C117" s="3227"/>
      <c r="D117" s="3051" t="s">
        <v>2136</v>
      </c>
      <c r="E117" s="3051" t="s">
        <v>2137</v>
      </c>
      <c r="F117" s="3051" t="s">
        <v>2136</v>
      </c>
      <c r="G117" s="3051" t="s">
        <v>2138</v>
      </c>
      <c r="H117" s="3051" t="s">
        <v>2136</v>
      </c>
      <c r="I117" s="3051" t="s">
        <v>2138</v>
      </c>
    </row>
    <row r="118" spans="1:27" ht="24.75" customHeight="1">
      <c r="A118" s="2825" t="str">
        <f>项目基本情况!S2</f>
        <v>房地产</v>
      </c>
      <c r="B118" s="3051">
        <f>M18</f>
        <v>7889.71</v>
      </c>
      <c r="C118" s="3051">
        <f>M19</f>
        <v>954.07</v>
      </c>
      <c r="D118" s="3051" t="e">
        <f ca="1">ROUND(IF(D32="总价",C34,E118*B118/10000),0)</f>
        <v>#REF!</v>
      </c>
      <c r="E118" s="3051" t="e">
        <f ca="1">ROUND(IF(C33="自定义",IF(D32="楼面单价",C34,D118*10000/B118),I118-G118),0)</f>
        <v>#REF!</v>
      </c>
      <c r="F118" s="3051" t="e">
        <f ca="1">ROUND(IF(D32="总价",C35,G118*B118/10000),0)</f>
        <v>#REF!</v>
      </c>
      <c r="G118" s="3051" t="e">
        <f ca="1">ROUND(IF(D32="楼面单价",C35,F118*10000/B118),0)</f>
        <v>#REF!</v>
      </c>
      <c r="H118" s="3051">
        <f ca="1">ROUND(IF(D32="总价",C32,I118*B118/10000),0)</f>
        <v>2584</v>
      </c>
      <c r="I118" s="3051">
        <f ca="1">ROUND(IF(D32="楼面单价",C32,H118*10000/B118),0)</f>
        <v>3275</v>
      </c>
    </row>
    <row r="119" spans="1:27" ht="18.75" customHeight="1">
      <c r="A119" s="3222" t="s">
        <v>2139</v>
      </c>
      <c r="B119" s="3222"/>
      <c r="C119" s="3222"/>
      <c r="D119" s="3228" t="e">
        <f ca="1">NUMBERSTRING(INT(D118*10000),2)&amp;"元整"</f>
        <v>#REF!</v>
      </c>
      <c r="E119" s="3229"/>
      <c r="F119" s="3228" t="e">
        <f ca="1">NUMBERSTRING(INT(F118*10000),2)&amp;"元整"</f>
        <v>#REF!</v>
      </c>
      <c r="G119" s="3229"/>
      <c r="H119" s="3228" t="str">
        <f ca="1">NUMBERSTRING(INT(H118*10000),2)&amp;"元整"</f>
        <v>贰仟伍佰捌拾肆万元整</v>
      </c>
      <c r="I119" s="3229"/>
    </row>
    <row r="120" spans="1:27" ht="18.75" customHeight="1">
      <c r="A120" s="3223" t="str">
        <f>IF(项目基本情况!B9="房地产市场价值","",MID(E103,3,LEN(E103)-2))</f>
        <v>估价师知悉的法定优先受偿款</v>
      </c>
      <c r="B120" s="3224"/>
      <c r="C120" s="3225"/>
      <c r="D120" s="3223">
        <f>H103</f>
        <v>0</v>
      </c>
      <c r="E120" s="3224"/>
      <c r="F120" s="3224"/>
      <c r="G120" s="3224"/>
      <c r="H120" s="3224"/>
      <c r="I120" s="322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65" t="s">
        <v>2139</v>
      </c>
      <c r="B121" s="3266"/>
      <c r="C121" s="3267"/>
      <c r="D121" s="3228" t="str">
        <f>IF(D120=0,"零元整",NUMBERSTRING(INT(D120*10000),2)&amp;"元整")</f>
        <v>零元整</v>
      </c>
      <c r="E121" s="3230"/>
      <c r="F121" s="3230"/>
      <c r="G121" s="3230"/>
      <c r="H121" s="3230"/>
      <c r="I121" s="3229"/>
      <c r="AA121" s="731"/>
    </row>
    <row r="122" spans="1:27" ht="18.75" customHeight="1">
      <c r="A122" s="3234" t="str">
        <f>IF(项目基本情况!B9="房地产市场价值","",MID(E107,3,LEN(E107)-2))</f>
        <v>房地产抵押价值</v>
      </c>
      <c r="B122" s="3234"/>
      <c r="C122" s="3234"/>
      <c r="D122" s="3223">
        <f ca="1">H107</f>
        <v>2584</v>
      </c>
      <c r="E122" s="3224"/>
      <c r="F122" s="3224"/>
      <c r="G122" s="3224"/>
      <c r="H122" s="3224"/>
      <c r="I122" s="3225"/>
      <c r="AA122" s="731"/>
    </row>
    <row r="123" spans="1:27" ht="18.75" customHeight="1">
      <c r="A123" s="3222" t="s">
        <v>2139</v>
      </c>
      <c r="B123" s="3222"/>
      <c r="C123" s="3222"/>
      <c r="D123" s="3228" t="str">
        <f ca="1">NUMBERSTRING(INT(D122*10000),2)&amp;"元整"</f>
        <v>贰仟伍佰捌拾肆万元整</v>
      </c>
      <c r="E123" s="3230"/>
      <c r="F123" s="3230"/>
      <c r="G123" s="3230"/>
      <c r="H123" s="3230"/>
      <c r="I123" s="3229"/>
      <c r="AA123" s="731"/>
    </row>
    <row r="124" spans="1:27" ht="18.75" customHeight="1">
      <c r="A124" s="3234" t="str">
        <f>IF(项目基本情况!B9="房地产市场价值","",MID(E109,3,LEN(E109)-2))</f>
        <v/>
      </c>
      <c r="B124" s="3234"/>
      <c r="C124" s="3234"/>
      <c r="D124" s="3223" t="str">
        <f>H109</f>
        <v>——</v>
      </c>
      <c r="E124" s="3224"/>
      <c r="F124" s="3224"/>
      <c r="G124" s="3224"/>
      <c r="H124" s="3224"/>
      <c r="I124" s="3225"/>
      <c r="AA124" s="731"/>
    </row>
    <row r="125" spans="1:27" ht="18.75" customHeight="1">
      <c r="A125" s="3222" t="s">
        <v>2139</v>
      </c>
      <c r="B125" s="3222"/>
      <c r="C125" s="3222"/>
      <c r="D125" s="3228" t="e">
        <f>NUMBERSTRING(INT(D124*10000),2)&amp;"元整"</f>
        <v>#VALUE!</v>
      </c>
      <c r="E125" s="3230"/>
      <c r="F125" s="3230"/>
      <c r="G125" s="3230"/>
      <c r="H125" s="3230"/>
      <c r="I125" s="3229"/>
      <c r="AA125" s="731"/>
    </row>
    <row r="126" spans="1:27" ht="18.75" customHeight="1">
      <c r="A126" s="3234" t="str">
        <f>IF(项目基本情况!B9="房地产市场价值","",MID(E111,3,LEN(E111)-2))</f>
        <v/>
      </c>
      <c r="B126" s="3234"/>
      <c r="C126" s="3234"/>
      <c r="D126" s="3223" t="str">
        <f>H111</f>
        <v>——</v>
      </c>
      <c r="E126" s="3224"/>
      <c r="F126" s="3224"/>
      <c r="G126" s="3224"/>
      <c r="H126" s="3224"/>
      <c r="I126" s="3225"/>
      <c r="AA126" s="731"/>
    </row>
    <row r="127" spans="1:27" ht="18.75" customHeight="1">
      <c r="A127" s="3222" t="s">
        <v>2139</v>
      </c>
      <c r="B127" s="3222"/>
      <c r="C127" s="3222"/>
      <c r="D127" s="3228" t="e">
        <f>NUMBERSTRING(INT(D126*10000),2)&amp;"元整"</f>
        <v>#VALUE!</v>
      </c>
      <c r="E127" s="3230"/>
      <c r="F127" s="3230"/>
      <c r="G127" s="3230"/>
      <c r="H127" s="3230"/>
      <c r="I127" s="3229"/>
      <c r="AA127" s="731"/>
    </row>
    <row r="128" spans="1:27" ht="21.75" customHeight="1">
      <c r="A128" s="3231" t="s">
        <v>2140</v>
      </c>
      <c r="B128" s="3231"/>
      <c r="C128" s="3231"/>
      <c r="D128" s="3231"/>
      <c r="E128" s="3231"/>
      <c r="F128" s="3231"/>
      <c r="G128" s="3231"/>
      <c r="H128" s="3231"/>
      <c r="I128" s="3231"/>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3"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3">
    <dataValidation type="list" allowBlank="1" showInputMessage="1" showErrorMessage="1" sqref="D92" xr:uid="{00000000-0002-0000-1A00-000000000000}">
      <formula1>"0,5%,10%"</formula1>
    </dataValidation>
    <dataValidation type="list" allowBlank="1" showInputMessage="1" showErrorMessage="1" sqref="H59" xr:uid="{00000000-0002-0000-1A00-000001000000}">
      <formula1>"非个人房产,个人住宅（满五唯一有凭证）,个人其他（有凭证）,个人其他（无凭证）"</formula1>
    </dataValidation>
    <dataValidation type="list" allowBlank="1" showInputMessage="1" showErrorMessage="1" sqref="E103" xr:uid="{00000000-0002-0000-1A00-000002000000}">
      <formula1>"2.估价师知悉的法定优先受偿款,2.估价师知悉的除抵押担保权以外的法定优先受偿款"</formula1>
    </dataValidation>
    <dataValidation type="list" allowBlank="1" showInputMessage="1" showErrorMessage="1" sqref="G77" xr:uid="{00000000-0002-0000-1A00-000003000000}">
      <formula1>"个人住宅,2016年5月1日前购买,2016年5月1日后购买"</formula1>
    </dataValidation>
    <dataValidation type="list" allowBlank="1" showInputMessage="1" showErrorMessage="1" sqref="C1" xr:uid="{00000000-0002-0000-1A00-000004000000}">
      <formula1>项目类型</formula1>
    </dataValidation>
    <dataValidation type="list" allowBlank="1" showInputMessage="1" showErrorMessage="1" sqref="I1" xr:uid="{00000000-0002-0000-1A00-000005000000}">
      <formula1>"项目局部,项目全部,——"</formula1>
    </dataValidation>
    <dataValidation type="list" showInputMessage="1" showErrorMessage="1" sqref="G1" xr:uid="{00000000-0002-0000-1A00-000006000000}">
      <formula1>"现房,在建,土地,-"</formula1>
    </dataValidation>
    <dataValidation type="list" allowBlank="1" showInputMessage="1" showErrorMessage="1" sqref="C129" xr:uid="{00000000-0002-0000-1A00-000007000000}">
      <formula1>"无,有"</formula1>
    </dataValidation>
    <dataValidation type="list" allowBlank="1" showInputMessage="1" showErrorMessage="1" sqref="F116:G116" xr:uid="{00000000-0002-0000-1A00-000008000000}">
      <formula1>"建筑物价值,在建建筑物价值,建筑物/在建建筑物价值"</formula1>
    </dataValidation>
    <dataValidation type="list" allowBlank="1" showInputMessage="1" showErrorMessage="1" sqref="D116:E116" xr:uid="{00000000-0002-0000-1A00-000009000000}">
      <formula1>"出让国有建设用地使用权价值,划拨国有建设用地使用权价值"</formula1>
    </dataValidation>
    <dataValidation type="list" allowBlank="1" showInputMessage="1" showErrorMessage="1" sqref="C116:C117" xr:uid="{00000000-0002-0000-1A00-00000A000000}">
      <formula1>"土地面积,分摊土地面积,（分摊）土地面积"</formula1>
    </dataValidation>
    <dataValidation type="list" allowBlank="1" showInputMessage="1" showErrorMessage="1" sqref="B116:B117" xr:uid="{00000000-0002-0000-1A00-00000B000000}">
      <formula1>"建筑面积,规划建筑面积,（规划）建筑面积"</formula1>
    </dataValidation>
    <dataValidation type="list" allowBlank="1" showInputMessage="1" showErrorMessage="1" sqref="D36" xr:uid="{00000000-0002-0000-1A00-00000C000000}">
      <formula1>"同一抵押权人同一抵押物续贷,注销后放款,正常操作"</formula1>
    </dataValidation>
    <dataValidation type="list" allowBlank="1" showInputMessage="1" showErrorMessage="1" sqref="F75" xr:uid="{00000000-0002-0000-1A00-00000D000000}">
      <formula1>"买卖合同,购房发票"</formula1>
    </dataValidation>
    <dataValidation type="list" allowBlank="1" showInputMessage="1" showErrorMessage="1" sqref="H88" xr:uid="{00000000-0002-0000-1A00-00000E000000}">
      <formula1>"仅含出让金,出让金+开发费"</formula1>
    </dataValidation>
    <dataValidation type="list" allowBlank="1" showInputMessage="1" showErrorMessage="1" sqref="H91" xr:uid="{00000000-0002-0000-1A00-00000F000000}">
      <formula1>"企业提供（在右侧录入）,——"</formula1>
    </dataValidation>
    <dataValidation type="list" allowBlank="1" showInputMessage="1" showErrorMessage="1" sqref="C33" xr:uid="{00000000-0002-0000-1A00-000010000000}">
      <formula1>"成本比率,收益比率,自定义"</formula1>
    </dataValidation>
    <dataValidation type="list" allowBlank="1" showInputMessage="1" showErrorMessage="1" sqref="F45" xr:uid="{00000000-0002-0000-1A00-000011000000}">
      <formula1>"100%,80%,60%,64%"</formula1>
    </dataValidation>
    <dataValidation type="list" allowBlank="1" showInputMessage="1" showErrorMessage="1" sqref="D32" xr:uid="{00000000-0002-0000-1A00-000012000000}">
      <formula1>"总价,楼面单价"</formula1>
    </dataValidation>
    <dataValidation type="list" allowBlank="1" showInputMessage="1" showErrorMessage="1" sqref="H58" xr:uid="{00000000-0002-0000-1A00-000013000000}">
      <formula1>"转让取得,自行开发建设"</formula1>
    </dataValidation>
    <dataValidation type="list" allowBlank="1" showInputMessage="1" showErrorMessage="1" sqref="H48" xr:uid="{00000000-0002-0000-1A00-000014000000}">
      <formula1>"情况1,情况2,情况3,情况4"</formula1>
    </dataValidation>
    <dataValidation type="list" allowBlank="1" showInputMessage="1" showErrorMessage="1" sqref="H55:H56" xr:uid="{00000000-0002-0000-1A00-000015000000}">
      <formula1>"个人住宅,正常"</formula1>
    </dataValidation>
    <dataValidation type="list" allowBlank="1" showInputMessage="1" showErrorMessage="1" sqref="C4:D4 D33" xr:uid="{00000000-0002-0000-1A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90" zoomScaleNormal="60" zoomScaleSheetLayoutView="90" workbookViewId="0">
      <selection activeCell="B2" sqref="B2"/>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2529</v>
      </c>
      <c r="B1" s="1388" t="s">
        <v>27</v>
      </c>
      <c r="C1" s="1389" t="s">
        <v>2352</v>
      </c>
      <c r="D1" s="1390" t="s">
        <v>3084</v>
      </c>
      <c r="E1" s="1391"/>
      <c r="F1" s="2064" t="s">
        <v>3181</v>
      </c>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2149</v>
      </c>
      <c r="B2" s="1323">
        <f>IF(C2="——",IF(B37="元/平方米",ROUND(C39*D3/10000,0),ROUND(F3*C39/10000,0)),IF(B37="元/平方米",ROUND(C39*D3/10000,0),ROUND(F3*C39/10000,0))-D2)</f>
        <v>3537</v>
      </c>
      <c r="C2" s="2066" t="s">
        <v>70</v>
      </c>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6" customFormat="1" ht="28.5" customHeight="1" thickBot="1">
      <c r="A3" s="207" t="s">
        <v>2151</v>
      </c>
      <c r="B3" s="564">
        <f>IF(AND(C2="——",B37="元/平方米"),C39,ROUND(B2*10000/D3,0))</f>
        <v>4483</v>
      </c>
      <c r="C3" s="358" t="s">
        <v>2466</v>
      </c>
      <c r="D3" s="357">
        <f>SUMIF('数据-汇总表'!$C19:$C33,D1,'数据-汇总表'!$E19:$E33)</f>
        <v>7889.71</v>
      </c>
      <c r="E3" s="358" t="s">
        <v>2530</v>
      </c>
      <c r="F3" s="357">
        <f>SUMIF('数据-取费表'!A5:A15,D1,'数据-取费表'!AH5:AH15)</f>
        <v>194</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9" t="s">
        <v>2467</v>
      </c>
      <c r="B4" s="360"/>
      <c r="C4" s="3324" t="s">
        <v>2468</v>
      </c>
      <c r="D4" s="3325"/>
      <c r="E4" s="3326" t="s">
        <v>2469</v>
      </c>
      <c r="F4" s="3327"/>
      <c r="G4" s="3324" t="s">
        <v>2470</v>
      </c>
      <c r="H4" s="3325"/>
      <c r="I4" s="3324" t="s">
        <v>2471</v>
      </c>
      <c r="J4" s="3325"/>
      <c r="K4" s="565" t="s">
        <v>2472</v>
      </c>
      <c r="L4" s="2943"/>
      <c r="M4" s="2944"/>
      <c r="N4" s="2944"/>
      <c r="O4" s="2944"/>
      <c r="P4" s="3328" t="s">
        <v>2473</v>
      </c>
      <c r="Q4" s="3329"/>
      <c r="R4" s="3310" t="s">
        <v>2469</v>
      </c>
      <c r="S4" s="3311"/>
      <c r="T4" s="3310" t="s">
        <v>2470</v>
      </c>
      <c r="U4" s="3311"/>
      <c r="V4" s="3307" t="s">
        <v>2471</v>
      </c>
      <c r="W4" s="3307"/>
      <c r="X4" s="1538"/>
      <c r="Y4" s="3310" t="s">
        <v>2473</v>
      </c>
      <c r="Z4" s="3311"/>
      <c r="AA4" s="3304" t="s">
        <v>2469</v>
      </c>
      <c r="AB4" s="3305" t="s">
        <v>2470</v>
      </c>
      <c r="AC4" s="3304" t="s">
        <v>2471</v>
      </c>
    </row>
    <row r="5" spans="1:29" ht="15">
      <c r="A5" s="362"/>
      <c r="B5" s="363"/>
      <c r="C5" s="3316" t="s">
        <v>2364</v>
      </c>
      <c r="D5" s="3317"/>
      <c r="E5" s="3314" t="s">
        <v>2365</v>
      </c>
      <c r="F5" s="3315"/>
      <c r="G5" s="3316" t="s">
        <v>2366</v>
      </c>
      <c r="H5" s="3317"/>
      <c r="I5" s="3316" t="s">
        <v>2367</v>
      </c>
      <c r="J5" s="3317"/>
      <c r="K5" s="565"/>
      <c r="L5" s="2943"/>
      <c r="M5" s="2944"/>
      <c r="N5" s="2944"/>
      <c r="O5" s="2944"/>
      <c r="P5" s="3330"/>
      <c r="Q5" s="3331"/>
      <c r="R5" s="3312"/>
      <c r="S5" s="3313"/>
      <c r="T5" s="3312"/>
      <c r="U5" s="3313"/>
      <c r="V5" s="3307"/>
      <c r="W5" s="3307"/>
      <c r="X5" s="1538"/>
      <c r="Y5" s="3312"/>
      <c r="Z5" s="3313"/>
      <c r="AA5" s="3305"/>
      <c r="AB5" s="3305"/>
      <c r="AC5" s="3305"/>
    </row>
    <row r="6" spans="1:29" ht="15.75" thickBot="1">
      <c r="A6" s="364"/>
      <c r="B6" s="365"/>
      <c r="C6" s="3318" t="s">
        <v>2368</v>
      </c>
      <c r="D6" s="3319"/>
      <c r="E6" s="3370" t="s">
        <v>2368</v>
      </c>
      <c r="F6" s="3321"/>
      <c r="G6" s="3318" t="s">
        <v>2368</v>
      </c>
      <c r="H6" s="3319"/>
      <c r="I6" s="3318" t="s">
        <v>2368</v>
      </c>
      <c r="J6" s="3319"/>
      <c r="K6" s="565" t="s">
        <v>2369</v>
      </c>
      <c r="L6" s="2943"/>
      <c r="M6" s="2944"/>
      <c r="N6" s="2944"/>
      <c r="O6" s="2944"/>
      <c r="P6" s="3332"/>
      <c r="Q6" s="3333"/>
      <c r="R6" s="3312"/>
      <c r="S6" s="3313"/>
      <c r="T6" s="3334"/>
      <c r="U6" s="3335"/>
      <c r="V6" s="3307"/>
      <c r="W6" s="3307"/>
      <c r="X6" s="1538"/>
      <c r="Y6" s="3334"/>
      <c r="Z6" s="3335"/>
      <c r="AA6" s="3306"/>
      <c r="AB6" s="3306"/>
      <c r="AC6" s="3306"/>
    </row>
    <row r="7" spans="1:29" s="113" customFormat="1" ht="15.75" thickBot="1">
      <c r="A7" s="366" t="s">
        <v>2370</v>
      </c>
      <c r="B7" s="367"/>
      <c r="C7" s="368">
        <f>'数据-取费表'!B2</f>
        <v>44131</v>
      </c>
      <c r="D7" s="369">
        <v>100</v>
      </c>
      <c r="E7" s="370">
        <v>44105</v>
      </c>
      <c r="F7" s="371">
        <f>SUMIF(48:48,YEAR(E7)&amp;"-"&amp;MONTH(E7),49:49)</f>
        <v>100</v>
      </c>
      <c r="G7" s="370">
        <v>44105</v>
      </c>
      <c r="H7" s="369">
        <f>SUMIF(48:48,YEAR(G7)&amp;"-"&amp;MONTH(G7),49:49)</f>
        <v>100</v>
      </c>
      <c r="I7" s="370">
        <v>44105</v>
      </c>
      <c r="J7" s="369">
        <f>SUMIF(48:48,YEAR(I7)&amp;"-"&amp;MONTH(I7),49:49)</f>
        <v>100</v>
      </c>
      <c r="K7" s="566"/>
      <c r="L7" s="2945"/>
      <c r="M7" s="2946"/>
      <c r="N7" s="2946"/>
      <c r="O7" s="2946"/>
      <c r="P7" s="3308" t="s">
        <v>2371</v>
      </c>
      <c r="Q7" s="3336"/>
      <c r="R7" s="707" t="s">
        <v>17</v>
      </c>
      <c r="S7" s="708">
        <f t="shared" ref="S7:S14" si="0">F7</f>
        <v>100</v>
      </c>
      <c r="T7" s="707" t="s">
        <v>17</v>
      </c>
      <c r="U7" s="708">
        <f t="shared" ref="U7:U14" si="1">H7</f>
        <v>100</v>
      </c>
      <c r="V7" s="707" t="s">
        <v>17</v>
      </c>
      <c r="W7" s="708">
        <f t="shared" ref="W7:W14" si="2">J7</f>
        <v>100</v>
      </c>
      <c r="X7" s="709"/>
      <c r="Y7" s="3308" t="s">
        <v>2371</v>
      </c>
      <c r="Z7" s="3309"/>
      <c r="AA7" s="710">
        <f>D7/F7</f>
        <v>1</v>
      </c>
      <c r="AB7" s="710">
        <f>D7/H7</f>
        <v>1</v>
      </c>
      <c r="AC7" s="710">
        <f>D7/J7</f>
        <v>1</v>
      </c>
    </row>
    <row r="8" spans="1:29" s="113" customFormat="1" ht="15.75" thickBot="1">
      <c r="A8" s="366" t="s">
        <v>2372</v>
      </c>
      <c r="B8" s="367"/>
      <c r="C8" s="372" t="s">
        <v>2474</v>
      </c>
      <c r="D8" s="369">
        <v>100</v>
      </c>
      <c r="E8" s="372" t="s">
        <v>3182</v>
      </c>
      <c r="F8" s="371">
        <f>SUMIF(51:51,E8,52:52)-SUMIF(51:51,C8,52:52)+100</f>
        <v>100</v>
      </c>
      <c r="G8" s="372" t="s">
        <v>3182</v>
      </c>
      <c r="H8" s="369">
        <f>SUMIF(51:51,G8,52:52)-SUMIF(51:51,C8,52:52)+100</f>
        <v>100</v>
      </c>
      <c r="I8" s="372" t="s">
        <v>3182</v>
      </c>
      <c r="J8" s="369">
        <f>SUMIF(51:51,I8,52:52)-SUMIF(51:51,C8,52:52)+100</f>
        <v>100</v>
      </c>
      <c r="K8" s="566"/>
      <c r="L8" s="2945"/>
      <c r="M8" s="2946"/>
      <c r="N8" s="2946"/>
      <c r="O8" s="2946"/>
      <c r="P8" s="3308" t="s">
        <v>2374</v>
      </c>
      <c r="Q8" s="3309"/>
      <c r="R8" s="707" t="s">
        <v>17</v>
      </c>
      <c r="S8" s="708">
        <f t="shared" si="0"/>
        <v>100</v>
      </c>
      <c r="T8" s="707" t="s">
        <v>17</v>
      </c>
      <c r="U8" s="708">
        <f t="shared" si="1"/>
        <v>100</v>
      </c>
      <c r="V8" s="707" t="s">
        <v>17</v>
      </c>
      <c r="W8" s="708">
        <f t="shared" si="2"/>
        <v>100</v>
      </c>
      <c r="X8" s="709"/>
      <c r="Y8" s="3308" t="s">
        <v>2374</v>
      </c>
      <c r="Z8" s="3309"/>
      <c r="AA8" s="710">
        <f t="shared" ref="AA8:AA36" si="3">D8/F8</f>
        <v>1</v>
      </c>
      <c r="AB8" s="710">
        <f t="shared" ref="AB8:AB36" si="4">D8/H8</f>
        <v>1</v>
      </c>
      <c r="AC8" s="710">
        <f t="shared" ref="AC8:AC36" si="5">D8/J8</f>
        <v>1</v>
      </c>
    </row>
    <row r="9" spans="1:29" s="113" customFormat="1" ht="15">
      <c r="A9" s="64" t="s">
        <v>2375</v>
      </c>
      <c r="B9" s="594" t="s">
        <v>2376</v>
      </c>
      <c r="C9" s="3068" t="s">
        <v>3230</v>
      </c>
      <c r="D9" s="129">
        <v>100</v>
      </c>
      <c r="E9" s="377" t="s">
        <v>3183</v>
      </c>
      <c r="F9" s="129">
        <f>SUMIF(53:53,E9,54:54)-SUMIF(53:53,C9,54:54)+100</f>
        <v>98</v>
      </c>
      <c r="G9" s="377" t="s">
        <v>3183</v>
      </c>
      <c r="H9" s="129">
        <f>SUMIF(53:53,G9,54:54)-SUMIF(53:53,C9,54:54)+100</f>
        <v>98</v>
      </c>
      <c r="I9" s="377" t="s">
        <v>3183</v>
      </c>
      <c r="J9" s="129">
        <f>SUMIF(53:53,I9,54:54)-SUMIF(53:53,C9,54:54)+100</f>
        <v>98</v>
      </c>
      <c r="K9" s="566"/>
      <c r="L9" s="2945"/>
      <c r="M9" s="2946"/>
      <c r="N9" s="2946"/>
      <c r="O9" s="2946"/>
      <c r="P9" s="3346" t="s">
        <v>2377</v>
      </c>
      <c r="Q9" s="1526" t="str">
        <f t="shared" ref="Q9:Q14" si="6">B9</f>
        <v>用途</v>
      </c>
      <c r="R9" s="707" t="s">
        <v>17</v>
      </c>
      <c r="S9" s="708">
        <f t="shared" si="0"/>
        <v>98</v>
      </c>
      <c r="T9" s="707" t="s">
        <v>17</v>
      </c>
      <c r="U9" s="708">
        <f t="shared" si="1"/>
        <v>98</v>
      </c>
      <c r="V9" s="707" t="s">
        <v>17</v>
      </c>
      <c r="W9" s="708">
        <f t="shared" si="2"/>
        <v>98</v>
      </c>
      <c r="X9" s="709"/>
      <c r="Y9" s="3280" t="s">
        <v>2378</v>
      </c>
      <c r="Z9" s="55" t="str">
        <f t="shared" ref="Z9:Z14" si="7">Q9</f>
        <v>用途</v>
      </c>
      <c r="AA9" s="710">
        <f t="shared" si="3"/>
        <v>1.0204081632653061</v>
      </c>
      <c r="AB9" s="710">
        <f t="shared" si="4"/>
        <v>1.0204081632653061</v>
      </c>
      <c r="AC9" s="710">
        <f t="shared" si="5"/>
        <v>1.0204081632653061</v>
      </c>
    </row>
    <row r="10" spans="1:29" s="384" customFormat="1" ht="27">
      <c r="A10" s="595"/>
      <c r="B10" s="596" t="s">
        <v>2379</v>
      </c>
      <c r="C10" s="380"/>
      <c r="D10" s="130">
        <v>100</v>
      </c>
      <c r="E10" s="380"/>
      <c r="F10" s="130">
        <f>SUMIF(55:55,E10,56:56)-SUMIF(55:55,C10,56:56)+100</f>
        <v>100</v>
      </c>
      <c r="G10" s="381"/>
      <c r="H10" s="130">
        <f>SUMIF(55:55,G10,56:56)-SUMIF(55:55,C10,56:56)+100</f>
        <v>100</v>
      </c>
      <c r="I10" s="380"/>
      <c r="J10" s="130">
        <f>SUMIF(55:55,I10,56:56)-SUMIF(55:55,C10,56:56)+100</f>
        <v>100</v>
      </c>
      <c r="K10" s="567"/>
      <c r="L10" s="2947"/>
      <c r="M10" s="2948"/>
      <c r="N10" s="2948"/>
      <c r="O10" s="2948"/>
      <c r="P10" s="3346"/>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9"/>
      <c r="M11" s="2944"/>
      <c r="N11" s="2944"/>
      <c r="O11" s="2944"/>
      <c r="P11" s="3346"/>
      <c r="Q11" s="1526">
        <f t="shared" si="6"/>
        <v>111</v>
      </c>
      <c r="R11" s="707" t="s">
        <v>17</v>
      </c>
      <c r="S11" s="708">
        <f t="shared" si="0"/>
        <v>100</v>
      </c>
      <c r="T11" s="707" t="s">
        <v>17</v>
      </c>
      <c r="U11" s="708">
        <f t="shared" si="1"/>
        <v>100</v>
      </c>
      <c r="V11" s="707" t="s">
        <v>17</v>
      </c>
      <c r="W11" s="708">
        <f t="shared" si="2"/>
        <v>100</v>
      </c>
      <c r="X11" s="709"/>
      <c r="Y11" s="3280"/>
      <c r="Z11" s="55">
        <f t="shared" si="7"/>
        <v>111</v>
      </c>
      <c r="AA11" s="710">
        <f t="shared" si="3"/>
        <v>1</v>
      </c>
      <c r="AB11" s="710">
        <f t="shared" si="4"/>
        <v>1</v>
      </c>
      <c r="AC11" s="710">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5"/>
      <c r="M12" s="2946"/>
      <c r="N12" s="2946"/>
      <c r="O12" s="2946"/>
      <c r="P12" s="3346"/>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50"/>
      <c r="M13" s="2944"/>
      <c r="N13" s="2944"/>
      <c r="O13" s="2944"/>
      <c r="P13" s="3346"/>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710">
        <f t="shared" si="5"/>
        <v>1</v>
      </c>
    </row>
    <row r="14" spans="1:29" ht="85.5">
      <c r="A14" s="3468" t="s">
        <v>2381</v>
      </c>
      <c r="B14" s="583" t="s">
        <v>2531</v>
      </c>
      <c r="C14" s="215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50"/>
      <c r="M14" s="2944"/>
      <c r="N14" s="2944"/>
      <c r="O14" s="2944"/>
      <c r="P14" s="3339" t="s">
        <v>2382</v>
      </c>
      <c r="Q14" s="1535" t="str">
        <f t="shared" si="6"/>
        <v>交通便捷度</v>
      </c>
      <c r="R14" s="711" t="s">
        <v>17</v>
      </c>
      <c r="S14" s="712">
        <f t="shared" si="0"/>
        <v>100</v>
      </c>
      <c r="T14" s="711" t="s">
        <v>17</v>
      </c>
      <c r="U14" s="712">
        <f t="shared" si="1"/>
        <v>100</v>
      </c>
      <c r="V14" s="711" t="s">
        <v>17</v>
      </c>
      <c r="W14" s="712">
        <f t="shared" si="2"/>
        <v>100</v>
      </c>
      <c r="X14" s="1538"/>
      <c r="Y14" s="3339" t="s">
        <v>2382</v>
      </c>
      <c r="Z14" s="1539" t="str">
        <f t="shared" si="7"/>
        <v>交通便捷度</v>
      </c>
      <c r="AA14" s="1536">
        <f t="shared" si="3"/>
        <v>1</v>
      </c>
      <c r="AB14" s="1536">
        <f t="shared" si="4"/>
        <v>1</v>
      </c>
      <c r="AC14" s="1536">
        <f t="shared" si="5"/>
        <v>1</v>
      </c>
    </row>
    <row r="15" spans="1:29" ht="15">
      <c r="A15" s="362"/>
      <c r="B15" s="601"/>
      <c r="C15" s="404"/>
      <c r="D15" s="405"/>
      <c r="E15" s="404"/>
      <c r="F15" s="406"/>
      <c r="G15" s="404"/>
      <c r="H15" s="407"/>
      <c r="I15" s="404"/>
      <c r="J15" s="405"/>
      <c r="K15" s="570"/>
      <c r="L15" s="2950"/>
      <c r="M15" s="2944"/>
      <c r="N15" s="2944"/>
      <c r="O15" s="2944"/>
      <c r="P15" s="3340"/>
      <c r="Q15" s="1535"/>
      <c r="R15" s="711"/>
      <c r="S15" s="712"/>
      <c r="T15" s="711"/>
      <c r="U15" s="712"/>
      <c r="V15" s="711"/>
      <c r="W15" s="712"/>
      <c r="X15" s="1538"/>
      <c r="Y15" s="3340"/>
      <c r="Z15" s="1539"/>
      <c r="AA15" s="1536">
        <v>1</v>
      </c>
      <c r="AB15" s="1536">
        <v>1</v>
      </c>
      <c r="AC15" s="1536">
        <v>1</v>
      </c>
    </row>
    <row r="16" spans="1:29" ht="42.75">
      <c r="A16" s="362"/>
      <c r="B16" s="585" t="s">
        <v>2510</v>
      </c>
      <c r="C16" s="2085"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50"/>
      <c r="M16" s="2944"/>
      <c r="N16" s="2944"/>
      <c r="O16" s="2944"/>
      <c r="P16" s="3340"/>
      <c r="Q16" s="1535" t="str">
        <f>B16</f>
        <v>公共配套设施</v>
      </c>
      <c r="R16" s="711" t="s">
        <v>17</v>
      </c>
      <c r="S16" s="712">
        <f>F16</f>
        <v>100</v>
      </c>
      <c r="T16" s="711" t="s">
        <v>17</v>
      </c>
      <c r="U16" s="712">
        <f>H16</f>
        <v>100</v>
      </c>
      <c r="V16" s="711" t="s">
        <v>17</v>
      </c>
      <c r="W16" s="712">
        <f>J16</f>
        <v>100</v>
      </c>
      <c r="X16" s="1538"/>
      <c r="Y16" s="3340"/>
      <c r="Z16" s="1539" t="str">
        <f>Q16</f>
        <v>公共配套设施</v>
      </c>
      <c r="AA16" s="1536">
        <f t="shared" si="3"/>
        <v>1</v>
      </c>
      <c r="AB16" s="1536">
        <f t="shared" si="4"/>
        <v>1</v>
      </c>
      <c r="AC16" s="1536">
        <f t="shared" si="5"/>
        <v>1</v>
      </c>
    </row>
    <row r="17" spans="1:29" ht="15">
      <c r="A17" s="362"/>
      <c r="B17" s="586"/>
      <c r="C17" s="2086"/>
      <c r="D17" s="405"/>
      <c r="E17" s="404"/>
      <c r="F17" s="406"/>
      <c r="G17" s="404"/>
      <c r="H17" s="405"/>
      <c r="I17" s="404"/>
      <c r="J17" s="405"/>
      <c r="K17" s="570"/>
      <c r="L17" s="2950"/>
      <c r="M17" s="2944"/>
      <c r="N17" s="2944"/>
      <c r="O17" s="2944"/>
      <c r="P17" s="3340"/>
      <c r="Q17" s="1535"/>
      <c r="R17" s="711"/>
      <c r="S17" s="712"/>
      <c r="T17" s="711"/>
      <c r="U17" s="712"/>
      <c r="V17" s="711"/>
      <c r="W17" s="712"/>
      <c r="X17" s="1538"/>
      <c r="Y17" s="3340"/>
      <c r="Z17" s="1539"/>
      <c r="AA17" s="1536">
        <v>1</v>
      </c>
      <c r="AB17" s="1536">
        <v>1</v>
      </c>
      <c r="AC17" s="1536">
        <v>1</v>
      </c>
    </row>
    <row r="18" spans="1:29" ht="28.5">
      <c r="A18" s="362"/>
      <c r="B18" s="587" t="s">
        <v>2511</v>
      </c>
      <c r="C18" s="2085"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50"/>
      <c r="M18" s="2944"/>
      <c r="N18" s="2944"/>
      <c r="O18" s="2944"/>
      <c r="P18" s="3340"/>
      <c r="Q18" s="1535" t="str">
        <f>B18</f>
        <v>基础设施水平</v>
      </c>
      <c r="R18" s="711" t="s">
        <v>17</v>
      </c>
      <c r="S18" s="712">
        <f>F18</f>
        <v>100</v>
      </c>
      <c r="T18" s="711" t="s">
        <v>17</v>
      </c>
      <c r="U18" s="712">
        <f>H18</f>
        <v>100</v>
      </c>
      <c r="V18" s="711" t="s">
        <v>17</v>
      </c>
      <c r="W18" s="712">
        <f>J18</f>
        <v>100</v>
      </c>
      <c r="X18" s="1538"/>
      <c r="Y18" s="3340"/>
      <c r="Z18" s="1539" t="str">
        <f>Q18</f>
        <v>基础设施水平</v>
      </c>
      <c r="AA18" s="1536">
        <f t="shared" ref="AA18" si="8">D18/F18</f>
        <v>1</v>
      </c>
      <c r="AB18" s="1536">
        <f t="shared" ref="AB18" si="9">D18/H18</f>
        <v>1</v>
      </c>
      <c r="AC18" s="1536">
        <f t="shared" ref="AC18" si="10">D18/J18</f>
        <v>1</v>
      </c>
    </row>
    <row r="19" spans="1:29" ht="15">
      <c r="A19" s="362"/>
      <c r="B19" s="587"/>
      <c r="C19" s="2086"/>
      <c r="D19" s="407"/>
      <c r="E19" s="2086"/>
      <c r="F19" s="410"/>
      <c r="G19" s="2086"/>
      <c r="H19" s="405"/>
      <c r="I19" s="404"/>
      <c r="J19" s="405"/>
      <c r="K19" s="1289"/>
      <c r="L19" s="2950"/>
      <c r="M19" s="2944"/>
      <c r="N19" s="2944"/>
      <c r="O19" s="2944"/>
      <c r="P19" s="3340"/>
      <c r="Q19" s="1535"/>
      <c r="R19" s="711"/>
      <c r="S19" s="712"/>
      <c r="T19" s="711"/>
      <c r="U19" s="712"/>
      <c r="V19" s="711"/>
      <c r="W19" s="712"/>
      <c r="X19" s="1538"/>
      <c r="Y19" s="3340"/>
      <c r="Z19" s="1539"/>
      <c r="AA19" s="1536">
        <v>1</v>
      </c>
      <c r="AB19" s="1536">
        <v>1</v>
      </c>
      <c r="AC19" s="1536">
        <v>1</v>
      </c>
    </row>
    <row r="20" spans="1:29" ht="57">
      <c r="A20" s="362"/>
      <c r="B20" s="585" t="s">
        <v>2532</v>
      </c>
      <c r="C20" s="2085"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50"/>
      <c r="M20" s="2944"/>
      <c r="N20" s="2944"/>
      <c r="O20" s="2944"/>
      <c r="P20" s="3340"/>
      <c r="Q20" s="1535" t="str">
        <f>B20</f>
        <v>自然及人文环境</v>
      </c>
      <c r="R20" s="711" t="s">
        <v>17</v>
      </c>
      <c r="S20" s="712">
        <f>F20</f>
        <v>100</v>
      </c>
      <c r="T20" s="711" t="s">
        <v>17</v>
      </c>
      <c r="U20" s="712">
        <f>H20</f>
        <v>100</v>
      </c>
      <c r="V20" s="711" t="s">
        <v>17</v>
      </c>
      <c r="W20" s="712">
        <f>J20</f>
        <v>100</v>
      </c>
      <c r="X20" s="1538"/>
      <c r="Y20" s="3340"/>
      <c r="Z20" s="1539" t="str">
        <f>Q20</f>
        <v>自然及人文环境</v>
      </c>
      <c r="AA20" s="1536">
        <f t="shared" si="3"/>
        <v>1</v>
      </c>
      <c r="AB20" s="1536">
        <f t="shared" si="4"/>
        <v>1</v>
      </c>
      <c r="AC20" s="1536">
        <f t="shared" si="5"/>
        <v>1</v>
      </c>
    </row>
    <row r="21" spans="1:29" ht="15">
      <c r="A21" s="362"/>
      <c r="B21" s="586"/>
      <c r="C21" s="404"/>
      <c r="D21" s="405"/>
      <c r="E21" s="404"/>
      <c r="F21" s="406"/>
      <c r="G21" s="404"/>
      <c r="H21" s="405"/>
      <c r="I21" s="404"/>
      <c r="J21" s="405"/>
      <c r="K21" s="570"/>
      <c r="L21" s="2950"/>
      <c r="M21" s="2944"/>
      <c r="N21" s="2944"/>
      <c r="O21" s="2944"/>
      <c r="P21" s="3340"/>
      <c r="Q21" s="1535"/>
      <c r="R21" s="711"/>
      <c r="S21" s="712"/>
      <c r="T21" s="711"/>
      <c r="U21" s="712"/>
      <c r="V21" s="711"/>
      <c r="W21" s="712"/>
      <c r="X21" s="1538"/>
      <c r="Y21" s="3340"/>
      <c r="Z21" s="1539"/>
      <c r="AA21" s="1536">
        <v>1</v>
      </c>
      <c r="AB21" s="1536">
        <v>1</v>
      </c>
      <c r="AC21" s="1536">
        <v>1</v>
      </c>
    </row>
    <row r="22" spans="1:29" ht="15">
      <c r="A22" s="362"/>
      <c r="B22" s="585" t="s">
        <v>2533</v>
      </c>
      <c r="C22" s="571"/>
      <c r="D22" s="407">
        <v>100</v>
      </c>
      <c r="E22" s="571"/>
      <c r="F22" s="418">
        <f>SUMIF(71:71,E22,72:72)-SUMIF(71:71,C22,72:72)+100</f>
        <v>100</v>
      </c>
      <c r="G22" s="571"/>
      <c r="H22" s="392">
        <f>SUMIF(71:71,G22,72:72)-SUMIF(71:71,C22,72:72)+100</f>
        <v>100</v>
      </c>
      <c r="I22" s="571"/>
      <c r="J22" s="392">
        <f>SUMIF(71:71,I22,72:72)-SUMIF(71:71,C22,72:72)+100</f>
        <v>100</v>
      </c>
      <c r="K22" s="567"/>
      <c r="L22" s="2950"/>
      <c r="M22" s="2944"/>
      <c r="N22" s="2944"/>
      <c r="O22" s="2944"/>
      <c r="P22" s="3340"/>
      <c r="Q22" s="1535" t="str">
        <f>B22</f>
        <v>楼层</v>
      </c>
      <c r="R22" s="711" t="s">
        <v>17</v>
      </c>
      <c r="S22" s="712">
        <f>F22</f>
        <v>100</v>
      </c>
      <c r="T22" s="711" t="s">
        <v>17</v>
      </c>
      <c r="U22" s="712">
        <f>H22</f>
        <v>100</v>
      </c>
      <c r="V22" s="711" t="s">
        <v>17</v>
      </c>
      <c r="W22" s="712">
        <f>J22</f>
        <v>100</v>
      </c>
      <c r="X22" s="1538"/>
      <c r="Y22" s="3340"/>
      <c r="Z22" s="1539" t="str">
        <f>Q22</f>
        <v>楼层</v>
      </c>
      <c r="AA22" s="1536">
        <f t="shared" si="3"/>
        <v>1</v>
      </c>
      <c r="AB22" s="1536">
        <f t="shared" si="4"/>
        <v>1</v>
      </c>
      <c r="AC22" s="1536">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50"/>
      <c r="M23" s="2944"/>
      <c r="N23" s="2944"/>
      <c r="O23" s="2944"/>
      <c r="P23" s="3340"/>
      <c r="Q23" s="1535">
        <f>B23</f>
        <v>111</v>
      </c>
      <c r="R23" s="711" t="s">
        <v>17</v>
      </c>
      <c r="S23" s="712">
        <f>F23</f>
        <v>100</v>
      </c>
      <c r="T23" s="711" t="s">
        <v>17</v>
      </c>
      <c r="U23" s="712">
        <f>H23</f>
        <v>100</v>
      </c>
      <c r="V23" s="711" t="s">
        <v>17</v>
      </c>
      <c r="W23" s="712">
        <f>J23</f>
        <v>100</v>
      </c>
      <c r="X23" s="1538"/>
      <c r="Y23" s="3340"/>
      <c r="Z23" s="1539">
        <f>Q23</f>
        <v>111</v>
      </c>
      <c r="AA23" s="1536">
        <f t="shared" si="3"/>
        <v>1</v>
      </c>
      <c r="AB23" s="1536">
        <f t="shared" si="4"/>
        <v>1</v>
      </c>
      <c r="AC23" s="1536">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50"/>
      <c r="M24" s="2944"/>
      <c r="N24" s="2944"/>
      <c r="O24" s="2944"/>
      <c r="P24" s="3340"/>
      <c r="Q24" s="1535">
        <f t="shared" ref="Q24:Q36" si="11">B24</f>
        <v>111</v>
      </c>
      <c r="R24" s="711" t="s">
        <v>17</v>
      </c>
      <c r="S24" s="712">
        <f>F24</f>
        <v>100</v>
      </c>
      <c r="T24" s="711" t="s">
        <v>17</v>
      </c>
      <c r="U24" s="712">
        <f>H24</f>
        <v>100</v>
      </c>
      <c r="V24" s="711" t="s">
        <v>17</v>
      </c>
      <c r="W24" s="712">
        <f>J24</f>
        <v>100</v>
      </c>
      <c r="X24" s="1538"/>
      <c r="Y24" s="3340"/>
      <c r="Z24" s="1539">
        <f>Q24</f>
        <v>111</v>
      </c>
      <c r="AA24" s="1536">
        <f t="shared" si="3"/>
        <v>1</v>
      </c>
      <c r="AB24" s="1536">
        <f t="shared" si="4"/>
        <v>1</v>
      </c>
      <c r="AC24" s="1536">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5"/>
      <c r="M25" s="2946"/>
      <c r="N25" s="2946"/>
      <c r="O25" s="2946"/>
      <c r="P25" s="3340"/>
      <c r="Q25" s="1526">
        <f t="shared" si="11"/>
        <v>111</v>
      </c>
      <c r="R25" s="707" t="s">
        <v>17</v>
      </c>
      <c r="S25" s="708">
        <f>F25</f>
        <v>100</v>
      </c>
      <c r="T25" s="707" t="s">
        <v>17</v>
      </c>
      <c r="U25" s="708">
        <f>H25</f>
        <v>100</v>
      </c>
      <c r="V25" s="707" t="s">
        <v>17</v>
      </c>
      <c r="W25" s="708">
        <f>J25</f>
        <v>100</v>
      </c>
      <c r="X25" s="709"/>
      <c r="Y25" s="3340"/>
      <c r="Z25" s="55">
        <f>Q25</f>
        <v>111</v>
      </c>
      <c r="AA25" s="1536">
        <f>D25/F25</f>
        <v>1</v>
      </c>
      <c r="AB25" s="1536">
        <f>D25/H25</f>
        <v>1</v>
      </c>
      <c r="AC25" s="1536">
        <f>D25/J25</f>
        <v>1</v>
      </c>
    </row>
    <row r="26" spans="1:29" ht="28.5">
      <c r="A26" s="606" t="s">
        <v>2385</v>
      </c>
      <c r="B26" s="66" t="s">
        <v>2534</v>
      </c>
      <c r="C26" s="2157" t="str">
        <f>B1</f>
        <v>办公</v>
      </c>
      <c r="D26" s="405">
        <v>100</v>
      </c>
      <c r="E26" s="404" t="s">
        <v>3183</v>
      </c>
      <c r="F26" s="406">
        <f>SUMIF(79:79,E26,80:80)-SUMIF(79:79,C26,80:80)+100</f>
        <v>98</v>
      </c>
      <c r="G26" s="404" t="s">
        <v>3183</v>
      </c>
      <c r="H26" s="405">
        <f>SUMIF(79:79,G26,80:80)-SUMIF(79:79,C26,80:80)+100</f>
        <v>98</v>
      </c>
      <c r="I26" s="404" t="s">
        <v>3183</v>
      </c>
      <c r="J26" s="405">
        <f>SUMIF(79:79,I26,80:80)-SUMIF(79:79,C26,80:80)+100</f>
        <v>98</v>
      </c>
      <c r="K26" s="567">
        <v>2</v>
      </c>
      <c r="L26" s="2950"/>
      <c r="M26" s="2944"/>
      <c r="N26" s="2944"/>
      <c r="O26" s="2944"/>
      <c r="P26" s="3371" t="s">
        <v>2387</v>
      </c>
      <c r="Q26" s="1535" t="str">
        <f t="shared" si="11"/>
        <v>配套类型</v>
      </c>
      <c r="R26" s="711" t="s">
        <v>17</v>
      </c>
      <c r="S26" s="712">
        <f t="shared" ref="S26:S36" si="12">F26</f>
        <v>98</v>
      </c>
      <c r="T26" s="711" t="s">
        <v>17</v>
      </c>
      <c r="U26" s="712">
        <f t="shared" ref="U26:U36" si="13">H26</f>
        <v>98</v>
      </c>
      <c r="V26" s="711" t="s">
        <v>17</v>
      </c>
      <c r="W26" s="712">
        <f t="shared" ref="W26:W36" si="14">J26</f>
        <v>98</v>
      </c>
      <c r="X26" s="1538"/>
      <c r="Y26" s="3344" t="s">
        <v>2387</v>
      </c>
      <c r="Z26" s="1539" t="str">
        <f t="shared" ref="Z26:Z36" si="15">Q26</f>
        <v>配套类型</v>
      </c>
      <c r="AA26" s="1536">
        <f t="shared" si="3"/>
        <v>1.0204081632653061</v>
      </c>
      <c r="AB26" s="1536">
        <f t="shared" si="4"/>
        <v>1.0204081632653061</v>
      </c>
      <c r="AC26" s="1536">
        <f t="shared" si="5"/>
        <v>1.0204081632653061</v>
      </c>
    </row>
    <row r="27" spans="1:29" s="428" customFormat="1" ht="15">
      <c r="A27" s="607"/>
      <c r="B27" s="608" t="s">
        <v>2535</v>
      </c>
      <c r="C27" s="609"/>
      <c r="D27" s="130">
        <v>100</v>
      </c>
      <c r="E27" s="609"/>
      <c r="F27" s="418">
        <f>SUMIF(81:81,E27,82:82)-SUMIF(81:81,C27,82:82)+100</f>
        <v>100</v>
      </c>
      <c r="G27" s="609"/>
      <c r="H27" s="392">
        <f>SUMIF(81:81,G27,82:82)-SUMIF(81:81,C27,82:82)+100</f>
        <v>100</v>
      </c>
      <c r="I27" s="609"/>
      <c r="J27" s="392">
        <f>SUMIF(81:81,I27,82:82)-SUMIF(81:81,C27,82:82)+100</f>
        <v>100</v>
      </c>
      <c r="K27" s="568"/>
      <c r="L27" s="2949"/>
      <c r="M27" s="2951"/>
      <c r="N27" s="2951"/>
      <c r="O27" s="2951"/>
      <c r="P27" s="3344"/>
      <c r="Q27" s="713" t="str">
        <f t="shared" si="11"/>
        <v>项目停车位配比</v>
      </c>
      <c r="R27" s="714" t="s">
        <v>17</v>
      </c>
      <c r="S27" s="715">
        <f t="shared" si="12"/>
        <v>100</v>
      </c>
      <c r="T27" s="714" t="s">
        <v>17</v>
      </c>
      <c r="U27" s="715">
        <f t="shared" si="13"/>
        <v>100</v>
      </c>
      <c r="V27" s="714" t="s">
        <v>17</v>
      </c>
      <c r="W27" s="715">
        <f t="shared" si="14"/>
        <v>100</v>
      </c>
      <c r="X27" s="716"/>
      <c r="Y27" s="3344"/>
      <c r="Z27" s="717" t="str">
        <f t="shared" si="15"/>
        <v>项目停车位配比</v>
      </c>
      <c r="AA27" s="1536">
        <f t="shared" si="3"/>
        <v>1</v>
      </c>
      <c r="AB27" s="1536">
        <f t="shared" si="4"/>
        <v>1</v>
      </c>
      <c r="AC27" s="1536">
        <f t="shared" si="5"/>
        <v>1</v>
      </c>
    </row>
    <row r="28" spans="1:29" ht="15">
      <c r="A28" s="610"/>
      <c r="B28" s="608" t="s">
        <v>2536</v>
      </c>
      <c r="C28" s="417"/>
      <c r="D28" s="392">
        <v>100</v>
      </c>
      <c r="E28" s="417"/>
      <c r="F28" s="418">
        <f>SUMIF(83:83,E28,84:84)-SUMIF(83:83,C28,84:84)+100</f>
        <v>100</v>
      </c>
      <c r="G28" s="417"/>
      <c r="H28" s="392">
        <f>SUMIF(83:83,G28,84:84)-SUMIF(83:83,C28,84:84)+100</f>
        <v>100</v>
      </c>
      <c r="I28" s="417"/>
      <c r="J28" s="392">
        <f>SUMIF(83:83,I28,84:84)-SUMIF(83:83,C28,84:84)+100</f>
        <v>100</v>
      </c>
      <c r="K28" s="567"/>
      <c r="L28" s="2950"/>
      <c r="M28" s="2944"/>
      <c r="N28" s="2944"/>
      <c r="O28" s="2944"/>
      <c r="P28" s="3344"/>
      <c r="Q28" s="1535" t="str">
        <f t="shared" si="11"/>
        <v>公共部分装修</v>
      </c>
      <c r="R28" s="711" t="s">
        <v>17</v>
      </c>
      <c r="S28" s="712">
        <f t="shared" si="12"/>
        <v>100</v>
      </c>
      <c r="T28" s="711" t="s">
        <v>17</v>
      </c>
      <c r="U28" s="712">
        <f t="shared" si="13"/>
        <v>100</v>
      </c>
      <c r="V28" s="711" t="s">
        <v>17</v>
      </c>
      <c r="W28" s="712">
        <f t="shared" si="14"/>
        <v>100</v>
      </c>
      <c r="X28" s="1538"/>
      <c r="Y28" s="3344"/>
      <c r="Z28" s="1539" t="str">
        <f t="shared" si="15"/>
        <v>公共部分装修</v>
      </c>
      <c r="AA28" s="1536">
        <f t="shared" si="3"/>
        <v>1</v>
      </c>
      <c r="AB28" s="1536">
        <f t="shared" si="4"/>
        <v>1</v>
      </c>
      <c r="AC28" s="1536">
        <f t="shared" si="5"/>
        <v>1</v>
      </c>
    </row>
    <row r="29" spans="1:29" ht="15">
      <c r="A29" s="610"/>
      <c r="B29" s="608" t="s">
        <v>2537</v>
      </c>
      <c r="C29" s="431">
        <v>0.97</v>
      </c>
      <c r="D29" s="392">
        <v>100</v>
      </c>
      <c r="E29" s="431">
        <v>0.8</v>
      </c>
      <c r="F29" s="418">
        <f>LOOKUP(E29,86:86,87:87)-LOOKUP(C29,86:86,87:87)+100</f>
        <v>99</v>
      </c>
      <c r="G29" s="431">
        <v>0.8</v>
      </c>
      <c r="H29" s="418">
        <f>LOOKUP(G29,86:86,87:87)-LOOKUP(C29,86:86,87:87)+100</f>
        <v>99</v>
      </c>
      <c r="I29" s="431">
        <v>0.8</v>
      </c>
      <c r="J29" s="392">
        <f>LOOKUP(I29,86:86,87:87)-LOOKUP(C29,86:86,87:87)+100</f>
        <v>99</v>
      </c>
      <c r="K29" s="567">
        <v>1</v>
      </c>
      <c r="L29" s="2950"/>
      <c r="M29" s="2944"/>
      <c r="N29" s="2944"/>
      <c r="O29" s="2944"/>
      <c r="P29" s="3344"/>
      <c r="Q29" s="1535" t="str">
        <f t="shared" si="11"/>
        <v>成新率</v>
      </c>
      <c r="R29" s="711" t="s">
        <v>17</v>
      </c>
      <c r="S29" s="712">
        <f t="shared" si="12"/>
        <v>99</v>
      </c>
      <c r="T29" s="711" t="s">
        <v>17</v>
      </c>
      <c r="U29" s="712">
        <f t="shared" si="13"/>
        <v>99</v>
      </c>
      <c r="V29" s="711" t="s">
        <v>17</v>
      </c>
      <c r="W29" s="712">
        <f t="shared" si="14"/>
        <v>99</v>
      </c>
      <c r="X29" s="1538"/>
      <c r="Y29" s="3344"/>
      <c r="Z29" s="1539" t="str">
        <f t="shared" si="15"/>
        <v>成新率</v>
      </c>
      <c r="AA29" s="1536">
        <f t="shared" si="3"/>
        <v>1.0101010101010102</v>
      </c>
      <c r="AB29" s="1536">
        <f t="shared" si="4"/>
        <v>1.0101010101010102</v>
      </c>
      <c r="AC29" s="1536">
        <f t="shared" si="5"/>
        <v>1.0101010101010102</v>
      </c>
    </row>
    <row r="30" spans="1:29" ht="15">
      <c r="A30" s="610"/>
      <c r="B30" s="608" t="s">
        <v>2538</v>
      </c>
      <c r="C30" s="611"/>
      <c r="D30" s="392">
        <v>100</v>
      </c>
      <c r="E30" s="611"/>
      <c r="F30" s="418">
        <f>SUMIF(88:88,E30,89:89)-SUMIF(88:88,C30,89:89)+100</f>
        <v>100</v>
      </c>
      <c r="G30" s="611"/>
      <c r="H30" s="392">
        <f>SUMIF(88:88,E30,89:89)-SUMIF(88:88,C30,89:89)+100</f>
        <v>100</v>
      </c>
      <c r="I30" s="611"/>
      <c r="J30" s="392">
        <f>SUMIF(88:88,E30,89:89)-SUMIF(88:88,C30,89:89)+100</f>
        <v>100</v>
      </c>
      <c r="K30" s="567"/>
      <c r="L30" s="2950"/>
      <c r="M30" s="2944"/>
      <c r="N30" s="2944"/>
      <c r="O30" s="2944"/>
      <c r="P30" s="3344"/>
      <c r="Q30" s="1535" t="str">
        <f t="shared" si="11"/>
        <v>物业等级</v>
      </c>
      <c r="R30" s="711" t="s">
        <v>17</v>
      </c>
      <c r="S30" s="712">
        <f t="shared" si="12"/>
        <v>100</v>
      </c>
      <c r="T30" s="711" t="s">
        <v>17</v>
      </c>
      <c r="U30" s="712">
        <f t="shared" si="13"/>
        <v>100</v>
      </c>
      <c r="V30" s="711" t="s">
        <v>17</v>
      </c>
      <c r="W30" s="712">
        <f t="shared" si="14"/>
        <v>100</v>
      </c>
      <c r="X30" s="1538"/>
      <c r="Y30" s="3344"/>
      <c r="Z30" s="1539" t="str">
        <f t="shared" si="15"/>
        <v>物业等级</v>
      </c>
      <c r="AA30" s="1536">
        <f t="shared" si="3"/>
        <v>1</v>
      </c>
      <c r="AB30" s="1536">
        <f t="shared" si="4"/>
        <v>1</v>
      </c>
      <c r="AC30" s="1536">
        <f t="shared" si="5"/>
        <v>1</v>
      </c>
    </row>
    <row r="31" spans="1:29" s="113" customFormat="1" ht="15">
      <c r="A31" s="612"/>
      <c r="B31" s="608" t="s">
        <v>2539</v>
      </c>
      <c r="C31" s="426"/>
      <c r="D31" s="130">
        <v>100</v>
      </c>
      <c r="E31" s="426"/>
      <c r="F31" s="418">
        <f>LOOKUP(E31,91:91,92:92)-LOOKUP(C31,91:91,92:92)+100</f>
        <v>100</v>
      </c>
      <c r="G31" s="426"/>
      <c r="H31" s="392">
        <f>LOOKUP(G31,91:91,92:92)-LOOKUP(C31,91:91,92:92)+100</f>
        <v>100</v>
      </c>
      <c r="I31" s="426"/>
      <c r="J31" s="392">
        <f>LOOKUP(I31,91:91,92:92)-LOOKUP(C31,91:91,92:92)+100</f>
        <v>100</v>
      </c>
      <c r="K31" s="567"/>
      <c r="L31" s="2945"/>
      <c r="M31" s="2946"/>
      <c r="N31" s="2946"/>
      <c r="O31" s="2946"/>
      <c r="P31" s="3344"/>
      <c r="Q31" s="1526" t="str">
        <f t="shared" si="11"/>
        <v>停车位面积</v>
      </c>
      <c r="R31" s="707" t="s">
        <v>17</v>
      </c>
      <c r="S31" s="708">
        <f t="shared" si="12"/>
        <v>100</v>
      </c>
      <c r="T31" s="707" t="s">
        <v>17</v>
      </c>
      <c r="U31" s="708">
        <f t="shared" si="13"/>
        <v>100</v>
      </c>
      <c r="V31" s="707" t="s">
        <v>17</v>
      </c>
      <c r="W31" s="708">
        <f t="shared" si="14"/>
        <v>100</v>
      </c>
      <c r="X31" s="709"/>
      <c r="Y31" s="3344"/>
      <c r="Z31" s="55" t="str">
        <f t="shared" si="15"/>
        <v>停车位面积</v>
      </c>
      <c r="AA31" s="710">
        <f t="shared" si="3"/>
        <v>1</v>
      </c>
      <c r="AB31" s="710">
        <f t="shared" si="4"/>
        <v>1</v>
      </c>
      <c r="AC31" s="710">
        <f t="shared" si="5"/>
        <v>1</v>
      </c>
    </row>
    <row r="32" spans="1:29" ht="15">
      <c r="A32" s="610"/>
      <c r="B32" s="608" t="s">
        <v>2540</v>
      </c>
      <c r="C32" s="417"/>
      <c r="D32" s="392">
        <v>100</v>
      </c>
      <c r="E32" s="417"/>
      <c r="F32" s="418">
        <f>SUMIF(93:93,E32,94:94)-SUMIF(93:93,C32,94:94)+100</f>
        <v>100</v>
      </c>
      <c r="G32" s="417"/>
      <c r="H32" s="392">
        <f>SUMIF(93:93,G32,94:94)-SUMIF(93:93,C32,94:94)+100</f>
        <v>100</v>
      </c>
      <c r="I32" s="417"/>
      <c r="J32" s="392">
        <f>SUMIF(93:93,I32,94:94)-SUMIF(93:93,C32,94:94)+100</f>
        <v>100</v>
      </c>
      <c r="K32" s="567"/>
      <c r="L32" s="2950"/>
      <c r="M32" s="2944"/>
      <c r="N32" s="2944"/>
      <c r="O32" s="2944"/>
      <c r="P32" s="3344" t="s">
        <v>2387</v>
      </c>
      <c r="Q32" s="1535" t="str">
        <f t="shared" si="11"/>
        <v>车位类型</v>
      </c>
      <c r="R32" s="711" t="s">
        <v>17</v>
      </c>
      <c r="S32" s="712">
        <f t="shared" si="12"/>
        <v>100</v>
      </c>
      <c r="T32" s="711" t="s">
        <v>17</v>
      </c>
      <c r="U32" s="712">
        <f t="shared" si="13"/>
        <v>100</v>
      </c>
      <c r="V32" s="711" t="s">
        <v>17</v>
      </c>
      <c r="W32" s="712">
        <f t="shared" si="14"/>
        <v>100</v>
      </c>
      <c r="X32" s="1538"/>
      <c r="Y32" s="3344" t="s">
        <v>2387</v>
      </c>
      <c r="Z32" s="1539" t="str">
        <f t="shared" si="15"/>
        <v>车位类型</v>
      </c>
      <c r="AA32" s="1536">
        <f t="shared" si="3"/>
        <v>1</v>
      </c>
      <c r="AB32" s="1536">
        <f t="shared" si="4"/>
        <v>1</v>
      </c>
      <c r="AC32" s="1536">
        <f t="shared" si="5"/>
        <v>1</v>
      </c>
    </row>
    <row r="33" spans="1:29" ht="15">
      <c r="A33" s="610"/>
      <c r="B33" s="608" t="s">
        <v>2541</v>
      </c>
      <c r="C33" s="417"/>
      <c r="D33" s="392">
        <v>100</v>
      </c>
      <c r="E33" s="417"/>
      <c r="F33" s="418">
        <f>SUMIF(95:95,E33,96:96)-SUMIF(95:95,C33,96:96)+100</f>
        <v>100</v>
      </c>
      <c r="G33" s="417"/>
      <c r="H33" s="392">
        <f>SUMIF(95:95,G33,96:96)-SUMIF(95:95,C33,96:96)+100</f>
        <v>100</v>
      </c>
      <c r="I33" s="417"/>
      <c r="J33" s="392">
        <f>SUMIF(95:95,I33,96:96)-SUMIF(95:95,C33,96:96)+100</f>
        <v>100</v>
      </c>
      <c r="K33" s="567"/>
      <c r="L33" s="2950"/>
      <c r="M33" s="2944"/>
      <c r="N33" s="2944"/>
      <c r="O33" s="2944"/>
      <c r="P33" s="3344"/>
      <c r="Q33" s="1535" t="str">
        <f t="shared" si="11"/>
        <v>是否直接入户</v>
      </c>
      <c r="R33" s="711" t="s">
        <v>17</v>
      </c>
      <c r="S33" s="712">
        <f t="shared" si="12"/>
        <v>100</v>
      </c>
      <c r="T33" s="711" t="s">
        <v>17</v>
      </c>
      <c r="U33" s="712">
        <f t="shared" si="13"/>
        <v>100</v>
      </c>
      <c r="V33" s="711" t="s">
        <v>17</v>
      </c>
      <c r="W33" s="712">
        <f t="shared" si="14"/>
        <v>100</v>
      </c>
      <c r="X33" s="1538"/>
      <c r="Y33" s="3344"/>
      <c r="Z33" s="1539" t="str">
        <f t="shared" si="15"/>
        <v>是否直接入户</v>
      </c>
      <c r="AA33" s="1536">
        <f t="shared" si="3"/>
        <v>1</v>
      </c>
      <c r="AB33" s="1536">
        <f t="shared" si="4"/>
        <v>1</v>
      </c>
      <c r="AC33" s="1536">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50"/>
      <c r="M34" s="2944"/>
      <c r="N34" s="2944"/>
      <c r="O34" s="2944"/>
      <c r="P34" s="3344"/>
      <c r="Q34" s="1535">
        <f t="shared" si="11"/>
        <v>111</v>
      </c>
      <c r="R34" s="711" t="s">
        <v>17</v>
      </c>
      <c r="S34" s="712">
        <f t="shared" si="12"/>
        <v>100</v>
      </c>
      <c r="T34" s="711" t="s">
        <v>17</v>
      </c>
      <c r="U34" s="712">
        <f t="shared" si="13"/>
        <v>100</v>
      </c>
      <c r="V34" s="711" t="s">
        <v>17</v>
      </c>
      <c r="W34" s="712">
        <f t="shared" si="14"/>
        <v>100</v>
      </c>
      <c r="X34" s="1538"/>
      <c r="Y34" s="3344"/>
      <c r="Z34" s="1539">
        <f t="shared" si="15"/>
        <v>111</v>
      </c>
      <c r="AA34" s="1536">
        <f t="shared" si="3"/>
        <v>1</v>
      </c>
      <c r="AB34" s="1536">
        <f t="shared" si="4"/>
        <v>1</v>
      </c>
      <c r="AC34" s="1536">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9"/>
      <c r="M35" s="2951"/>
      <c r="N35" s="2951"/>
      <c r="O35" s="2951"/>
      <c r="P35" s="3344"/>
      <c r="Q35" s="713">
        <f t="shared" si="11"/>
        <v>111</v>
      </c>
      <c r="R35" s="714" t="s">
        <v>17</v>
      </c>
      <c r="S35" s="715">
        <f t="shared" si="12"/>
        <v>100</v>
      </c>
      <c r="T35" s="714" t="s">
        <v>17</v>
      </c>
      <c r="U35" s="715">
        <f t="shared" si="13"/>
        <v>100</v>
      </c>
      <c r="V35" s="714" t="s">
        <v>17</v>
      </c>
      <c r="W35" s="715">
        <f t="shared" si="14"/>
        <v>100</v>
      </c>
      <c r="X35" s="716"/>
      <c r="Y35" s="3344"/>
      <c r="Z35" s="717">
        <f t="shared" si="15"/>
        <v>111</v>
      </c>
      <c r="AA35" s="1536">
        <f t="shared" si="3"/>
        <v>1</v>
      </c>
      <c r="AB35" s="1536">
        <f t="shared" si="4"/>
        <v>1</v>
      </c>
      <c r="AC35" s="1536">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50"/>
      <c r="M36" s="2944"/>
      <c r="N36" s="2944"/>
      <c r="O36" s="2944"/>
      <c r="P36" s="3344"/>
      <c r="Q36" s="1535">
        <f t="shared" si="11"/>
        <v>111</v>
      </c>
      <c r="R36" s="711" t="s">
        <v>17</v>
      </c>
      <c r="S36" s="712">
        <f t="shared" si="12"/>
        <v>100</v>
      </c>
      <c r="T36" s="711" t="s">
        <v>17</v>
      </c>
      <c r="U36" s="712">
        <f t="shared" si="13"/>
        <v>100</v>
      </c>
      <c r="V36" s="711" t="s">
        <v>17</v>
      </c>
      <c r="W36" s="712">
        <f t="shared" si="14"/>
        <v>100</v>
      </c>
      <c r="X36" s="1538"/>
      <c r="Y36" s="3344"/>
      <c r="Z36" s="1539">
        <f t="shared" si="15"/>
        <v>111</v>
      </c>
      <c r="AA36" s="1536">
        <f t="shared" si="3"/>
        <v>1</v>
      </c>
      <c r="AB36" s="1536">
        <f t="shared" si="4"/>
        <v>1</v>
      </c>
      <c r="AC36" s="1536">
        <f t="shared" si="5"/>
        <v>1</v>
      </c>
    </row>
    <row r="37" spans="1:29" ht="15">
      <c r="A37" s="436" t="s">
        <v>2542</v>
      </c>
      <c r="B37" s="2158" t="s">
        <v>3229</v>
      </c>
      <c r="C37" s="1313" t="s">
        <v>1</v>
      </c>
      <c r="D37" s="1314"/>
      <c r="E37" s="1315">
        <v>150000</v>
      </c>
      <c r="F37" s="1316"/>
      <c r="G37" s="1317">
        <v>170000</v>
      </c>
      <c r="H37" s="1318"/>
      <c r="I37" s="1315">
        <v>200000</v>
      </c>
      <c r="J37" s="1318"/>
      <c r="K37" s="574"/>
      <c r="L37" s="2952"/>
      <c r="M37" s="2953"/>
      <c r="N37" s="2944"/>
      <c r="O37" s="2953"/>
      <c r="P37" s="3346" t="str">
        <f>A37</f>
        <v>成交单价</v>
      </c>
      <c r="Q37" s="3346"/>
      <c r="R37" s="3347">
        <f>E37</f>
        <v>150000</v>
      </c>
      <c r="S37" s="3347"/>
      <c r="T37" s="3347">
        <f>G37</f>
        <v>170000</v>
      </c>
      <c r="U37" s="3347"/>
      <c r="V37" s="3347">
        <f>I37</f>
        <v>200000</v>
      </c>
      <c r="W37" s="3347"/>
      <c r="X37" s="696"/>
      <c r="Y37" s="718"/>
      <c r="Z37" s="696"/>
      <c r="AA37" s="696"/>
      <c r="AB37" s="696"/>
      <c r="AC37" s="696"/>
    </row>
    <row r="38" spans="1:29" ht="15.75" thickBot="1">
      <c r="A38" s="443" t="s">
        <v>2543</v>
      </c>
      <c r="B38" s="444" t="str">
        <f>B37</f>
        <v>元/车位</v>
      </c>
      <c r="C38" s="1319">
        <f>R39</f>
        <v>182304</v>
      </c>
      <c r="D38" s="2537" t="s">
        <v>2881</v>
      </c>
      <c r="E38" s="1320">
        <f>R38</f>
        <v>157763</v>
      </c>
      <c r="F38" s="2538"/>
      <c r="G38" s="1319">
        <f>T38</f>
        <v>178798</v>
      </c>
      <c r="H38" s="2538"/>
      <c r="I38" s="1320">
        <f>V38</f>
        <v>210350</v>
      </c>
      <c r="J38" s="2538"/>
      <c r="K38" s="2540">
        <f>F38+H38+J38</f>
        <v>0</v>
      </c>
      <c r="L38" s="2952"/>
      <c r="M38" s="2953"/>
      <c r="N38" s="2953"/>
      <c r="O38" s="2953"/>
      <c r="P38" s="3346" t="str">
        <f>A38</f>
        <v>比较价值（元/平方米）</v>
      </c>
      <c r="Q38" s="3346"/>
      <c r="R38" s="3347">
        <f>IF(F1="售价",ROUND(PRODUCT(R37,AA7:AA36),0),ROUND(PRODUCT(R37,AA7:AA36),1))</f>
        <v>157763</v>
      </c>
      <c r="S38" s="3347"/>
      <c r="T38" s="3347">
        <f>IF(F1="售价",ROUND(PRODUCT(T37,AB7:AB36),0),ROUND(PRODUCT(T37,AB7:AB36),1))</f>
        <v>178798</v>
      </c>
      <c r="U38" s="3347"/>
      <c r="V38" s="3347">
        <f>IF(F1="售价",ROUND(PRODUCT(V37,AC7:AC36),0),ROUND(PRODUCT(V37,AC7:AC36),1))</f>
        <v>210350</v>
      </c>
      <c r="W38" s="3347"/>
      <c r="X38" s="696"/>
      <c r="Y38" s="696"/>
      <c r="Z38" s="696"/>
      <c r="AA38" s="696"/>
      <c r="AB38" s="696"/>
      <c r="AC38" s="696"/>
    </row>
    <row r="39" spans="1:29" ht="15.75" thickBot="1">
      <c r="A39" s="447" t="s">
        <v>2544</v>
      </c>
      <c r="B39" s="448"/>
      <c r="C39" s="1322">
        <f>R39</f>
        <v>182304</v>
      </c>
      <c r="D39" s="1322"/>
      <c r="E39" s="1322"/>
      <c r="F39" s="1322"/>
      <c r="G39" s="1322"/>
      <c r="H39" s="1322"/>
      <c r="I39" s="1322"/>
      <c r="J39" s="1322"/>
      <c r="K39" s="575"/>
      <c r="L39" s="2952"/>
      <c r="M39" s="2953"/>
      <c r="N39" s="2953"/>
      <c r="O39" s="2953"/>
      <c r="P39" s="3348" t="str">
        <f>A39</f>
        <v>估价对象XX用房的比较价值（楼面单价，元/平方米）</v>
      </c>
      <c r="Q39" s="3349"/>
      <c r="R39" s="3372">
        <f>IF(F1="售价",ROUND(IF(D38="简单平均",AVERAGE(R38:W38),R38*F38+T38*H38+V38*J38),0),ROUND(IF(D38="简单平均",AVERAGE(R38:V38),R38*F38+T38*H38+V38*J38),1))</f>
        <v>182304</v>
      </c>
      <c r="S39" s="3372"/>
      <c r="T39" s="3372"/>
      <c r="U39" s="3372"/>
      <c r="V39" s="3372"/>
      <c r="W39" s="3372"/>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2" t="s">
        <v>2545</v>
      </c>
      <c r="D42" s="453"/>
      <c r="E42" s="454">
        <f>IF(E37&lt;E38,E38/E37-1,E37/E38-1)</f>
        <v>5.1753333333333318E-2</v>
      </c>
      <c r="F42" s="455" t="str">
        <f>IF(OR(E42&gt;=0.3,E42&lt;=-0.3),"超过30%","")</f>
        <v/>
      </c>
      <c r="G42" s="454">
        <f>IF(G37&lt;G38,G38/G37-1,G37/G38-1)</f>
        <v>5.1752941176470557E-2</v>
      </c>
      <c r="H42" s="455" t="str">
        <f>IF(OR(G42&gt;=0.3,G42&lt;=-0.3),"超过30%","")</f>
        <v/>
      </c>
      <c r="I42" s="454">
        <f>IF(I37&lt;I38,I38/I37-1,I37/I38-1)</f>
        <v>5.1749999999999963E-2</v>
      </c>
      <c r="J42" s="455" t="str">
        <f>IF(OR(I42&gt;=0.3,I42&lt;=-0.3),"超过30%","")</f>
        <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2" t="s">
        <v>2546</v>
      </c>
      <c r="D43" s="456"/>
      <c r="E43" s="454">
        <f>IF(E38&lt;G38,G38/E38-1,E38/G38-1)</f>
        <v>0.13333291075854281</v>
      </c>
      <c r="F43" s="455" t="str">
        <f>IF(OR(E43&gt;=0.2,E43&lt;=-0.2),"超过20%","")</f>
        <v/>
      </c>
      <c r="G43" s="454">
        <f>IF(G38&lt;I38,I38/G38-1,G38/I38-1)</f>
        <v>0.17646729829192731</v>
      </c>
      <c r="H43" s="455" t="str">
        <f>IF(OR(G43&gt;=0.2,G43&lt;=-0.2),"超过20%","")</f>
        <v/>
      </c>
      <c r="I43" s="454">
        <f>IF(I38&lt;E38,E38/I38-1,I38/E38-1)</f>
        <v>0.33332910758542877</v>
      </c>
      <c r="J43" s="455" t="str">
        <f>IF(OR(I43&gt;=0.2,I43&lt;=-0.2),"超过20%","")</f>
        <v>超过20%</v>
      </c>
      <c r="K43" s="2958"/>
      <c r="L43" s="2954"/>
      <c r="M43" s="2953"/>
      <c r="N43" s="2953"/>
      <c r="O43" s="2953"/>
      <c r="P43" s="2984"/>
      <c r="Q43" s="2953"/>
      <c r="R43" s="2953"/>
      <c r="S43" s="2953"/>
      <c r="T43" s="2953"/>
      <c r="U43" s="2953"/>
      <c r="V43" s="2953"/>
      <c r="W43" s="2953"/>
      <c r="X43" s="2953"/>
      <c r="Y43" s="2953"/>
      <c r="Z43" s="2953"/>
      <c r="AA43" s="2953"/>
      <c r="AB43" s="2953"/>
      <c r="AC43" s="2953"/>
    </row>
    <row r="44" spans="1:29" s="457" customFormat="1" ht="13.5" customHeight="1">
      <c r="A44" s="2956"/>
      <c r="B44" s="2956"/>
      <c r="C44" s="452" t="s">
        <v>2547</v>
      </c>
      <c r="D44" s="456"/>
      <c r="E44" s="454">
        <f>IF(E37&lt;G37,G37/E37-1,E37/G37-1)</f>
        <v>0.1333333333333333</v>
      </c>
      <c r="F44" s="455" t="str">
        <f>IF(OR(E44&gt;=0.3,E44&lt;=-0.3),"超过30%","")</f>
        <v/>
      </c>
      <c r="G44" s="454">
        <f>IF(G37&lt;I37,I37/G37-1,G37/I37-1)</f>
        <v>0.17647058823529416</v>
      </c>
      <c r="H44" s="455" t="str">
        <f>IF(OR(G44&gt;=0.3,G44&lt;=-0.3),"超过30%","")</f>
        <v/>
      </c>
      <c r="I44" s="454">
        <f>IF(I37&lt;E37,E37/I37-1,I37/E37-1)</f>
        <v>0.33333333333333326</v>
      </c>
      <c r="J44" s="455" t="str">
        <f>IF(OR(I44&gt;=0.3,I44&lt;=-0.3),"超过30%","")</f>
        <v>超过30%</v>
      </c>
      <c r="K44" s="2961"/>
      <c r="L44" s="2955"/>
      <c r="M44" s="2956"/>
      <c r="N44" s="2956"/>
      <c r="O44" s="2956"/>
      <c r="P44" s="2985"/>
      <c r="Q44" s="2956"/>
      <c r="R44" s="2956"/>
      <c r="S44" s="2956"/>
      <c r="T44" s="2956"/>
      <c r="U44" s="2956"/>
      <c r="V44" s="2956"/>
      <c r="W44" s="2956"/>
      <c r="X44" s="2956"/>
      <c r="Y44" s="2956"/>
      <c r="Z44" s="2956"/>
      <c r="AA44" s="2956"/>
      <c r="AB44" s="2956"/>
      <c r="AC44" s="2956"/>
    </row>
    <row r="45" spans="1:29" s="457"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2548</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3" customFormat="1" ht="15">
      <c r="A48" s="460" t="s">
        <v>2549</v>
      </c>
      <c r="B48" s="461"/>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3" customFormat="1" ht="15">
      <c r="A49" s="464"/>
      <c r="B49" s="465"/>
      <c r="C49" s="1336">
        <v>100</v>
      </c>
      <c r="D49" s="467">
        <f>C49-$C$50</f>
        <v>100</v>
      </c>
      <c r="E49" s="467">
        <f t="shared" ref="E49:M49" si="17">D49-$C$50</f>
        <v>100</v>
      </c>
      <c r="F49" s="467">
        <f t="shared" si="17"/>
        <v>100</v>
      </c>
      <c r="G49" s="467">
        <f t="shared" si="17"/>
        <v>100</v>
      </c>
      <c r="H49" s="467">
        <f t="shared" si="17"/>
        <v>100</v>
      </c>
      <c r="I49" s="467">
        <f t="shared" si="17"/>
        <v>100</v>
      </c>
      <c r="J49" s="467">
        <f t="shared" si="17"/>
        <v>100</v>
      </c>
      <c r="K49" s="467">
        <f t="shared" si="17"/>
        <v>100</v>
      </c>
      <c r="L49" s="467">
        <f t="shared" si="17"/>
        <v>100</v>
      </c>
      <c r="M49" s="467">
        <f t="shared" si="17"/>
        <v>100</v>
      </c>
      <c r="N49" s="467"/>
      <c r="O49" s="468"/>
      <c r="P49" s="2988"/>
      <c r="Q49" s="2887"/>
      <c r="R49" s="2887"/>
      <c r="S49" s="2887"/>
      <c r="T49" s="2887"/>
      <c r="U49" s="2887"/>
      <c r="V49" s="2887"/>
      <c r="W49" s="2887"/>
      <c r="X49" s="2887"/>
      <c r="Y49" s="2887"/>
      <c r="Z49" s="2887"/>
      <c r="AA49" s="2887"/>
      <c r="AB49" s="2887"/>
      <c r="AC49" s="2887"/>
    </row>
    <row r="50" spans="1:29" s="113" customFormat="1" ht="15.75" thickBot="1">
      <c r="A50" s="470" t="s">
        <v>2407</v>
      </c>
      <c r="B50" s="471"/>
      <c r="C50" s="472">
        <v>0</v>
      </c>
      <c r="D50" s="473"/>
      <c r="E50" s="473"/>
      <c r="F50" s="473"/>
      <c r="G50" s="473"/>
      <c r="H50" s="473"/>
      <c r="I50" s="473"/>
      <c r="J50" s="473"/>
      <c r="K50" s="473"/>
      <c r="L50" s="473"/>
      <c r="M50" s="474"/>
      <c r="N50" s="473"/>
      <c r="O50" s="474"/>
      <c r="P50" s="2988"/>
      <c r="Q50" s="2967"/>
      <c r="R50" s="2887"/>
      <c r="S50" s="2887"/>
      <c r="T50" s="2887"/>
      <c r="U50" s="2887"/>
      <c r="V50" s="2887"/>
      <c r="W50" s="2887"/>
      <c r="X50" s="2887"/>
      <c r="Y50" s="2887"/>
      <c r="Z50" s="2887"/>
      <c r="AA50" s="2887"/>
      <c r="AB50" s="2887"/>
      <c r="AC50" s="2887"/>
    </row>
    <row r="51" spans="1:29" s="113" customFormat="1" ht="15">
      <c r="A51" s="476" t="s">
        <v>2372</v>
      </c>
      <c r="B51" s="465"/>
      <c r="C51" s="477" t="s">
        <v>2474</v>
      </c>
      <c r="D51" s="478"/>
      <c r="E51" s="478"/>
      <c r="F51" s="478"/>
      <c r="G51" s="478"/>
      <c r="H51" s="478"/>
      <c r="I51" s="478"/>
      <c r="J51" s="478"/>
      <c r="K51" s="478"/>
      <c r="L51" s="479"/>
      <c r="M51" s="480"/>
      <c r="N51" s="2980"/>
      <c r="O51" s="2980"/>
      <c r="P51" s="2989"/>
      <c r="Q51" s="2967"/>
      <c r="R51" s="2887"/>
      <c r="S51" s="2887"/>
      <c r="T51" s="2887"/>
      <c r="U51" s="2887"/>
      <c r="V51" s="2887"/>
      <c r="W51" s="2887"/>
      <c r="X51" s="2887"/>
      <c r="Y51" s="2887"/>
      <c r="Z51" s="2887"/>
      <c r="AA51" s="2887"/>
      <c r="AB51" s="2887"/>
      <c r="AC51" s="2887"/>
    </row>
    <row r="52" spans="1:29" s="113" customFormat="1" ht="15.75" thickBot="1">
      <c r="A52" s="476"/>
      <c r="B52" s="465"/>
      <c r="C52" s="593">
        <v>100</v>
      </c>
      <c r="D52" s="467"/>
      <c r="E52" s="467"/>
      <c r="F52" s="467"/>
      <c r="G52" s="467"/>
      <c r="H52" s="467"/>
      <c r="I52" s="467"/>
      <c r="J52" s="467"/>
      <c r="K52" s="467"/>
      <c r="L52" s="467"/>
      <c r="M52" s="469"/>
      <c r="N52" s="2980"/>
      <c r="O52" s="2980"/>
      <c r="P52" s="2988"/>
      <c r="Q52" s="2967"/>
      <c r="R52" s="2887"/>
      <c r="S52" s="2887"/>
      <c r="T52" s="2887"/>
      <c r="U52" s="2887"/>
      <c r="V52" s="2887"/>
      <c r="W52" s="2887"/>
      <c r="X52" s="2887"/>
      <c r="Y52" s="2887"/>
      <c r="Z52" s="2887"/>
      <c r="AA52" s="2887"/>
      <c r="AB52" s="2887"/>
      <c r="AC52" s="2887"/>
    </row>
    <row r="53" spans="1:29">
      <c r="A53" s="482" t="s">
        <v>2410</v>
      </c>
      <c r="B53" s="483" t="s">
        <v>2376</v>
      </c>
      <c r="C53" s="484" t="str">
        <f>C9</f>
        <v>办公</v>
      </c>
      <c r="D53" s="3070" t="s">
        <v>3231</v>
      </c>
      <c r="E53" s="485"/>
      <c r="F53" s="485"/>
      <c r="G53" s="485"/>
      <c r="H53" s="485"/>
      <c r="I53" s="485"/>
      <c r="J53" s="485"/>
      <c r="K53" s="486"/>
      <c r="L53" s="487"/>
      <c r="M53" s="488"/>
      <c r="N53" s="2981"/>
      <c r="O53" s="2981"/>
      <c r="P53" s="2990"/>
      <c r="Q53" s="2967"/>
      <c r="R53" s="2953"/>
      <c r="S53" s="2953"/>
      <c r="T53" s="2953"/>
      <c r="U53" s="2953"/>
      <c r="V53" s="2953"/>
      <c r="W53" s="2953"/>
      <c r="X53" s="2953"/>
      <c r="Y53" s="2953"/>
      <c r="Z53" s="2953"/>
      <c r="AA53" s="2953"/>
      <c r="AB53" s="2953"/>
      <c r="AC53" s="2953"/>
    </row>
    <row r="54" spans="1:29" ht="15.75" thickBot="1">
      <c r="A54" s="489"/>
      <c r="B54" s="490"/>
      <c r="C54" s="491">
        <v>100</v>
      </c>
      <c r="D54" s="491">
        <v>98</v>
      </c>
      <c r="E54" s="491"/>
      <c r="F54" s="491"/>
      <c r="G54" s="491"/>
      <c r="H54" s="491"/>
      <c r="I54" s="491"/>
      <c r="J54" s="491"/>
      <c r="K54" s="491"/>
      <c r="L54" s="491"/>
      <c r="M54" s="492"/>
      <c r="N54" s="2982"/>
      <c r="O54" s="2982"/>
      <c r="P54" s="2990"/>
      <c r="Q54" s="2967"/>
      <c r="R54" s="2953"/>
      <c r="S54" s="2953"/>
      <c r="T54" s="2953"/>
      <c r="U54" s="2953"/>
      <c r="V54" s="2953"/>
      <c r="W54" s="2953"/>
      <c r="X54" s="2953"/>
      <c r="Y54" s="2953"/>
      <c r="Z54" s="2953"/>
      <c r="AA54" s="2953"/>
      <c r="AB54" s="2953"/>
      <c r="AC54" s="2953"/>
    </row>
    <row r="55" spans="1:29" ht="27.75" thickTop="1">
      <c r="A55" s="489"/>
      <c r="B55" s="493" t="s">
        <v>2379</v>
      </c>
      <c r="C55" s="494" t="s">
        <v>2411</v>
      </c>
      <c r="D55" s="494" t="s">
        <v>2412</v>
      </c>
      <c r="E55" s="494" t="s">
        <v>2413</v>
      </c>
      <c r="F55" s="494" t="s">
        <v>2414</v>
      </c>
      <c r="G55" s="494" t="s">
        <v>2415</v>
      </c>
      <c r="H55" s="494" t="s">
        <v>2416</v>
      </c>
      <c r="I55" s="494" t="s">
        <v>2417</v>
      </c>
      <c r="J55" s="494"/>
      <c r="K55" s="495"/>
      <c r="L55" s="496"/>
      <c r="M55" s="497"/>
      <c r="N55" s="2981"/>
      <c r="O55" s="2981"/>
      <c r="P55" s="2990"/>
      <c r="Q55" s="2967"/>
      <c r="R55" s="2953"/>
      <c r="S55" s="2953"/>
      <c r="T55" s="2953"/>
      <c r="U55" s="2953"/>
      <c r="V55" s="2953"/>
      <c r="W55" s="2953"/>
      <c r="X55" s="2953"/>
      <c r="Y55" s="2953"/>
      <c r="Z55" s="2953"/>
      <c r="AA55" s="2953"/>
      <c r="AB55" s="2953"/>
      <c r="AC55" s="2953"/>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2"/>
      <c r="O56" s="2982"/>
      <c r="P56" s="2990"/>
      <c r="Q56" s="2967"/>
      <c r="R56" s="2953"/>
      <c r="S56" s="2953"/>
      <c r="T56" s="2953"/>
      <c r="U56" s="2953"/>
      <c r="V56" s="2953"/>
      <c r="W56" s="2953"/>
      <c r="X56" s="2953"/>
      <c r="Y56" s="2953"/>
      <c r="Z56" s="2953"/>
      <c r="AA56" s="2953"/>
      <c r="AB56" s="2953"/>
      <c r="AC56" s="2953"/>
    </row>
    <row r="57" spans="1:29" ht="15.75" thickTop="1">
      <c r="A57" s="489"/>
      <c r="B57" s="614">
        <f>B11</f>
        <v>111</v>
      </c>
      <c r="C57" s="504"/>
      <c r="D57" s="504"/>
      <c r="E57" s="504"/>
      <c r="F57" s="504"/>
      <c r="G57" s="504"/>
      <c r="H57" s="504"/>
      <c r="I57" s="504"/>
      <c r="J57" s="504"/>
      <c r="K57" s="505"/>
      <c r="L57" s="506"/>
      <c r="M57" s="507"/>
      <c r="N57" s="2981"/>
      <c r="O57" s="2981"/>
      <c r="P57" s="2990"/>
      <c r="Q57" s="2967"/>
      <c r="R57" s="2953"/>
      <c r="S57" s="2953"/>
      <c r="T57" s="2953"/>
      <c r="U57" s="2953"/>
      <c r="V57" s="2953"/>
      <c r="W57" s="2953"/>
      <c r="X57" s="2953"/>
      <c r="Y57" s="2953"/>
      <c r="Z57" s="2953"/>
      <c r="AA57" s="2953"/>
      <c r="AB57" s="2953"/>
      <c r="AC57" s="2953"/>
    </row>
    <row r="58" spans="1:29" ht="15.75" thickBot="1">
      <c r="A58" s="489"/>
      <c r="B58" s="490"/>
      <c r="C58" s="515"/>
      <c r="D58" s="491"/>
      <c r="E58" s="491"/>
      <c r="F58" s="491"/>
      <c r="G58" s="491"/>
      <c r="H58" s="491"/>
      <c r="I58" s="491"/>
      <c r="J58" s="491"/>
      <c r="K58" s="491"/>
      <c r="L58" s="491"/>
      <c r="M58" s="492"/>
      <c r="N58" s="2982"/>
      <c r="O58" s="2982"/>
      <c r="P58" s="2990"/>
      <c r="Q58" s="2967"/>
      <c r="R58" s="2953"/>
      <c r="S58" s="2953"/>
      <c r="T58" s="2953"/>
      <c r="U58" s="2953"/>
      <c r="V58" s="2953"/>
      <c r="W58" s="2953"/>
      <c r="X58" s="2953"/>
      <c r="Y58" s="2953"/>
      <c r="Z58" s="2953"/>
      <c r="AA58" s="2953"/>
      <c r="AB58" s="2953"/>
      <c r="AC58" s="2953"/>
    </row>
    <row r="59" spans="1:29" s="428" customFormat="1" ht="15.75" thickTop="1">
      <c r="A59" s="508"/>
      <c r="B59" s="493">
        <f>B12</f>
        <v>111</v>
      </c>
      <c r="C59" s="504"/>
      <c r="D59" s="504"/>
      <c r="E59" s="504"/>
      <c r="F59" s="504"/>
      <c r="G59" s="509"/>
      <c r="H59" s="510"/>
      <c r="I59" s="510"/>
      <c r="J59" s="510"/>
      <c r="K59" s="510"/>
      <c r="L59" s="511"/>
      <c r="M59" s="512"/>
      <c r="N59" s="2983"/>
      <c r="O59" s="2983"/>
      <c r="P59" s="2991"/>
      <c r="Q59" s="2974"/>
      <c r="R59" s="2975"/>
      <c r="S59" s="2975"/>
      <c r="T59" s="2975"/>
      <c r="U59" s="2975"/>
      <c r="V59" s="2975"/>
      <c r="W59" s="2975"/>
      <c r="X59" s="2975"/>
      <c r="Y59" s="2975"/>
      <c r="Z59" s="2975"/>
      <c r="AA59" s="2975"/>
      <c r="AB59" s="2975"/>
      <c r="AC59" s="2975"/>
    </row>
    <row r="60" spans="1:29" s="428" customFormat="1" ht="15.75" thickBot="1">
      <c r="A60" s="508"/>
      <c r="B60" s="498"/>
      <c r="C60" s="515"/>
      <c r="D60" s="491"/>
      <c r="E60" s="491"/>
      <c r="F60" s="491"/>
      <c r="G60" s="491"/>
      <c r="H60" s="491"/>
      <c r="I60" s="491"/>
      <c r="J60" s="491"/>
      <c r="K60" s="491"/>
      <c r="L60" s="491"/>
      <c r="M60" s="492"/>
      <c r="N60" s="2982"/>
      <c r="O60" s="2982"/>
      <c r="P60" s="2991"/>
      <c r="Q60" s="2974"/>
      <c r="R60" s="2975"/>
      <c r="S60" s="2975"/>
      <c r="T60" s="2975"/>
      <c r="U60" s="2975"/>
      <c r="V60" s="2975"/>
      <c r="W60" s="2975"/>
      <c r="X60" s="2975"/>
      <c r="Y60" s="2975"/>
      <c r="Z60" s="2975"/>
      <c r="AA60" s="2975"/>
      <c r="AB60" s="2975"/>
      <c r="AC60" s="2975"/>
    </row>
    <row r="61" spans="1:29" s="428" customFormat="1" ht="15.75" thickTop="1">
      <c r="A61" s="508"/>
      <c r="B61" s="493">
        <f>B13</f>
        <v>111</v>
      </c>
      <c r="C61" s="509"/>
      <c r="D61" s="509"/>
      <c r="E61" s="509"/>
      <c r="F61" s="509"/>
      <c r="G61" s="509"/>
      <c r="H61" s="510"/>
      <c r="I61" s="510"/>
      <c r="J61" s="510"/>
      <c r="K61" s="510"/>
      <c r="L61" s="511"/>
      <c r="M61" s="512"/>
      <c r="N61" s="2983"/>
      <c r="O61" s="2983"/>
      <c r="P61" s="2992"/>
      <c r="Q61" s="2977"/>
      <c r="R61" s="2975"/>
      <c r="S61" s="2975"/>
      <c r="T61" s="2975"/>
      <c r="U61" s="2975"/>
      <c r="V61" s="2975"/>
      <c r="W61" s="2975"/>
      <c r="X61" s="2975"/>
      <c r="Y61" s="2975"/>
      <c r="Z61" s="2975"/>
      <c r="AA61" s="2975"/>
      <c r="AB61" s="2975"/>
      <c r="AC61" s="2975"/>
    </row>
    <row r="62" spans="1:29" s="428" customFormat="1" ht="15.75" thickBot="1">
      <c r="A62" s="508"/>
      <c r="B62" s="498"/>
      <c r="C62" s="515"/>
      <c r="D62" s="515"/>
      <c r="E62" s="515"/>
      <c r="F62" s="515"/>
      <c r="G62" s="515"/>
      <c r="H62" s="517"/>
      <c r="I62" s="517"/>
      <c r="J62" s="517"/>
      <c r="K62" s="517"/>
      <c r="L62" s="517"/>
      <c r="M62" s="518"/>
      <c r="N62" s="2983"/>
      <c r="O62" s="2983"/>
      <c r="P62" s="2991"/>
      <c r="Q62" s="2974"/>
      <c r="R62" s="2975"/>
      <c r="S62" s="2975"/>
      <c r="T62" s="2975"/>
      <c r="U62" s="2975"/>
      <c r="V62" s="2975"/>
      <c r="W62" s="2975"/>
      <c r="X62" s="2975"/>
      <c r="Y62" s="2975"/>
      <c r="Z62" s="2975"/>
      <c r="AA62" s="2975"/>
      <c r="AB62" s="2975"/>
      <c r="AC62" s="2975"/>
    </row>
    <row r="63" spans="1:29" ht="15" thickTop="1">
      <c r="A63" s="482" t="s">
        <v>2381</v>
      </c>
      <c r="B63" s="483" t="s">
        <v>2424</v>
      </c>
      <c r="C63" s="528" t="s">
        <v>2419</v>
      </c>
      <c r="D63" s="528" t="s">
        <v>2420</v>
      </c>
      <c r="E63" s="528" t="s">
        <v>2421</v>
      </c>
      <c r="F63" s="528" t="s">
        <v>2422</v>
      </c>
      <c r="G63" s="528" t="s">
        <v>2423</v>
      </c>
      <c r="H63" s="484"/>
      <c r="I63" s="484"/>
      <c r="J63" s="484"/>
      <c r="K63" s="529"/>
      <c r="L63" s="530"/>
      <c r="M63" s="531"/>
      <c r="N63" s="2981"/>
      <c r="O63" s="2981"/>
      <c r="P63" s="2994"/>
      <c r="Q63" s="2967"/>
      <c r="R63" s="2953"/>
      <c r="S63" s="2953"/>
      <c r="T63" s="2953"/>
      <c r="U63" s="2953"/>
      <c r="V63" s="2953"/>
      <c r="W63" s="2953"/>
      <c r="X63" s="2953"/>
      <c r="Y63" s="2953"/>
      <c r="Z63" s="2953"/>
      <c r="AA63" s="2953"/>
      <c r="AB63" s="2953"/>
      <c r="AC63" s="2953"/>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2"/>
      <c r="O64" s="2982"/>
      <c r="P64" s="2990"/>
      <c r="Q64" s="2967"/>
      <c r="R64" s="2953"/>
      <c r="S64" s="2953"/>
      <c r="T64" s="2953"/>
      <c r="U64" s="2953"/>
      <c r="V64" s="2953"/>
      <c r="W64" s="2953"/>
      <c r="X64" s="2953"/>
      <c r="Y64" s="2953"/>
      <c r="Z64" s="2953"/>
      <c r="AA64" s="2953"/>
      <c r="AB64" s="2953"/>
      <c r="AC64" s="2953"/>
    </row>
    <row r="65" spans="1:29" ht="15.75" thickTop="1">
      <c r="A65" s="489"/>
      <c r="B65" s="493" t="s">
        <v>2425</v>
      </c>
      <c r="C65" s="533" t="s">
        <v>2419</v>
      </c>
      <c r="D65" s="533" t="s">
        <v>2420</v>
      </c>
      <c r="E65" s="533" t="s">
        <v>2421</v>
      </c>
      <c r="F65" s="533" t="s">
        <v>2422</v>
      </c>
      <c r="G65" s="533" t="s">
        <v>2423</v>
      </c>
      <c r="H65" s="494"/>
      <c r="I65" s="494"/>
      <c r="J65" s="494"/>
      <c r="K65" s="495"/>
      <c r="L65" s="496"/>
      <c r="M65" s="497"/>
      <c r="N65" s="2981"/>
      <c r="O65" s="2981"/>
      <c r="P65" s="2990"/>
      <c r="Q65" s="2967"/>
      <c r="R65" s="2953"/>
      <c r="S65" s="2953"/>
      <c r="T65" s="2953"/>
      <c r="U65" s="2953"/>
      <c r="V65" s="2953"/>
      <c r="W65" s="2953"/>
      <c r="X65" s="2953"/>
      <c r="Y65" s="2953"/>
      <c r="Z65" s="2953"/>
      <c r="AA65" s="2953"/>
      <c r="AB65" s="2953"/>
      <c r="AC65" s="2953"/>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2"/>
      <c r="O66" s="2982"/>
      <c r="P66" s="2990"/>
      <c r="Q66" s="2967"/>
      <c r="R66" s="2953"/>
      <c r="S66" s="2953"/>
      <c r="T66" s="2953"/>
      <c r="U66" s="2953"/>
      <c r="V66" s="2953"/>
      <c r="W66" s="2953"/>
      <c r="X66" s="2953"/>
      <c r="Y66" s="2953"/>
      <c r="Z66" s="2953"/>
      <c r="AA66" s="2953"/>
      <c r="AB66" s="2953"/>
      <c r="AC66" s="2953"/>
    </row>
    <row r="67" spans="1:29" ht="15.75" thickTop="1">
      <c r="A67" s="489"/>
      <c r="B67" s="501" t="s">
        <v>2511</v>
      </c>
      <c r="C67" s="614" t="s">
        <v>2497</v>
      </c>
      <c r="D67" s="614" t="s">
        <v>2498</v>
      </c>
      <c r="E67" s="614" t="s">
        <v>2499</v>
      </c>
      <c r="F67" s="614" t="s">
        <v>2500</v>
      </c>
      <c r="G67" s="614" t="s">
        <v>2501</v>
      </c>
      <c r="H67" s="494"/>
      <c r="I67" s="494"/>
      <c r="J67" s="494"/>
      <c r="K67" s="494"/>
      <c r="L67" s="494"/>
      <c r="M67" s="1288"/>
      <c r="N67" s="2982"/>
      <c r="O67" s="2982"/>
      <c r="P67" s="2990"/>
      <c r="Q67" s="2967"/>
      <c r="R67" s="2953"/>
      <c r="S67" s="2953"/>
      <c r="T67" s="2953"/>
      <c r="U67" s="2953"/>
      <c r="V67" s="2953"/>
      <c r="W67" s="2953"/>
      <c r="X67" s="2953"/>
      <c r="Y67" s="2953"/>
      <c r="Z67" s="2953"/>
      <c r="AA67" s="2953"/>
      <c r="AB67" s="2953"/>
      <c r="AC67" s="2953"/>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2"/>
      <c r="O68" s="2982"/>
      <c r="P68" s="2990"/>
      <c r="Q68" s="2967"/>
      <c r="R68" s="2953"/>
      <c r="S68" s="2953"/>
      <c r="T68" s="2953"/>
      <c r="U68" s="2953"/>
      <c r="V68" s="2953"/>
      <c r="W68" s="2953"/>
      <c r="X68" s="2953"/>
      <c r="Y68" s="2953"/>
      <c r="Z68" s="2953"/>
      <c r="AA68" s="2953"/>
      <c r="AB68" s="2953"/>
      <c r="AC68" s="2953"/>
    </row>
    <row r="69" spans="1:29" ht="15.75" thickTop="1">
      <c r="A69" s="489"/>
      <c r="B69" s="493" t="s">
        <v>2431</v>
      </c>
      <c r="C69" s="533" t="s">
        <v>2419</v>
      </c>
      <c r="D69" s="533" t="s">
        <v>2420</v>
      </c>
      <c r="E69" s="533" t="s">
        <v>2421</v>
      </c>
      <c r="F69" s="533" t="s">
        <v>2422</v>
      </c>
      <c r="G69" s="533" t="s">
        <v>2423</v>
      </c>
      <c r="H69" s="494"/>
      <c r="I69" s="494"/>
      <c r="J69" s="494"/>
      <c r="K69" s="495"/>
      <c r="L69" s="496"/>
      <c r="M69" s="497"/>
      <c r="N69" s="2981"/>
      <c r="O69" s="2981"/>
      <c r="P69" s="2990"/>
      <c r="Q69" s="2967"/>
      <c r="R69" s="2953"/>
      <c r="S69" s="2953"/>
      <c r="T69" s="2953"/>
      <c r="U69" s="2953"/>
      <c r="V69" s="2953"/>
      <c r="W69" s="2953"/>
      <c r="X69" s="2953"/>
      <c r="Y69" s="2953"/>
      <c r="Z69" s="2953"/>
      <c r="AA69" s="2953"/>
      <c r="AB69" s="2953"/>
      <c r="AC69" s="2953"/>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2"/>
      <c r="O70" s="2982"/>
      <c r="P70" s="2990"/>
      <c r="Q70" s="2967"/>
      <c r="R70" s="2953"/>
      <c r="S70" s="2953"/>
      <c r="T70" s="2953"/>
      <c r="U70" s="2953"/>
      <c r="V70" s="2953"/>
      <c r="W70" s="2953"/>
      <c r="X70" s="2953"/>
      <c r="Y70" s="2953"/>
      <c r="Z70" s="2953"/>
      <c r="AA70" s="2953"/>
      <c r="AB70" s="2953"/>
      <c r="AC70" s="2953"/>
    </row>
    <row r="71" spans="1:29" ht="15.75" thickTop="1">
      <c r="A71" s="489"/>
      <c r="B71" s="493" t="s">
        <v>2550</v>
      </c>
      <c r="C71" s="509"/>
      <c r="D71" s="509"/>
      <c r="E71" s="509"/>
      <c r="F71" s="509"/>
      <c r="G71" s="509"/>
      <c r="H71" s="538"/>
      <c r="I71" s="538"/>
      <c r="J71" s="538"/>
      <c r="K71" s="539"/>
      <c r="L71" s="540"/>
      <c r="M71" s="541"/>
      <c r="N71" s="2981"/>
      <c r="O71" s="2981"/>
      <c r="P71" s="2990"/>
      <c r="Q71" s="2967"/>
      <c r="R71" s="2953"/>
      <c r="S71" s="2953"/>
      <c r="T71" s="2953"/>
      <c r="U71" s="2953"/>
      <c r="V71" s="2953"/>
      <c r="W71" s="2953"/>
      <c r="X71" s="2953"/>
      <c r="Y71" s="2953"/>
      <c r="Z71" s="2953"/>
      <c r="AA71" s="2953"/>
      <c r="AB71" s="2953"/>
      <c r="AC71" s="2953"/>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2"/>
      <c r="O72" s="2982"/>
      <c r="P72" s="2990"/>
      <c r="Q72" s="2967"/>
      <c r="R72" s="2953"/>
      <c r="S72" s="2953"/>
      <c r="T72" s="2953"/>
      <c r="U72" s="2953"/>
      <c r="V72" s="2953"/>
      <c r="W72" s="2953"/>
      <c r="X72" s="2953"/>
      <c r="Y72" s="2953"/>
      <c r="Z72" s="2953"/>
      <c r="AA72" s="2953"/>
      <c r="AB72" s="2953"/>
      <c r="AC72" s="2953"/>
    </row>
    <row r="73" spans="1:29" s="113" customFormat="1" ht="15.75" thickTop="1">
      <c r="A73" s="534"/>
      <c r="B73" s="493">
        <f>B23</f>
        <v>111</v>
      </c>
      <c r="C73" s="504"/>
      <c r="D73" s="504"/>
      <c r="E73" s="504"/>
      <c r="F73" s="504"/>
      <c r="G73" s="509"/>
      <c r="H73" s="509"/>
      <c r="I73" s="509"/>
      <c r="J73" s="509"/>
      <c r="K73" s="509"/>
      <c r="L73" s="535"/>
      <c r="M73" s="536"/>
      <c r="N73" s="2980"/>
      <c r="O73" s="2980"/>
      <c r="P73" s="2990"/>
      <c r="Q73" s="2967"/>
      <c r="R73" s="2887"/>
      <c r="S73" s="2887"/>
      <c r="T73" s="2887"/>
      <c r="U73" s="2887"/>
      <c r="V73" s="2887"/>
      <c r="W73" s="2887"/>
      <c r="X73" s="2887"/>
      <c r="Y73" s="2887"/>
      <c r="Z73" s="2887"/>
      <c r="AA73" s="2887"/>
      <c r="AB73" s="2887"/>
      <c r="AC73" s="2887"/>
    </row>
    <row r="74" spans="1:29" s="113" customFormat="1" ht="15.75" thickBot="1">
      <c r="A74" s="534"/>
      <c r="B74" s="498"/>
      <c r="C74" s="515"/>
      <c r="D74" s="491"/>
      <c r="E74" s="491"/>
      <c r="F74" s="491"/>
      <c r="G74" s="491"/>
      <c r="H74" s="491"/>
      <c r="I74" s="491"/>
      <c r="J74" s="491"/>
      <c r="K74" s="491"/>
      <c r="L74" s="491"/>
      <c r="M74" s="492"/>
      <c r="N74" s="2982"/>
      <c r="O74" s="2982"/>
      <c r="P74" s="2990"/>
      <c r="Q74" s="2967"/>
      <c r="R74" s="2887"/>
      <c r="S74" s="2887"/>
      <c r="T74" s="2887"/>
      <c r="U74" s="2887"/>
      <c r="V74" s="2887"/>
      <c r="W74" s="2887"/>
      <c r="X74" s="2887"/>
      <c r="Y74" s="2887"/>
      <c r="Z74" s="2887"/>
      <c r="AA74" s="2887"/>
      <c r="AB74" s="2887"/>
      <c r="AC74" s="2887"/>
    </row>
    <row r="75" spans="1:29" s="113" customFormat="1" ht="15.75" thickTop="1">
      <c r="A75" s="534"/>
      <c r="B75" s="493">
        <f>B24</f>
        <v>111</v>
      </c>
      <c r="C75" s="504"/>
      <c r="D75" s="504"/>
      <c r="E75" s="504"/>
      <c r="F75" s="504"/>
      <c r="G75" s="509"/>
      <c r="H75" s="509"/>
      <c r="I75" s="509"/>
      <c r="J75" s="509"/>
      <c r="K75" s="509"/>
      <c r="L75" s="509"/>
      <c r="M75" s="536"/>
      <c r="N75" s="2980"/>
      <c r="O75" s="2980"/>
      <c r="P75" s="2990"/>
      <c r="Q75" s="2967"/>
      <c r="R75" s="2887"/>
      <c r="S75" s="2887"/>
      <c r="T75" s="2887"/>
      <c r="U75" s="2887"/>
      <c r="V75" s="2887"/>
      <c r="W75" s="2887"/>
      <c r="X75" s="2887"/>
      <c r="Y75" s="2887"/>
      <c r="Z75" s="2887"/>
      <c r="AA75" s="2887"/>
      <c r="AB75" s="2887"/>
      <c r="AC75" s="2887"/>
    </row>
    <row r="76" spans="1:29" s="113" customFormat="1" ht="15.75" thickBot="1">
      <c r="A76" s="534"/>
      <c r="B76" s="498"/>
      <c r="C76" s="515"/>
      <c r="D76" s="491"/>
      <c r="E76" s="491"/>
      <c r="F76" s="491"/>
      <c r="G76" s="491"/>
      <c r="H76" s="491"/>
      <c r="I76" s="491"/>
      <c r="J76" s="491"/>
      <c r="K76" s="491"/>
      <c r="L76" s="491"/>
      <c r="M76" s="492"/>
      <c r="N76" s="2982"/>
      <c r="O76" s="2982"/>
      <c r="P76" s="2990"/>
      <c r="Q76" s="2967"/>
      <c r="R76" s="2887"/>
      <c r="S76" s="2887"/>
      <c r="T76" s="2887"/>
      <c r="U76" s="2887"/>
      <c r="V76" s="2887"/>
      <c r="W76" s="2887"/>
      <c r="X76" s="2887"/>
      <c r="Y76" s="2887"/>
      <c r="Z76" s="2887"/>
      <c r="AA76" s="2887"/>
      <c r="AB76" s="2887"/>
      <c r="AC76" s="2887"/>
    </row>
    <row r="77" spans="1:29" s="428" customFormat="1" ht="15.75" thickTop="1">
      <c r="A77" s="508"/>
      <c r="B77" s="493">
        <f>B25</f>
        <v>111</v>
      </c>
      <c r="C77" s="509"/>
      <c r="D77" s="509"/>
      <c r="E77" s="509"/>
      <c r="F77" s="509"/>
      <c r="G77" s="509"/>
      <c r="H77" s="510"/>
      <c r="I77" s="510"/>
      <c r="J77" s="510"/>
      <c r="K77" s="510"/>
      <c r="L77" s="511"/>
      <c r="M77" s="512"/>
      <c r="N77" s="2983"/>
      <c r="O77" s="2983"/>
      <c r="P77" s="2991"/>
      <c r="Q77" s="2974"/>
      <c r="R77" s="2975"/>
      <c r="S77" s="2975"/>
      <c r="T77" s="2975"/>
      <c r="U77" s="2975"/>
      <c r="V77" s="2975"/>
      <c r="W77" s="2975"/>
      <c r="X77" s="2975"/>
      <c r="Y77" s="2975"/>
      <c r="Z77" s="2975"/>
      <c r="AA77" s="2975"/>
      <c r="AB77" s="2975"/>
      <c r="AC77" s="2975"/>
    </row>
    <row r="78" spans="1:29" s="428" customFormat="1" ht="15.75" thickBot="1">
      <c r="A78" s="508"/>
      <c r="B78" s="498"/>
      <c r="C78" s="515"/>
      <c r="D78" s="515"/>
      <c r="E78" s="515"/>
      <c r="F78" s="515"/>
      <c r="G78" s="491"/>
      <c r="H78" s="491"/>
      <c r="I78" s="491"/>
      <c r="J78" s="491"/>
      <c r="K78" s="491"/>
      <c r="L78" s="491"/>
      <c r="M78" s="492"/>
      <c r="N78" s="2983"/>
      <c r="O78" s="2983"/>
      <c r="P78" s="2991"/>
      <c r="Q78" s="2974"/>
      <c r="R78" s="2975"/>
      <c r="S78" s="2975"/>
      <c r="T78" s="2975"/>
      <c r="U78" s="2975"/>
      <c r="V78" s="2975"/>
      <c r="W78" s="2975"/>
      <c r="X78" s="2975"/>
      <c r="Y78" s="2975"/>
      <c r="Z78" s="2975"/>
      <c r="AA78" s="2975"/>
      <c r="AB78" s="2975"/>
      <c r="AC78" s="2975"/>
    </row>
    <row r="79" spans="1:29" ht="27.75" thickTop="1">
      <c r="A79" s="482" t="s">
        <v>2385</v>
      </c>
      <c r="B79" s="483" t="s">
        <v>2551</v>
      </c>
      <c r="C79" s="484" t="str">
        <f>C26</f>
        <v>办公</v>
      </c>
      <c r="D79" s="3070" t="s">
        <v>3231</v>
      </c>
      <c r="E79" s="485"/>
      <c r="F79" s="485"/>
      <c r="G79" s="485"/>
      <c r="H79" s="485"/>
      <c r="I79" s="485"/>
      <c r="J79" s="485"/>
      <c r="K79" s="486"/>
      <c r="L79" s="487"/>
      <c r="M79" s="488"/>
      <c r="N79" s="2981"/>
      <c r="O79" s="2981"/>
      <c r="P79" s="2990"/>
      <c r="Q79" s="2967"/>
      <c r="R79" s="2953"/>
      <c r="S79" s="2953"/>
      <c r="T79" s="2953"/>
      <c r="U79" s="2953"/>
      <c r="V79" s="2953"/>
      <c r="W79" s="2953"/>
      <c r="X79" s="2953"/>
      <c r="Y79" s="2953"/>
      <c r="Z79" s="2953"/>
      <c r="AA79" s="2953"/>
      <c r="AB79" s="2953"/>
      <c r="AC79" s="2953"/>
    </row>
    <row r="80" spans="1:29" ht="15.75" thickBot="1">
      <c r="A80" s="489"/>
      <c r="B80" s="498"/>
      <c r="C80" s="499">
        <v>100</v>
      </c>
      <c r="D80" s="499">
        <f t="shared" ref="D80:M80" si="18">C80-$K26</f>
        <v>98</v>
      </c>
      <c r="E80" s="499">
        <f t="shared" si="18"/>
        <v>96</v>
      </c>
      <c r="F80" s="499">
        <f t="shared" si="18"/>
        <v>94</v>
      </c>
      <c r="G80" s="499">
        <f t="shared" si="18"/>
        <v>92</v>
      </c>
      <c r="H80" s="499">
        <f t="shared" si="18"/>
        <v>90</v>
      </c>
      <c r="I80" s="499">
        <f t="shared" si="18"/>
        <v>88</v>
      </c>
      <c r="J80" s="499">
        <f t="shared" si="18"/>
        <v>86</v>
      </c>
      <c r="K80" s="499">
        <f t="shared" si="18"/>
        <v>84</v>
      </c>
      <c r="L80" s="499">
        <f t="shared" si="18"/>
        <v>82</v>
      </c>
      <c r="M80" s="500">
        <f t="shared" si="18"/>
        <v>80</v>
      </c>
      <c r="N80" s="2982"/>
      <c r="O80" s="2982"/>
      <c r="P80" s="2990"/>
      <c r="Q80" s="2967"/>
      <c r="R80" s="2953"/>
      <c r="S80" s="2953"/>
      <c r="T80" s="2953"/>
      <c r="U80" s="2953"/>
      <c r="V80" s="2953"/>
      <c r="W80" s="2953"/>
      <c r="X80" s="2953"/>
      <c r="Y80" s="2953"/>
      <c r="Z80" s="2953"/>
      <c r="AA80" s="2953"/>
      <c r="AB80" s="2953"/>
      <c r="AC80" s="2953"/>
    </row>
    <row r="81" spans="1:29" ht="15.75" thickTop="1">
      <c r="A81" s="489"/>
      <c r="B81" s="493" t="s">
        <v>2552</v>
      </c>
      <c r="C81" s="615"/>
      <c r="D81" s="615"/>
      <c r="E81" s="615"/>
      <c r="F81" s="615"/>
      <c r="G81" s="615"/>
      <c r="H81" s="615"/>
      <c r="I81" s="615"/>
      <c r="J81" s="615"/>
      <c r="K81" s="616"/>
      <c r="L81" s="617"/>
      <c r="M81" s="618"/>
      <c r="N81" s="2980"/>
      <c r="O81" s="2980"/>
      <c r="P81" s="2990"/>
      <c r="Q81" s="2967"/>
      <c r="R81" s="2953"/>
      <c r="S81" s="2953"/>
      <c r="T81" s="2953"/>
      <c r="U81" s="2953"/>
      <c r="V81" s="2953"/>
      <c r="W81" s="2953"/>
      <c r="X81" s="2953"/>
      <c r="Y81" s="2953"/>
      <c r="Z81" s="2953"/>
      <c r="AA81" s="2953"/>
      <c r="AB81" s="2953"/>
      <c r="AC81" s="2953"/>
    </row>
    <row r="82" spans="1:29" s="428" customFormat="1" ht="15.75" thickBot="1">
      <c r="A82" s="508"/>
      <c r="B82" s="498"/>
      <c r="C82" s="515"/>
      <c r="D82" s="491"/>
      <c r="E82" s="491"/>
      <c r="F82" s="491"/>
      <c r="G82" s="491"/>
      <c r="H82" s="491"/>
      <c r="I82" s="491"/>
      <c r="J82" s="491"/>
      <c r="K82" s="491"/>
      <c r="L82" s="491"/>
      <c r="M82" s="492"/>
      <c r="N82" s="2982"/>
      <c r="O82" s="2982"/>
      <c r="P82" s="2991"/>
      <c r="Q82" s="2974"/>
      <c r="R82" s="2975"/>
      <c r="S82" s="2975"/>
      <c r="T82" s="2975"/>
      <c r="U82" s="2975"/>
      <c r="V82" s="2975"/>
      <c r="W82" s="2975"/>
      <c r="X82" s="2975"/>
      <c r="Y82" s="2975"/>
      <c r="Z82" s="2975"/>
      <c r="AA82" s="2975"/>
      <c r="AB82" s="2975"/>
      <c r="AC82" s="2975"/>
    </row>
    <row r="83" spans="1:29" ht="15" thickTop="1">
      <c r="A83" s="554"/>
      <c r="B83" s="493" t="s">
        <v>2438</v>
      </c>
      <c r="C83" s="509"/>
      <c r="D83" s="509"/>
      <c r="E83" s="538"/>
      <c r="F83" s="538"/>
      <c r="G83" s="538"/>
      <c r="H83" s="538"/>
      <c r="I83" s="538"/>
      <c r="J83" s="538"/>
      <c r="K83" s="539"/>
      <c r="L83" s="540"/>
      <c r="M83" s="541"/>
      <c r="N83" s="2981"/>
      <c r="O83" s="2981"/>
      <c r="P83" s="2990"/>
      <c r="Q83" s="2967"/>
      <c r="R83" s="2953"/>
      <c r="S83" s="2953"/>
      <c r="T83" s="2953"/>
      <c r="U83" s="2953"/>
      <c r="V83" s="2953"/>
      <c r="W83" s="2953"/>
      <c r="X83" s="2953"/>
      <c r="Y83" s="2953"/>
      <c r="Z83" s="2953"/>
      <c r="AA83" s="2953"/>
      <c r="AB83" s="2953"/>
      <c r="AC83" s="2953"/>
    </row>
    <row r="84" spans="1:29" ht="15.75" thickBot="1">
      <c r="A84" s="489"/>
      <c r="B84" s="498"/>
      <c r="C84" s="499">
        <v>100</v>
      </c>
      <c r="D84" s="499">
        <f t="shared" ref="D84:M84" si="19">C84-$K28</f>
        <v>100</v>
      </c>
      <c r="E84" s="499">
        <f t="shared" si="19"/>
        <v>100</v>
      </c>
      <c r="F84" s="499">
        <f t="shared" si="19"/>
        <v>100</v>
      </c>
      <c r="G84" s="499">
        <f t="shared" si="19"/>
        <v>100</v>
      </c>
      <c r="H84" s="499">
        <f t="shared" si="19"/>
        <v>100</v>
      </c>
      <c r="I84" s="499">
        <f t="shared" si="19"/>
        <v>100</v>
      </c>
      <c r="J84" s="499">
        <f t="shared" si="19"/>
        <v>100</v>
      </c>
      <c r="K84" s="499">
        <f t="shared" si="19"/>
        <v>100</v>
      </c>
      <c r="L84" s="499">
        <f t="shared" si="19"/>
        <v>100</v>
      </c>
      <c r="M84" s="500">
        <f t="shared" si="19"/>
        <v>100</v>
      </c>
      <c r="N84" s="2982"/>
      <c r="O84" s="2982"/>
      <c r="P84" s="2990"/>
      <c r="Q84" s="2967"/>
      <c r="R84" s="2953"/>
      <c r="S84" s="2953"/>
      <c r="T84" s="2953"/>
      <c r="U84" s="2953"/>
      <c r="V84" s="2953"/>
      <c r="W84" s="2953"/>
      <c r="X84" s="2953"/>
      <c r="Y84" s="2953"/>
      <c r="Z84" s="2953"/>
      <c r="AA84" s="2953"/>
      <c r="AB84" s="2953"/>
      <c r="AC84" s="2953"/>
    </row>
    <row r="85" spans="1:29" ht="15" thickTop="1">
      <c r="A85" s="554"/>
      <c r="B85" s="493" t="s">
        <v>2553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1"/>
      <c r="O85" s="2981"/>
      <c r="P85" s="2990"/>
      <c r="Q85" s="2967"/>
      <c r="R85" s="2953"/>
      <c r="S85" s="2953"/>
      <c r="T85" s="2953"/>
      <c r="U85" s="2953"/>
      <c r="V85" s="2953"/>
      <c r="W85" s="2953"/>
      <c r="X85" s="2953"/>
      <c r="Y85" s="2953"/>
      <c r="Z85" s="2953"/>
      <c r="AA85" s="2953"/>
      <c r="AB85" s="2953"/>
      <c r="AC85" s="2953"/>
    </row>
    <row r="86" spans="1:29">
      <c r="A86" s="554"/>
      <c r="B86" s="501"/>
      <c r="C86" s="558">
        <v>0.5</v>
      </c>
      <c r="D86" s="558">
        <v>0.6</v>
      </c>
      <c r="E86" s="558">
        <v>0.7</v>
      </c>
      <c r="F86" s="558">
        <v>0.8</v>
      </c>
      <c r="G86" s="558">
        <v>0.9</v>
      </c>
      <c r="H86" s="558">
        <v>1.0001</v>
      </c>
      <c r="I86" s="577"/>
      <c r="J86" s="577"/>
      <c r="K86" s="578"/>
      <c r="L86" s="579"/>
      <c r="M86" s="580"/>
      <c r="N86" s="2981"/>
      <c r="O86" s="2981"/>
      <c r="P86" s="2990"/>
      <c r="Q86" s="2967"/>
      <c r="R86" s="2953"/>
      <c r="S86" s="2953"/>
      <c r="T86" s="2953"/>
      <c r="U86" s="2953"/>
      <c r="V86" s="2953"/>
      <c r="W86" s="2953"/>
      <c r="X86" s="2953"/>
      <c r="Y86" s="2953"/>
      <c r="Z86" s="2953"/>
      <c r="AA86" s="2953"/>
      <c r="AB86" s="2953"/>
      <c r="AC86" s="2953"/>
    </row>
    <row r="87" spans="1:29" ht="15.75" thickBot="1">
      <c r="A87" s="489"/>
      <c r="B87" s="498"/>
      <c r="C87" s="537">
        <v>100</v>
      </c>
      <c r="D87" s="499">
        <f>C87+$K$29</f>
        <v>101</v>
      </c>
      <c r="E87" s="499">
        <f t="shared" ref="E87:M87" si="20">D87+$K$29</f>
        <v>102</v>
      </c>
      <c r="F87" s="499">
        <f t="shared" si="20"/>
        <v>103</v>
      </c>
      <c r="G87" s="499">
        <f t="shared" si="20"/>
        <v>104</v>
      </c>
      <c r="H87" s="499">
        <f t="shared" si="20"/>
        <v>105</v>
      </c>
      <c r="I87" s="499">
        <f t="shared" si="20"/>
        <v>106</v>
      </c>
      <c r="J87" s="499">
        <f t="shared" si="20"/>
        <v>107</v>
      </c>
      <c r="K87" s="499">
        <f t="shared" si="20"/>
        <v>108</v>
      </c>
      <c r="L87" s="499">
        <f t="shared" si="20"/>
        <v>109</v>
      </c>
      <c r="M87" s="499">
        <f t="shared" si="20"/>
        <v>110</v>
      </c>
      <c r="N87" s="2982"/>
      <c r="O87" s="2982"/>
      <c r="P87" s="2990"/>
      <c r="Q87" s="2967"/>
      <c r="R87" s="2953"/>
      <c r="S87" s="2953"/>
      <c r="T87" s="2953"/>
      <c r="U87" s="2953"/>
      <c r="V87" s="2953"/>
      <c r="W87" s="2953"/>
      <c r="X87" s="2953"/>
      <c r="Y87" s="2953"/>
      <c r="Z87" s="2953"/>
      <c r="AA87" s="2953"/>
      <c r="AB87" s="2953"/>
      <c r="AC87" s="2953"/>
    </row>
    <row r="88" spans="1:29" ht="15" thickTop="1">
      <c r="A88" s="554"/>
      <c r="B88" s="501" t="s">
        <v>2554</v>
      </c>
      <c r="C88" s="485"/>
      <c r="D88" s="485"/>
      <c r="E88" s="485"/>
      <c r="F88" s="485"/>
      <c r="G88" s="485"/>
      <c r="H88" s="485"/>
      <c r="I88" s="485"/>
      <c r="J88" s="485"/>
      <c r="K88" s="486"/>
      <c r="L88" s="487"/>
      <c r="M88" s="488"/>
      <c r="N88" s="2981"/>
      <c r="O88" s="2981"/>
      <c r="P88" s="2990"/>
      <c r="Q88" s="2967"/>
      <c r="R88" s="2953"/>
      <c r="S88" s="2953"/>
      <c r="T88" s="2953"/>
      <c r="U88" s="2953"/>
      <c r="V88" s="2953"/>
      <c r="W88" s="2953"/>
      <c r="X88" s="2953"/>
      <c r="Y88" s="2953"/>
      <c r="Z88" s="2953"/>
      <c r="AA88" s="2953"/>
      <c r="AB88" s="2953"/>
      <c r="AC88" s="2953"/>
    </row>
    <row r="89" spans="1:29" ht="15.75" thickBot="1">
      <c r="A89" s="489"/>
      <c r="B89" s="498"/>
      <c r="C89" s="537">
        <v>100</v>
      </c>
      <c r="D89" s="499">
        <f t="shared" ref="D89:M89" si="21">C89+$K30</f>
        <v>100</v>
      </c>
      <c r="E89" s="499">
        <f t="shared" si="21"/>
        <v>100</v>
      </c>
      <c r="F89" s="499">
        <f t="shared" si="21"/>
        <v>100</v>
      </c>
      <c r="G89" s="499">
        <f t="shared" si="21"/>
        <v>100</v>
      </c>
      <c r="H89" s="499">
        <f t="shared" si="21"/>
        <v>100</v>
      </c>
      <c r="I89" s="499">
        <f t="shared" si="21"/>
        <v>100</v>
      </c>
      <c r="J89" s="499">
        <f t="shared" si="21"/>
        <v>100</v>
      </c>
      <c r="K89" s="499">
        <f t="shared" si="21"/>
        <v>100</v>
      </c>
      <c r="L89" s="499">
        <f t="shared" si="21"/>
        <v>100</v>
      </c>
      <c r="M89" s="499">
        <f t="shared" si="21"/>
        <v>100</v>
      </c>
      <c r="N89" s="2982"/>
      <c r="O89" s="2982"/>
      <c r="P89" s="2990"/>
      <c r="Q89" s="2967"/>
      <c r="R89" s="2953"/>
      <c r="S89" s="2953"/>
      <c r="T89" s="2953"/>
      <c r="U89" s="2953"/>
      <c r="V89" s="2953"/>
      <c r="W89" s="2953"/>
      <c r="X89" s="2953"/>
      <c r="Y89" s="2953"/>
      <c r="Z89" s="2953"/>
      <c r="AA89" s="2953"/>
      <c r="AB89" s="2953"/>
      <c r="AC89" s="2953"/>
    </row>
    <row r="90" spans="1:29" s="428" customFormat="1" ht="15" thickTop="1">
      <c r="A90" s="548"/>
      <c r="B90" s="493" t="s">
        <v>2555</v>
      </c>
      <c r="C90" s="533" t="str">
        <f>C91&amp;"(含)"&amp;"-"&amp;D91</f>
        <v>0(含)-</v>
      </c>
      <c r="D90" s="533" t="str">
        <f t="shared" ref="D90:L90" si="22">D91&amp;"(含)"&amp;"-"&amp;E91</f>
        <v>(含)-</v>
      </c>
      <c r="E90" s="533" t="str">
        <f t="shared" si="22"/>
        <v>(含)-</v>
      </c>
      <c r="F90" s="533" t="str">
        <f t="shared" si="22"/>
        <v>(含)-</v>
      </c>
      <c r="G90" s="533" t="str">
        <f t="shared" si="22"/>
        <v>(含)-</v>
      </c>
      <c r="H90" s="533" t="str">
        <f t="shared" si="22"/>
        <v>(含)-</v>
      </c>
      <c r="I90" s="533" t="str">
        <f t="shared" si="22"/>
        <v>(含)-</v>
      </c>
      <c r="J90" s="533" t="str">
        <f t="shared" si="22"/>
        <v>(含)-</v>
      </c>
      <c r="K90" s="533" t="str">
        <f t="shared" si="22"/>
        <v>(含)-</v>
      </c>
      <c r="L90" s="533" t="str">
        <f t="shared" si="22"/>
        <v>(含)-</v>
      </c>
      <c r="M90" s="576" t="str">
        <f>M91&amp;"(含)"&amp;"-"&amp;P91</f>
        <v>(含)-</v>
      </c>
      <c r="N90" s="2983"/>
      <c r="O90" s="2983"/>
      <c r="P90" s="2991"/>
      <c r="Q90" s="2974"/>
      <c r="R90" s="2975"/>
      <c r="S90" s="2975"/>
      <c r="T90" s="2975"/>
      <c r="U90" s="2975"/>
      <c r="V90" s="2975"/>
      <c r="W90" s="2975"/>
      <c r="X90" s="2975"/>
      <c r="Y90" s="2975"/>
      <c r="Z90" s="2975"/>
      <c r="AA90" s="2975"/>
      <c r="AB90" s="2975"/>
      <c r="AC90" s="2975"/>
    </row>
    <row r="91" spans="1:29" s="428" customFormat="1">
      <c r="A91" s="548"/>
      <c r="B91" s="501"/>
      <c r="C91" s="550">
        <v>0</v>
      </c>
      <c r="D91" s="550"/>
      <c r="E91" s="550"/>
      <c r="F91" s="550"/>
      <c r="G91" s="550"/>
      <c r="H91" s="550"/>
      <c r="I91" s="550"/>
      <c r="J91" s="551"/>
      <c r="K91" s="551"/>
      <c r="L91" s="552"/>
      <c r="M91" s="553"/>
      <c r="N91" s="2983"/>
      <c r="O91" s="2983"/>
      <c r="P91" s="2991"/>
      <c r="Q91" s="2974"/>
      <c r="R91" s="2975"/>
      <c r="S91" s="2975"/>
      <c r="T91" s="2975"/>
      <c r="U91" s="2975"/>
      <c r="V91" s="2975"/>
      <c r="W91" s="2975"/>
      <c r="X91" s="2975"/>
      <c r="Y91" s="2975"/>
      <c r="Z91" s="2975"/>
      <c r="AA91" s="2975"/>
      <c r="AB91" s="2975"/>
      <c r="AC91" s="2975"/>
    </row>
    <row r="92" spans="1:29" s="428" customFormat="1" ht="15.75" thickBot="1">
      <c r="A92" s="508"/>
      <c r="B92" s="498"/>
      <c r="C92" s="515"/>
      <c r="D92" s="491"/>
      <c r="E92" s="491"/>
      <c r="F92" s="491"/>
      <c r="G92" s="491"/>
      <c r="H92" s="491"/>
      <c r="I92" s="491"/>
      <c r="J92" s="491"/>
      <c r="K92" s="491"/>
      <c r="L92" s="491"/>
      <c r="M92" s="492"/>
      <c r="N92" s="2983"/>
      <c r="O92" s="2983"/>
      <c r="P92" s="2991"/>
      <c r="Q92" s="2974"/>
      <c r="R92" s="2975"/>
      <c r="S92" s="2975"/>
      <c r="T92" s="2975"/>
      <c r="U92" s="2975"/>
      <c r="V92" s="2975"/>
      <c r="W92" s="2975"/>
      <c r="X92" s="2975"/>
      <c r="Y92" s="2975"/>
      <c r="Z92" s="2975"/>
      <c r="AA92" s="2975"/>
      <c r="AB92" s="2975"/>
      <c r="AC92" s="2975"/>
    </row>
    <row r="93" spans="1:29" ht="15" thickTop="1">
      <c r="A93" s="554"/>
      <c r="B93" s="493" t="s">
        <v>2556</v>
      </c>
      <c r="C93" s="509"/>
      <c r="D93" s="509"/>
      <c r="E93" s="538"/>
      <c r="F93" s="538"/>
      <c r="G93" s="538"/>
      <c r="H93" s="538"/>
      <c r="I93" s="538"/>
      <c r="J93" s="538"/>
      <c r="K93" s="539"/>
      <c r="L93" s="540"/>
      <c r="M93" s="541"/>
      <c r="N93" s="2981"/>
      <c r="O93" s="2981"/>
      <c r="P93" s="2990"/>
      <c r="Q93" s="2967"/>
      <c r="R93" s="2953"/>
      <c r="S93" s="2953"/>
      <c r="T93" s="2953"/>
      <c r="U93" s="2953"/>
      <c r="V93" s="2953"/>
      <c r="W93" s="2953"/>
      <c r="X93" s="2953"/>
      <c r="Y93" s="2953"/>
      <c r="Z93" s="2953"/>
      <c r="AA93" s="2953"/>
      <c r="AB93" s="2953"/>
      <c r="AC93" s="2953"/>
    </row>
    <row r="94" spans="1:29" ht="15.75" thickBot="1">
      <c r="A94" s="489"/>
      <c r="B94" s="498"/>
      <c r="C94" s="499">
        <v>100</v>
      </c>
      <c r="D94" s="499">
        <f t="shared" ref="D94:M94" si="23">C94-$K32</f>
        <v>100</v>
      </c>
      <c r="E94" s="499">
        <f t="shared" si="23"/>
        <v>100</v>
      </c>
      <c r="F94" s="499">
        <f t="shared" si="23"/>
        <v>100</v>
      </c>
      <c r="G94" s="499">
        <f t="shared" si="23"/>
        <v>100</v>
      </c>
      <c r="H94" s="499">
        <f t="shared" si="23"/>
        <v>100</v>
      </c>
      <c r="I94" s="499">
        <f t="shared" si="23"/>
        <v>100</v>
      </c>
      <c r="J94" s="499">
        <f t="shared" si="23"/>
        <v>100</v>
      </c>
      <c r="K94" s="499">
        <f t="shared" si="23"/>
        <v>100</v>
      </c>
      <c r="L94" s="499">
        <f t="shared" si="23"/>
        <v>100</v>
      </c>
      <c r="M94" s="500">
        <f t="shared" si="23"/>
        <v>100</v>
      </c>
      <c r="N94" s="2982"/>
      <c r="O94" s="2982"/>
      <c r="P94" s="2990"/>
      <c r="Q94" s="2967"/>
      <c r="R94" s="2953"/>
      <c r="S94" s="2953"/>
      <c r="T94" s="2953"/>
      <c r="U94" s="2953"/>
      <c r="V94" s="2953"/>
      <c r="W94" s="2953"/>
      <c r="X94" s="2953"/>
      <c r="Y94" s="2953"/>
      <c r="Z94" s="2953"/>
      <c r="AA94" s="2953"/>
      <c r="AB94" s="2953"/>
      <c r="AC94" s="2953"/>
    </row>
    <row r="95" spans="1:29" ht="15" thickTop="1">
      <c r="A95" s="554"/>
      <c r="B95" s="493" t="s">
        <v>2557</v>
      </c>
      <c r="C95" s="485"/>
      <c r="D95" s="485"/>
      <c r="E95" s="485"/>
      <c r="F95" s="485"/>
      <c r="G95" s="485"/>
      <c r="H95" s="485"/>
      <c r="I95" s="485"/>
      <c r="J95" s="485"/>
      <c r="K95" s="486"/>
      <c r="L95" s="487"/>
      <c r="M95" s="488"/>
      <c r="N95" s="2981"/>
      <c r="O95" s="2981"/>
      <c r="P95" s="2990"/>
      <c r="Q95" s="2967"/>
      <c r="R95" s="2953"/>
      <c r="S95" s="2953"/>
      <c r="T95" s="2953"/>
      <c r="U95" s="2953"/>
      <c r="V95" s="2953"/>
      <c r="W95" s="2953"/>
      <c r="X95" s="2953"/>
      <c r="Y95" s="2953"/>
      <c r="Z95" s="2953"/>
      <c r="AA95" s="2953"/>
      <c r="AB95" s="2953"/>
      <c r="AC95" s="2953"/>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2"/>
      <c r="O96" s="2982"/>
      <c r="P96" s="2990"/>
      <c r="Q96" s="2967"/>
      <c r="R96" s="2953"/>
      <c r="S96" s="2953"/>
      <c r="T96" s="2953"/>
      <c r="U96" s="2953"/>
      <c r="V96" s="2953"/>
      <c r="W96" s="2953"/>
      <c r="X96" s="2953"/>
      <c r="Y96" s="2953"/>
      <c r="Z96" s="2953"/>
      <c r="AA96" s="2953"/>
      <c r="AB96" s="2953"/>
      <c r="AC96" s="2953"/>
    </row>
    <row r="97" spans="1:29" ht="15" thickTop="1">
      <c r="A97" s="554"/>
      <c r="B97" s="590">
        <f>B34</f>
        <v>111</v>
      </c>
      <c r="C97" s="504"/>
      <c r="D97" s="504"/>
      <c r="E97" s="504"/>
      <c r="F97" s="504"/>
      <c r="G97" s="509"/>
      <c r="H97" s="510"/>
      <c r="I97" s="510"/>
      <c r="J97" s="510"/>
      <c r="K97" s="510"/>
      <c r="L97" s="511"/>
      <c r="M97" s="512"/>
      <c r="N97" s="2982"/>
      <c r="O97" s="2982"/>
      <c r="P97" s="2995"/>
      <c r="Q97" s="2996"/>
      <c r="R97" s="2953"/>
      <c r="S97" s="2953"/>
      <c r="T97" s="2953"/>
      <c r="U97" s="2953"/>
      <c r="V97" s="2953"/>
      <c r="W97" s="2953"/>
      <c r="X97" s="2953"/>
      <c r="Y97" s="2953"/>
      <c r="Z97" s="2953"/>
      <c r="AA97" s="2953"/>
      <c r="AB97" s="2953"/>
      <c r="AC97" s="2953"/>
    </row>
    <row r="98" spans="1:29" ht="15.75" thickBot="1">
      <c r="A98" s="489"/>
      <c r="B98" s="498"/>
      <c r="C98" s="515"/>
      <c r="D98" s="491"/>
      <c r="E98" s="491"/>
      <c r="F98" s="491"/>
      <c r="G98" s="515"/>
      <c r="H98" s="517"/>
      <c r="I98" s="517"/>
      <c r="J98" s="517"/>
      <c r="K98" s="517"/>
      <c r="L98" s="517"/>
      <c r="M98" s="518"/>
      <c r="N98" s="2982"/>
      <c r="O98" s="2982"/>
      <c r="P98" s="2990"/>
      <c r="Q98" s="2967"/>
      <c r="R98" s="2953"/>
      <c r="S98" s="2953"/>
      <c r="T98" s="2953"/>
      <c r="U98" s="2953"/>
      <c r="V98" s="2953"/>
      <c r="W98" s="2953"/>
      <c r="X98" s="2953"/>
      <c r="Y98" s="2953"/>
      <c r="Z98" s="2953"/>
      <c r="AA98" s="2953"/>
      <c r="AB98" s="2953"/>
      <c r="AC98" s="2953"/>
    </row>
    <row r="99" spans="1:29" s="428" customFormat="1" ht="15" thickTop="1">
      <c r="A99" s="548"/>
      <c r="B99" s="493">
        <f>B35</f>
        <v>111</v>
      </c>
      <c r="C99" s="504"/>
      <c r="D99" s="504"/>
      <c r="E99" s="504"/>
      <c r="F99" s="504"/>
      <c r="G99" s="509"/>
      <c r="H99" s="510"/>
      <c r="I99" s="510"/>
      <c r="J99" s="510"/>
      <c r="K99" s="510"/>
      <c r="L99" s="511"/>
      <c r="M99" s="512"/>
      <c r="N99" s="2983"/>
      <c r="O99" s="2983"/>
      <c r="P99" s="2991"/>
      <c r="Q99" s="2974"/>
      <c r="R99" s="2975"/>
      <c r="S99" s="2975"/>
      <c r="T99" s="2975"/>
      <c r="U99" s="2975"/>
      <c r="V99" s="2975"/>
      <c r="W99" s="2975"/>
      <c r="X99" s="2975"/>
      <c r="Y99" s="2975"/>
      <c r="Z99" s="2975"/>
      <c r="AA99" s="2975"/>
      <c r="AB99" s="2975"/>
      <c r="AC99" s="2975"/>
    </row>
    <row r="100" spans="1:29" s="428" customFormat="1" ht="15.75" thickBot="1">
      <c r="A100" s="508"/>
      <c r="B100" s="490"/>
      <c r="C100" s="515"/>
      <c r="D100" s="491"/>
      <c r="E100" s="491"/>
      <c r="F100" s="491"/>
      <c r="G100" s="515"/>
      <c r="H100" s="517"/>
      <c r="I100" s="517"/>
      <c r="J100" s="517"/>
      <c r="K100" s="517"/>
      <c r="L100" s="517"/>
      <c r="M100" s="518"/>
      <c r="N100" s="2983"/>
      <c r="O100" s="2983"/>
      <c r="P100" s="2991"/>
      <c r="Q100" s="2974"/>
      <c r="R100" s="2975"/>
      <c r="S100" s="2975"/>
      <c r="T100" s="2975"/>
      <c r="U100" s="2975"/>
      <c r="V100" s="2975"/>
      <c r="W100" s="2975"/>
      <c r="X100" s="2975"/>
      <c r="Y100" s="2975"/>
      <c r="Z100" s="2975"/>
      <c r="AA100" s="2975"/>
      <c r="AB100" s="2975"/>
      <c r="AC100" s="2975"/>
    </row>
    <row r="101" spans="1:29" ht="15" thickTop="1">
      <c r="A101" s="554"/>
      <c r="B101" s="493">
        <f>B36</f>
        <v>111</v>
      </c>
      <c r="C101" s="509"/>
      <c r="D101" s="509"/>
      <c r="E101" s="509"/>
      <c r="F101" s="509"/>
      <c r="G101" s="509"/>
      <c r="H101" s="510"/>
      <c r="I101" s="510"/>
      <c r="J101" s="510"/>
      <c r="K101" s="510"/>
      <c r="L101" s="511"/>
      <c r="M101" s="512"/>
      <c r="N101" s="2981"/>
      <c r="O101" s="2981"/>
      <c r="P101" s="2990"/>
      <c r="Q101" s="2967"/>
      <c r="R101" s="2953"/>
      <c r="S101" s="2953"/>
      <c r="T101" s="2953"/>
      <c r="U101" s="2953"/>
      <c r="V101" s="2953"/>
      <c r="W101" s="2953"/>
      <c r="X101" s="2953"/>
      <c r="Y101" s="2953"/>
      <c r="Z101" s="2953"/>
      <c r="AA101" s="2953"/>
      <c r="AB101" s="2953"/>
      <c r="AC101" s="2953"/>
    </row>
    <row r="102" spans="1:29" ht="15.75" thickBot="1">
      <c r="A102" s="489"/>
      <c r="B102" s="498"/>
      <c r="C102" s="515"/>
      <c r="D102" s="515"/>
      <c r="E102" s="515"/>
      <c r="F102" s="515"/>
      <c r="G102" s="515"/>
      <c r="H102" s="517"/>
      <c r="I102" s="517"/>
      <c r="J102" s="517"/>
      <c r="K102" s="517"/>
      <c r="L102" s="517"/>
      <c r="M102" s="518"/>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G17 C17 E17 I17" xr:uid="{00000000-0002-0000-1B00-000002000000}">
      <formula1>公共配套设施</formula1>
    </dataValidation>
    <dataValidation type="list" allowBlank="1" showInputMessage="1" showErrorMessage="1" sqref="G15 E15 C15 I15" xr:uid="{00000000-0002-0000-1B00-000003000000}">
      <formula1>交通便捷度</formula1>
    </dataValidation>
    <dataValidation type="list" allowBlank="1" showInputMessage="1" showErrorMessage="1" sqref="C8 E8 G8 I8" xr:uid="{00000000-0002-0000-1B00-000004000000}">
      <formula1>车位交易情况</formula1>
    </dataValidation>
    <dataValidation type="list" allowBlank="1" showInputMessage="1" showErrorMessage="1" sqref="E9 G9 I9" xr:uid="{00000000-0002-0000-1B00-000005000000}">
      <formula1>车位用途</formula1>
    </dataValidation>
    <dataValidation type="list" allowBlank="1" showInputMessage="1" showErrorMessage="1" sqref="C22 E22 G22 I22" xr:uid="{00000000-0002-0000-1B00-000006000000}">
      <formula1>车位楼层</formula1>
    </dataValidation>
    <dataValidation type="list" allowBlank="1" showInputMessage="1" showErrorMessage="1" sqref="C30 E30 G30 I30" xr:uid="{00000000-0002-0000-1B00-000007000000}">
      <formula1>车位物业等级</formula1>
    </dataValidation>
    <dataValidation type="list" allowBlank="1" showInputMessage="1" showErrorMessage="1" sqref="C32 E32 G32 I32" xr:uid="{00000000-0002-0000-1B00-000008000000}">
      <formula1>车位类型</formula1>
    </dataValidation>
    <dataValidation type="list" allowBlank="1" showInputMessage="1" showErrorMessage="1" sqref="C33 E33 G33 I33" xr:uid="{00000000-0002-0000-1B00-000009000000}">
      <formula1>是否直接入户</formula1>
    </dataValidation>
    <dataValidation type="list" allowBlank="1" showInputMessage="1" showErrorMessage="1" sqref="B1" xr:uid="{00000000-0002-0000-1B00-00000A000000}">
      <formula1>地类判定</formula1>
    </dataValidation>
    <dataValidation type="list" allowBlank="1" showInputMessage="1" showErrorMessage="1" sqref="I26 E26 G26" xr:uid="{00000000-0002-0000-1B00-00000B000000}">
      <formula1>车位配套类型</formula1>
    </dataValidation>
    <dataValidation type="list" allowBlank="1" showInputMessage="1" showErrorMessage="1" sqref="C28 E28 G28 I28" xr:uid="{00000000-0002-0000-1B00-00000C000000}">
      <formula1>车位公共部分装修</formula1>
    </dataValidation>
    <dataValidation type="list" allowBlank="1" showInputMessage="1" showErrorMessage="1" sqref="B37" xr:uid="{00000000-0002-0000-1B00-00000D000000}">
      <formula1>"元/平方米,元/车位"</formula1>
    </dataValidation>
    <dataValidation type="list" allowBlank="1" showInputMessage="1" showErrorMessage="1" sqref="C21 E21 G21 I21" xr:uid="{00000000-0002-0000-1B00-00000E000000}">
      <formula1>环境</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election activeCell="L5" sqref="L5"/>
    </sheetView>
  </sheetViews>
  <sheetFormatPr defaultRowHeight="13.5"/>
  <sheetData/>
  <phoneticPr fontId="14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估价对象为房地产，为所有。根据《国有土地使用证》[]，估价对象（分摊）出让国有建设用地使用权面积为2782.06平方米，建筑面积为23006.27平方米。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估价对象为房地产,属开发建设的，该项目尚在开发建设中。根据《国有土地使用证》[]，估价对象（分摊）出让国有建设用地使用权面积为2782.06平方米，规划建筑面积为23006.27平方米。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本次评估采用的主估价方法为基准地价系数修正法和收益法。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25" zoomScale="70" zoomScaleNormal="70" zoomScaleSheetLayoutView="70" workbookViewId="0">
      <selection activeCell="K53" sqref="K53:L5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3084</v>
      </c>
      <c r="D1" s="1545" t="s">
        <v>70</v>
      </c>
      <c r="E1" s="1546" t="s">
        <v>1352</v>
      </c>
      <c r="F1" s="1190">
        <f ca="1">J53</f>
        <v>34.86</v>
      </c>
      <c r="G1" s="1561">
        <f>MATCH(C1,'数据-取费表'!A6:A16,0)+5</f>
        <v>7</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f ca="1">ROUND(D2/10000,0)</f>
        <v>1154</v>
      </c>
      <c r="C2" s="1570" t="s">
        <v>1556</v>
      </c>
      <c r="D2" s="1654">
        <f ca="1">C40+J29+L46</f>
        <v>11540376</v>
      </c>
      <c r="E2" s="1571" t="s">
        <v>1557</v>
      </c>
      <c r="F2" s="1572"/>
      <c r="G2" s="2934"/>
      <c r="H2" s="2923"/>
      <c r="I2" s="2923"/>
      <c r="J2" s="2923"/>
      <c r="K2" s="2924"/>
      <c r="L2" s="2923"/>
      <c r="M2" s="2923"/>
    </row>
    <row r="3" spans="1:37" ht="18" customHeight="1" thickBot="1">
      <c r="A3" s="1573" t="s">
        <v>1558</v>
      </c>
      <c r="B3" s="1574">
        <f ca="1">IF(ISERROR(D2/F43),0,ROUND(D2/F43,0))</f>
        <v>1463</v>
      </c>
      <c r="C3" s="1570" t="s">
        <v>1559</v>
      </c>
      <c r="D3" s="1570"/>
      <c r="E3" s="1571"/>
      <c r="F3" s="1572"/>
      <c r="G3" s="2934"/>
      <c r="H3" s="689" t="s">
        <v>1553</v>
      </c>
      <c r="I3" s="1565"/>
      <c r="J3" s="1565"/>
      <c r="K3" s="1566"/>
      <c r="L3" s="1565"/>
      <c r="M3" s="1565"/>
    </row>
    <row r="4" spans="1:37" ht="18" customHeight="1">
      <c r="A4" s="299" t="s">
        <v>1560</v>
      </c>
      <c r="B4" s="300" t="s">
        <v>1561</v>
      </c>
      <c r="C4" s="300" t="s">
        <v>1562</v>
      </c>
      <c r="D4" s="300" t="s">
        <v>1563</v>
      </c>
      <c r="E4" s="301" t="s">
        <v>1564</v>
      </c>
      <c r="F4" s="302"/>
      <c r="G4" s="1567"/>
      <c r="H4" s="299" t="s">
        <v>1560</v>
      </c>
      <c r="I4" s="300" t="s">
        <v>1561</v>
      </c>
      <c r="J4" s="300" t="s">
        <v>1562</v>
      </c>
      <c r="K4" s="300" t="s">
        <v>1563</v>
      </c>
      <c r="L4" s="301" t="s">
        <v>1564</v>
      </c>
      <c r="M4" s="302"/>
    </row>
    <row r="5" spans="1:37" ht="18" customHeight="1">
      <c r="A5" s="303">
        <v>1</v>
      </c>
      <c r="B5" s="304" t="s">
        <v>1565</v>
      </c>
      <c r="C5" s="1199">
        <f ca="1">C6+C10+C12</f>
        <v>989400</v>
      </c>
      <c r="D5" s="1547" t="s">
        <v>1566</v>
      </c>
      <c r="E5" s="1200"/>
      <c r="F5" s="1201"/>
      <c r="G5" s="1567"/>
      <c r="H5" s="303">
        <v>1</v>
      </c>
      <c r="I5" s="304" t="s">
        <v>1565</v>
      </c>
      <c r="J5" s="1199">
        <f ca="1">J6+J10+J12</f>
        <v>0</v>
      </c>
      <c r="K5" s="1547" t="s">
        <v>1566</v>
      </c>
      <c r="L5" s="1200"/>
      <c r="M5" s="1201"/>
    </row>
    <row r="6" spans="1:37" ht="18" customHeight="1">
      <c r="A6" s="1198" t="s">
        <v>1003</v>
      </c>
      <c r="B6" s="3359" t="s">
        <v>1368</v>
      </c>
      <c r="C6" s="1203">
        <f ca="1">ROUND(F6*F8*F7*(1-F9),0)</f>
        <v>989400</v>
      </c>
      <c r="D6" s="158" t="s">
        <v>2848</v>
      </c>
      <c r="E6" s="306" t="s">
        <v>1370</v>
      </c>
      <c r="F6" s="307">
        <f ca="1">INDIRECT("'数据-取费表'!u"&amp;$G$1)</f>
        <v>500</v>
      </c>
      <c r="G6" s="1567"/>
      <c r="H6" s="1198" t="s">
        <v>1003</v>
      </c>
      <c r="I6" s="3359" t="s">
        <v>1368</v>
      </c>
      <c r="J6" s="305">
        <f ca="1">ROUND(M6*M8*M7*(1-M9),0)</f>
        <v>0</v>
      </c>
      <c r="K6" s="1559" t="s">
        <v>2849</v>
      </c>
      <c r="L6" s="306" t="s">
        <v>1370</v>
      </c>
      <c r="M6" s="307">
        <f ca="1">INDIRECT("'数据-取费表'!z"&amp;$G$1)</f>
        <v>0</v>
      </c>
    </row>
    <row r="7" spans="1:37" ht="18" customHeight="1">
      <c r="A7" s="1202"/>
      <c r="B7" s="3360"/>
      <c r="C7" s="1204"/>
      <c r="D7" s="311"/>
      <c r="E7" s="1205" t="s">
        <v>1371</v>
      </c>
      <c r="F7" s="307">
        <f ca="1">IF(INDIRECT("'数据-取费表'!ah"&amp;$G$1)="",INDIRECT("'数据-取费表'!k"&amp;$G$1),INDIRECT("'数据-取费表'!ah"&amp;$G$1))</f>
        <v>194</v>
      </c>
      <c r="G7" s="1567"/>
      <c r="H7" s="308"/>
      <c r="I7" s="3360"/>
      <c r="J7" s="310"/>
      <c r="K7" s="311"/>
      <c r="L7" s="306" t="s">
        <v>1371</v>
      </c>
      <c r="M7" s="307">
        <f ca="1">F7</f>
        <v>194</v>
      </c>
    </row>
    <row r="8" spans="1:37" ht="18" customHeight="1">
      <c r="A8" s="308"/>
      <c r="B8" s="3360"/>
      <c r="C8" s="310"/>
      <c r="D8" s="311"/>
      <c r="E8" s="306" t="s">
        <v>1372</v>
      </c>
      <c r="F8" s="307">
        <f ca="1">INDIRECT("'数据-取费表'!ai"&amp;$G$1)</f>
        <v>12</v>
      </c>
      <c r="G8" s="1567"/>
      <c r="H8" s="308"/>
      <c r="I8" s="3360"/>
      <c r="J8" s="310"/>
      <c r="K8" s="311"/>
      <c r="L8" s="306" t="s">
        <v>1372</v>
      </c>
      <c r="M8" s="307">
        <f ca="1">INDIRECT("'数据-取费表'!ai"&amp;$G$1)</f>
        <v>12</v>
      </c>
    </row>
    <row r="9" spans="1:37" ht="18" customHeight="1">
      <c r="A9" s="308"/>
      <c r="B9" s="3361"/>
      <c r="C9" s="310"/>
      <c r="D9" s="311"/>
      <c r="E9" s="306" t="s">
        <v>1373</v>
      </c>
      <c r="F9" s="316">
        <f ca="1">INDIRECT("'数据-取费表'!w"&amp;$G$1)</f>
        <v>0.15</v>
      </c>
      <c r="G9" s="1567"/>
      <c r="H9" s="308"/>
      <c r="I9" s="3361"/>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2858</v>
      </c>
      <c r="E10" s="317" t="s">
        <v>1375</v>
      </c>
      <c r="F10" s="1273" t="s">
        <v>3088</v>
      </c>
      <c r="G10" s="1567"/>
      <c r="H10" s="1198" t="s">
        <v>1007</v>
      </c>
      <c r="I10" s="1548" t="s">
        <v>1374</v>
      </c>
      <c r="J10" s="305">
        <f ca="1">ROUND(IF(M10="押一",J6/12*M11,IF(M10="押二",J6/12*2*M11,IF(M10="押三",J6/12*3*M11,J11*M11))),0)</f>
        <v>0</v>
      </c>
      <c r="K10" s="1560" t="s">
        <v>2860</v>
      </c>
      <c r="L10" s="317" t="s">
        <v>1375</v>
      </c>
      <c r="M10" s="1273"/>
    </row>
    <row r="11" spans="1:37" ht="18" customHeight="1">
      <c r="A11" s="312"/>
      <c r="B11" s="1550" t="s">
        <v>1567</v>
      </c>
      <c r="C11" s="1087"/>
      <c r="D11" s="311"/>
      <c r="E11" s="317" t="s">
        <v>1377</v>
      </c>
      <c r="F11" s="318">
        <f ca="1">'数据-取费表'!B39</f>
        <v>1.4999999999999999E-2</v>
      </c>
      <c r="G11" s="1567"/>
      <c r="H11" s="1206"/>
      <c r="I11" s="1550" t="s">
        <v>1568</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22539178</v>
      </c>
      <c r="D13" s="1238" t="s">
        <v>1380</v>
      </c>
      <c r="E13" s="1238" t="s">
        <v>1381</v>
      </c>
      <c r="F13" s="1239">
        <f ca="1">INDIRECT("'数据-取费表'!y"&amp;$G$1)</f>
        <v>0.97</v>
      </c>
      <c r="G13" s="1567"/>
      <c r="H13" s="1236">
        <v>2</v>
      </c>
      <c r="I13" s="1237" t="s">
        <v>1379</v>
      </c>
      <c r="J13" s="1197">
        <f ca="1">ROUND(J14*J15,0)</f>
        <v>0</v>
      </c>
      <c r="K13" s="1244" t="s">
        <v>1380</v>
      </c>
      <c r="L13" s="1575"/>
      <c r="M13" s="1576"/>
    </row>
    <row r="14" spans="1:37" ht="18" customHeight="1">
      <c r="A14" s="1110" t="s">
        <v>1002</v>
      </c>
      <c r="B14" s="306" t="s">
        <v>1382</v>
      </c>
      <c r="C14" s="322">
        <f ca="1">ROUND(INDIRECT("'数据-取费表'!l"&amp;$G$1)*F43+'数据-取费表'!L14*INDIRECT("'数据-取费表'!S"&amp;$G$1),0)</f>
        <v>17357362</v>
      </c>
      <c r="D14" s="1528" t="s">
        <v>1383</v>
      </c>
      <c r="E14" s="1525"/>
      <c r="F14" s="323"/>
      <c r="G14" s="1567"/>
      <c r="H14" s="1110" t="s">
        <v>1003</v>
      </c>
      <c r="I14" s="306" t="s">
        <v>1384</v>
      </c>
      <c r="J14" s="24">
        <f ca="1">C29</f>
        <v>23236266</v>
      </c>
      <c r="K14" s="15"/>
      <c r="L14" s="913"/>
      <c r="M14" s="914"/>
    </row>
    <row r="15" spans="1:37" s="1580" customFormat="1" ht="18" customHeight="1" thickBot="1">
      <c r="A15" s="1110" t="s">
        <v>1004</v>
      </c>
      <c r="B15" s="306" t="s">
        <v>1385</v>
      </c>
      <c r="C15" s="24">
        <f ca="1">ROUND(C14*F15,0)</f>
        <v>520721</v>
      </c>
      <c r="D15" s="324" t="s">
        <v>1386</v>
      </c>
      <c r="E15" s="324" t="s">
        <v>1387</v>
      </c>
      <c r="F15" s="325">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ROUND(INDIRECT("'数据-取费表'!l"&amp;$G$1)*F43*F16,0)</f>
        <v>0</v>
      </c>
      <c r="D16" s="306" t="s">
        <v>1386</v>
      </c>
      <c r="E16" s="306" t="s">
        <v>1387</v>
      </c>
      <c r="F16" s="326">
        <f ca="1">IF(INDIRECT("'数据-取费表'!c"&amp;$G$1)="住宅",'数据-取费表'!B34,0)</f>
        <v>0</v>
      </c>
      <c r="G16" s="1567"/>
      <c r="H16" s="1236" t="s">
        <v>998</v>
      </c>
      <c r="I16" s="1237" t="s">
        <v>1389</v>
      </c>
      <c r="J16" s="314">
        <f ca="1">ROUND(J17+J22+J23+J24,0)</f>
        <v>456170</v>
      </c>
      <c r="K16" s="1244" t="s">
        <v>1390</v>
      </c>
      <c r="L16" s="1245"/>
      <c r="M16" s="1201"/>
    </row>
    <row r="17" spans="1:37" s="1580" customFormat="1" ht="18" customHeight="1">
      <c r="A17" s="1110" t="s">
        <v>1355</v>
      </c>
      <c r="B17" s="306" t="s">
        <v>1391</v>
      </c>
      <c r="C17" s="24">
        <f ca="1">ROUND(F17*(F43+INDIRECT("'数据-取费表'!S"&amp;$G$1)),0)</f>
        <v>1420148</v>
      </c>
      <c r="D17" s="306" t="s">
        <v>1392</v>
      </c>
      <c r="E17" s="306" t="s">
        <v>1393</v>
      </c>
      <c r="F17" s="26">
        <f>'数据-取费表'!B35</f>
        <v>180</v>
      </c>
      <c r="G17" s="1579"/>
      <c r="H17" s="1110" t="s">
        <v>1003</v>
      </c>
      <c r="I17" s="306" t="s">
        <v>1394</v>
      </c>
      <c r="J17" s="2533">
        <f ca="1">ROUND(IF(AND(项目基本情况!B11="自然人",项目基本情况!B10="北京市"),J6*M17/(1+'数据-取费表'!C42),J18+J19+J20),0)</f>
        <v>223807</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260360</v>
      </c>
      <c r="D18" s="306" t="s">
        <v>1386</v>
      </c>
      <c r="E18" s="306" t="s">
        <v>1387</v>
      </c>
      <c r="F18" s="326">
        <f>'数据-取费表'!B36</f>
        <v>1.4999999999999999E-2</v>
      </c>
      <c r="G18" s="1579"/>
      <c r="H18" s="1110" t="s">
        <v>1002</v>
      </c>
      <c r="I18" s="306" t="s">
        <v>1398</v>
      </c>
      <c r="J18" s="24">
        <f ca="1">ROUND(J6*M18/(1+'数据-取费表'!C42),0)</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19558591</v>
      </c>
      <c r="D19" s="134" t="s">
        <v>1401</v>
      </c>
      <c r="E19" s="1543"/>
      <c r="F19" s="26"/>
      <c r="G19" s="1567"/>
      <c r="H19" s="1110" t="s">
        <v>1004</v>
      </c>
      <c r="I19" s="306" t="s">
        <v>1402</v>
      </c>
      <c r="J19" s="24">
        <f ca="1">IF(K19="按租金收入计税",ROUND(J6*M19/(1+'数据-取费表'!C42),0),ROUND(C29*M19*0.7,0))</f>
        <v>195185</v>
      </c>
      <c r="K19" s="1553" t="s">
        <v>1403</v>
      </c>
      <c r="L19" s="306" t="s">
        <v>1387</v>
      </c>
      <c r="M19" s="326">
        <f>IF(K19="按租金收入计税",'数据-取费表'!B51,'数据-取费表'!B50)</f>
        <v>1.2E-2</v>
      </c>
    </row>
    <row r="20" spans="1:37" s="1580" customFormat="1" ht="18" customHeight="1">
      <c r="A20" s="1110" t="s">
        <v>1007</v>
      </c>
      <c r="B20" s="306" t="s">
        <v>1404</v>
      </c>
      <c r="C20" s="24">
        <f ca="1">ROUND(C19*F20,0)</f>
        <v>391172</v>
      </c>
      <c r="D20" s="327" t="s">
        <v>1405</v>
      </c>
      <c r="E20" s="306" t="s">
        <v>1387</v>
      </c>
      <c r="F20" s="326">
        <f>'数据-取费表'!B37</f>
        <v>0.02</v>
      </c>
      <c r="G20" s="1579"/>
      <c r="H20" s="1110" t="s">
        <v>1354</v>
      </c>
      <c r="I20" s="158" t="s">
        <v>1406</v>
      </c>
      <c r="J20" s="25">
        <f ca="1">ROUND(M20*M21,0)</f>
        <v>28622</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v>
      </c>
      <c r="D21" s="327" t="s">
        <v>1410</v>
      </c>
      <c r="E21" s="306" t="s">
        <v>1411</v>
      </c>
      <c r="F21" s="326">
        <f>'数据-取费表'!B38</f>
        <v>0.02</v>
      </c>
      <c r="G21" s="1579"/>
      <c r="H21" s="330"/>
      <c r="I21" s="315"/>
      <c r="J21" s="29"/>
      <c r="K21" s="331"/>
      <c r="L21" s="306" t="s">
        <v>1412</v>
      </c>
      <c r="M21" s="307">
        <f ca="1">INDIRECT("'数据-取费表'!r"&amp;$G$1)</f>
        <v>954.07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ROUND(J14*M22,0)</f>
        <v>232363</v>
      </c>
      <c r="K22" s="1527" t="s">
        <v>1415</v>
      </c>
      <c r="L22" s="306" t="s">
        <v>1387</v>
      </c>
      <c r="M22" s="332">
        <f ca="1">INDIRECT("'数据-取费表'!Ak"&amp;$G$1)</f>
        <v>0.01</v>
      </c>
    </row>
    <row r="23" spans="1:37" s="1580" customFormat="1" ht="18" customHeight="1">
      <c r="A23" s="1110" t="s">
        <v>1002</v>
      </c>
      <c r="B23" s="306" t="s">
        <v>1416</v>
      </c>
      <c r="C23" s="24">
        <f ca="1">IF('数据-取费表'!B22&lt;=1,ROUND(C19*F24*F23/2,0)+ROUND(C20*F24*F23/2,0),ROUND(C19*(POWER((1+F24),F23/2)-1),0)+ROUND(C20*(POWER((1+F24),F23/2)-1),0))</f>
        <v>947614</v>
      </c>
      <c r="D23" s="333" t="str">
        <f>IF(F23&lt;=1,"(建造成本+管理费用)×利率×(建设周期÷2)","(建造成本+管理费用)×((1+利率)^(建设周期÷2)-1)")</f>
        <v>(建造成本+管理费用)×((1+利率)^(建设周期÷2)-1)</v>
      </c>
      <c r="E23" s="306" t="s">
        <v>1417</v>
      </c>
      <c r="F23" s="329">
        <f>'数据-取费表'!B20</f>
        <v>2</v>
      </c>
      <c r="G23" s="1579"/>
      <c r="H23" s="1110" t="s">
        <v>1043</v>
      </c>
      <c r="I23" s="306" t="s">
        <v>1418</v>
      </c>
      <c r="J23" s="24">
        <f ca="1">ROUND(J13*M23,0)</f>
        <v>0</v>
      </c>
      <c r="K23" s="1527" t="s">
        <v>1419</v>
      </c>
      <c r="L23" s="306" t="s">
        <v>1420</v>
      </c>
      <c r="M23" s="334">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ROUND(J5*M24,0)</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6" t="s">
        <v>1426</v>
      </c>
      <c r="C25" s="24"/>
      <c r="D25" s="134" t="s">
        <v>1427</v>
      </c>
      <c r="E25" s="1543"/>
      <c r="F25" s="26"/>
      <c r="G25" s="1567"/>
      <c r="H25" s="1236" t="s">
        <v>999</v>
      </c>
      <c r="I25" s="1251" t="s">
        <v>1428</v>
      </c>
      <c r="J25" s="314">
        <f ca="1">J5-J16</f>
        <v>-456170</v>
      </c>
      <c r="K25" s="1252" t="s">
        <v>1429</v>
      </c>
      <c r="L25" s="1253"/>
      <c r="M25" s="1254"/>
    </row>
    <row r="26" spans="1:37" ht="18" customHeight="1">
      <c r="A26" s="1110" t="s">
        <v>1002</v>
      </c>
      <c r="B26" s="306" t="s">
        <v>1430</v>
      </c>
      <c r="C26" s="24">
        <f ca="1">ROUND((C19+C20)*F26,0)</f>
        <v>598493</v>
      </c>
      <c r="D26" s="327" t="s">
        <v>1431</v>
      </c>
      <c r="E26" s="317" t="s">
        <v>1432</v>
      </c>
      <c r="F26" s="316">
        <f ca="1">INDIRECT("'数据-取费表'!q"&amp;$G$1)</f>
        <v>0.03</v>
      </c>
      <c r="G26" s="1567"/>
      <c r="H26" s="303" t="s">
        <v>1000</v>
      </c>
      <c r="I26" s="304" t="s">
        <v>1433</v>
      </c>
      <c r="J26" s="305">
        <f ca="1">IF(J5&lt;&gt;0,ROUND(J25*(1-((1+M28)/(1+M26))^M27)/(M26-M28),0),0)</f>
        <v>0</v>
      </c>
      <c r="K26" s="328" t="s">
        <v>1434</v>
      </c>
      <c r="L26" s="306" t="s">
        <v>1435</v>
      </c>
      <c r="M26" s="316">
        <f ca="1">INDIRECT("'数据-取费表'!I"&amp;$G$1)</f>
        <v>0.05</v>
      </c>
    </row>
    <row r="27" spans="1:37" ht="18" customHeight="1">
      <c r="A27" s="1110" t="s">
        <v>1004</v>
      </c>
      <c r="B27" s="306" t="s">
        <v>1436</v>
      </c>
      <c r="C27" s="24">
        <f ca="1">ROUND(F21*F26,4)</f>
        <v>5.9999999999999995E-4</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23236266</v>
      </c>
      <c r="D29" s="1249"/>
      <c r="E29" s="1247"/>
      <c r="F29" s="1250"/>
      <c r="G29" s="1579"/>
      <c r="H29" s="338" t="s">
        <v>1001</v>
      </c>
      <c r="I29" s="339" t="s">
        <v>1444</v>
      </c>
      <c r="J29" s="340">
        <f ca="1">ROUND(J26/(1+F40)^F41,0)</f>
        <v>0</v>
      </c>
      <c r="K29" s="341" t="s">
        <v>1445</v>
      </c>
      <c r="L29" s="342"/>
      <c r="M29" s="343">
        <f ca="1">INDIRECT("'数据-取费表'!k"&amp;$G$1)</f>
        <v>7889.71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470530</v>
      </c>
      <c r="D30" s="1244" t="s">
        <v>1390</v>
      </c>
      <c r="E30" s="1245"/>
      <c r="F30" s="1201"/>
      <c r="G30" s="1567"/>
      <c r="H30" s="2925"/>
      <c r="I30" s="1581"/>
      <c r="J30" s="1582"/>
      <c r="K30" s="2700"/>
      <c r="L30" s="2926"/>
      <c r="M30" s="2927"/>
    </row>
    <row r="31" spans="1:37" ht="18" customHeight="1">
      <c r="A31" s="1110" t="s">
        <v>1003</v>
      </c>
      <c r="B31" s="306" t="s">
        <v>1394</v>
      </c>
      <c r="C31" s="2533">
        <f ca="1">ROUND(IF(AND(项目基本情况!B11="自然人",项目基本情况!B10="北京市"),C6*F31/(1+'数据-取费表'!C42),C32+C33+C34),0)</f>
        <v>194464</v>
      </c>
      <c r="D31" s="1528" t="s">
        <v>1395</v>
      </c>
      <c r="E31" s="1527" t="s">
        <v>1446</v>
      </c>
      <c r="F31" s="2532" t="str">
        <f>IF(项目基本情况!B11="企业","——",IF('数据-取费表'!B10="住宅",IF(F6*F7*F8/12/(1+'数据-取费表'!F30)&gt;100000,4%,2.5%),IF(F6*F7*F8/12/(1+'数据-取费表'!F30)&gt;100000,12%,7%)))</f>
        <v>——</v>
      </c>
      <c r="G31" s="1567"/>
      <c r="H31" s="3038" t="s">
        <v>3059</v>
      </c>
      <c r="I31" s="1581"/>
      <c r="J31" s="1582"/>
      <c r="K31" s="2700"/>
      <c r="L31" s="2926"/>
      <c r="M31" s="2927"/>
    </row>
    <row r="32" spans="1:37" ht="18" customHeight="1">
      <c r="A32" s="1110" t="s">
        <v>1002</v>
      </c>
      <c r="B32" s="306" t="s">
        <v>1398</v>
      </c>
      <c r="C32" s="24">
        <f ca="1">IF(项目基本情况!B11="自然人","——",ROUND(C6*F32/(1+'数据-取费表'!C42),0))</f>
        <v>52768</v>
      </c>
      <c r="D32" s="1527" t="s">
        <v>1399</v>
      </c>
      <c r="E32" s="306" t="s">
        <v>1387</v>
      </c>
      <c r="F32" s="335">
        <f>'数据-取费表'!B41</f>
        <v>5.6000000000000001E-2</v>
      </c>
      <c r="G32" s="1567"/>
      <c r="H32" s="2925"/>
      <c r="I32" s="1581"/>
      <c r="J32" s="1582"/>
      <c r="K32" s="2700"/>
      <c r="L32" s="2926"/>
      <c r="M32" s="2927"/>
    </row>
    <row r="33" spans="1:18" ht="18" customHeight="1">
      <c r="A33" s="1110" t="s">
        <v>1004</v>
      </c>
      <c r="B33" s="306" t="s">
        <v>1402</v>
      </c>
      <c r="C33" s="24">
        <f ca="1">IF(项目基本情况!B11="自然人","——",IF(D33="按租金收入计税",ROUND(C6*F33/(1+'数据-取费表'!C42),0),IF(D33="按房产原值计税",ROUND(C29*F33*0.7,0),INDIRECT("'数据-取费表'!Aj"&amp;$G$1))))</f>
        <v>113074</v>
      </c>
      <c r="D33" s="1553" t="s">
        <v>3089</v>
      </c>
      <c r="E33" s="306" t="s">
        <v>1387</v>
      </c>
      <c r="F33" s="326">
        <f>IF(D33="按票据","——",IF(D33="按租金收入计税",'数据-取费表'!B51,'数据-取费表'!B50))</f>
        <v>0.12</v>
      </c>
      <c r="G33" s="1567"/>
      <c r="H33" s="2928"/>
      <c r="I33" s="1581"/>
      <c r="J33" s="1582"/>
      <c r="K33" s="2929"/>
      <c r="L33" s="2928"/>
      <c r="M33" s="2928"/>
    </row>
    <row r="34" spans="1:18" ht="18" customHeight="1">
      <c r="A34" s="1198" t="s">
        <v>1354</v>
      </c>
      <c r="B34" s="158" t="s">
        <v>1406</v>
      </c>
      <c r="C34" s="25">
        <f ca="1">IF(项目基本情况!B11="自然人","——",ROUND(F34*F35,))</f>
        <v>28622</v>
      </c>
      <c r="D34" s="328" t="s">
        <v>1407</v>
      </c>
      <c r="E34" s="306" t="s">
        <v>1408</v>
      </c>
      <c r="F34" s="329">
        <f>'数据-取费表'!B52</f>
        <v>30</v>
      </c>
      <c r="G34" s="1567"/>
      <c r="H34" s="2925"/>
      <c r="I34" s="1581"/>
      <c r="J34" s="1582"/>
      <c r="K34" s="2930"/>
      <c r="L34" s="2931"/>
      <c r="M34" s="2931"/>
    </row>
    <row r="35" spans="1:18" ht="18" customHeight="1">
      <c r="A35" s="1260"/>
      <c r="B35" s="1258"/>
      <c r="C35" s="29"/>
      <c r="D35" s="331"/>
      <c r="E35" s="306" t="s">
        <v>1412</v>
      </c>
      <c r="F35" s="307">
        <f ca="1">INDIRECT("'数据-取费表'!r"&amp;$G$1)</f>
        <v>954.07</v>
      </c>
      <c r="G35" s="1567"/>
      <c r="H35" s="2925"/>
      <c r="I35" s="1581"/>
      <c r="J35" s="1582"/>
      <c r="K35" s="2929"/>
      <c r="L35" s="2928"/>
      <c r="M35" s="2928"/>
    </row>
    <row r="36" spans="1:18" ht="18" customHeight="1">
      <c r="A36" s="1259" t="s">
        <v>1007</v>
      </c>
      <c r="B36" s="306" t="s">
        <v>1414</v>
      </c>
      <c r="C36" s="24">
        <f ca="1">ROUND(C29*F36,0)</f>
        <v>232363</v>
      </c>
      <c r="D36" s="1527" t="s">
        <v>1447</v>
      </c>
      <c r="E36" s="306" t="s">
        <v>1387</v>
      </c>
      <c r="F36" s="332">
        <f ca="1">INDIRECT("'数据-取费表'!Ak"&amp;$G$1)</f>
        <v>0.01</v>
      </c>
      <c r="G36" s="1567"/>
      <c r="H36" s="2928"/>
      <c r="I36" s="1581"/>
      <c r="J36" s="1582"/>
      <c r="K36" s="2769"/>
      <c r="L36" s="2928"/>
      <c r="M36" s="2928"/>
    </row>
    <row r="37" spans="1:18" ht="18" customHeight="1">
      <c r="A37" s="1110" t="s">
        <v>1043</v>
      </c>
      <c r="B37" s="306" t="s">
        <v>1418</v>
      </c>
      <c r="C37" s="24">
        <f ca="1">ROUND(C13*F37,0)</f>
        <v>33809</v>
      </c>
      <c r="D37" s="1527" t="s">
        <v>1419</v>
      </c>
      <c r="E37" s="306" t="s">
        <v>1420</v>
      </c>
      <c r="F37" s="334">
        <f ca="1">INDIRECT("'数据-取费表'!Al"&amp;$G$1)</f>
        <v>1.5E-3</v>
      </c>
      <c r="G37" s="1567"/>
      <c r="H37" s="2928"/>
      <c r="I37" s="1581"/>
      <c r="J37" s="1582"/>
      <c r="K37" s="2769"/>
      <c r="L37" s="2928"/>
      <c r="M37" s="2928"/>
    </row>
    <row r="38" spans="1:18" ht="18" customHeight="1" thickBot="1">
      <c r="A38" s="1246" t="s">
        <v>1358</v>
      </c>
      <c r="B38" s="1247" t="s">
        <v>1404</v>
      </c>
      <c r="C38" s="1248">
        <f ca="1">ROUND(C5*F38,1)</f>
        <v>9894</v>
      </c>
      <c r="D38" s="1249" t="s">
        <v>1424</v>
      </c>
      <c r="E38" s="1247" t="s">
        <v>1420</v>
      </c>
      <c r="F38" s="1243">
        <f ca="1">INDIRECT("'数据-取费表'!Am"&amp;$G$1)</f>
        <v>0.01</v>
      </c>
      <c r="G38" s="1567"/>
      <c r="H38" s="2928"/>
      <c r="I38" s="1581"/>
      <c r="J38" s="1582"/>
      <c r="K38" s="2932"/>
      <c r="L38" s="2928"/>
      <c r="M38" s="2928"/>
    </row>
    <row r="39" spans="1:18" ht="24.6" customHeight="1" thickTop="1">
      <c r="A39" s="1236" t="s">
        <v>999</v>
      </c>
      <c r="B39" s="1251" t="s">
        <v>1448</v>
      </c>
      <c r="C39" s="314">
        <f ca="1">C5-C30</f>
        <v>518870</v>
      </c>
      <c r="D39" s="1252" t="s">
        <v>1449</v>
      </c>
      <c r="E39" s="1253"/>
      <c r="F39" s="1254"/>
      <c r="G39" s="1567"/>
      <c r="H39" s="2928"/>
      <c r="I39" s="1581"/>
      <c r="J39" s="1582"/>
      <c r="K39" s="2932"/>
      <c r="L39" s="2928"/>
      <c r="M39" s="2928"/>
    </row>
    <row r="40" spans="1:18" ht="18" customHeight="1">
      <c r="A40" s="303" t="s">
        <v>1000</v>
      </c>
      <c r="B40" s="304" t="s">
        <v>1450</v>
      </c>
      <c r="C40" s="305">
        <f ca="1">ROUND(C39*(1-((1+F42)/(1+F40))^F41)/(F40-F42),0)</f>
        <v>10999440</v>
      </c>
      <c r="D40" s="328" t="s">
        <v>1434</v>
      </c>
      <c r="E40" s="306" t="s">
        <v>1435</v>
      </c>
      <c r="F40" s="316">
        <f ca="1">INDIRECT("'数据-取费表'!I"&amp;$G$1)</f>
        <v>0.05</v>
      </c>
      <c r="G40" s="1567"/>
      <c r="H40" s="1644"/>
      <c r="I40" s="1581"/>
      <c r="J40" s="1582"/>
      <c r="K40" s="2932"/>
      <c r="L40" s="1644"/>
      <c r="M40" s="1644"/>
    </row>
    <row r="41" spans="1:18" ht="18" customHeight="1">
      <c r="A41" s="308"/>
      <c r="B41" s="309"/>
      <c r="C41" s="310"/>
      <c r="D41" s="336" t="s">
        <v>1451</v>
      </c>
      <c r="E41" s="306" t="s">
        <v>1439</v>
      </c>
      <c r="F41" s="337">
        <f ca="1">IF(INDIRECT("'数据-取费表'!af"&amp;$G$1)=0,INDIRECT("'数据-取费表'!ae"&amp;$G$1),INDIRECT("'数据-取费表'!af"&amp;$G$1))</f>
        <v>34.86</v>
      </c>
      <c r="G41" s="1567"/>
      <c r="H41" s="1350"/>
      <c r="I41" s="1581"/>
      <c r="J41" s="1582"/>
      <c r="K41" s="2769"/>
      <c r="L41" s="1350"/>
      <c r="M41" s="1350"/>
    </row>
    <row r="42" spans="1:18" ht="18" customHeight="1">
      <c r="A42" s="312"/>
      <c r="B42" s="313"/>
      <c r="C42" s="314"/>
      <c r="D42" s="331"/>
      <c r="E42" s="306" t="s">
        <v>1442</v>
      </c>
      <c r="F42" s="316">
        <f ca="1">INDIRECT("'数据-取费表'!v"&amp;$G$1)</f>
        <v>0.02</v>
      </c>
      <c r="G42" s="1567"/>
      <c r="H42" s="1350"/>
      <c r="I42" s="1581"/>
      <c r="J42" s="1582"/>
      <c r="K42" s="2769"/>
      <c r="L42" s="1350"/>
      <c r="M42" s="1350"/>
    </row>
    <row r="43" spans="1:18" ht="18" customHeight="1" thickBot="1">
      <c r="A43" s="338" t="s">
        <v>1001</v>
      </c>
      <c r="B43" s="339" t="s">
        <v>1452</v>
      </c>
      <c r="C43" s="340">
        <f ca="1">ROUND(C40/F43,0)</f>
        <v>1394</v>
      </c>
      <c r="D43" s="341" t="s">
        <v>1453</v>
      </c>
      <c r="E43" s="342" t="s">
        <v>1454</v>
      </c>
      <c r="F43" s="343">
        <f ca="1">INDIRECT("'数据-取费表'!k"&amp;$G$1)</f>
        <v>7889.71</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-58625594</v>
      </c>
      <c r="D45" s="1656" t="s">
        <v>1569</v>
      </c>
      <c r="E45" s="1583"/>
      <c r="F45" s="1583"/>
      <c r="O45" s="1586" t="s">
        <v>1484</v>
      </c>
      <c r="P45" s="1644"/>
      <c r="Q45" s="1644"/>
      <c r="R45" s="1644"/>
    </row>
    <row r="46" spans="1:18" s="1567" customFormat="1" ht="13.5" thickBot="1">
      <c r="A46" s="1587" t="s">
        <v>1485</v>
      </c>
      <c r="C46" s="1588">
        <f ca="1">ROUND(C45/10000,0)</f>
        <v>-5863</v>
      </c>
      <c r="D46" s="1589" t="str">
        <f>C2</f>
        <v>万元</v>
      </c>
      <c r="I46" s="1590" t="s">
        <v>1486</v>
      </c>
      <c r="J46" s="1591"/>
      <c r="K46" s="1592"/>
      <c r="L46" s="1593">
        <f ca="1">IF(M47="住宅",0,IF(L48&gt;J51,L60,J60))</f>
        <v>540936</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3090</v>
      </c>
      <c r="K47" s="1599" t="s">
        <v>1492</v>
      </c>
      <c r="L47" s="1600">
        <f ca="1">INDIRECT("'数据-取费表'!d"&amp;$G$1)</f>
        <v>40</v>
      </c>
      <c r="M47" s="1563" t="str">
        <f>IF(ISNUMBER(FIND("住宅",C1)),"住宅","非住宅")</f>
        <v>非住宅</v>
      </c>
      <c r="O47" s="1601" t="s">
        <v>1008</v>
      </c>
      <c r="P47" s="1602" t="s">
        <v>1493</v>
      </c>
      <c r="Q47" s="1603">
        <f ca="1">C40+J29</f>
        <v>10999440</v>
      </c>
      <c r="R47" s="1603" t="s">
        <v>1494</v>
      </c>
    </row>
    <row r="48" spans="1:18" s="1567" customFormat="1" ht="28.5" thickBot="1">
      <c r="A48" s="1267" t="s">
        <v>1103</v>
      </c>
      <c r="B48" s="304" t="s">
        <v>1366</v>
      </c>
      <c r="C48" s="1542">
        <f ca="1">C49+C53+C55</f>
        <v>0</v>
      </c>
      <c r="D48" s="1269"/>
      <c r="E48" s="1270"/>
      <c r="F48" s="1090"/>
      <c r="G48" s="728"/>
      <c r="H48" s="729"/>
      <c r="I48" s="1604" t="s">
        <v>1495</v>
      </c>
      <c r="J48" s="1605" t="s">
        <v>3091</v>
      </c>
      <c r="K48" s="1606" t="s">
        <v>1496</v>
      </c>
      <c r="L48" s="1607">
        <f ca="1">INDIRECT("'数据-取费表'!f"&amp;$G$1)</f>
        <v>34.86</v>
      </c>
      <c r="O48" s="1601" t="s">
        <v>1009</v>
      </c>
      <c r="P48" s="1602" t="s">
        <v>1497</v>
      </c>
      <c r="Q48" s="1603">
        <f ca="1">J60</f>
        <v>540936</v>
      </c>
      <c r="R48" s="1603" t="s">
        <v>1498</v>
      </c>
    </row>
    <row r="49" spans="1:18" s="1567" customFormat="1" ht="13.5" thickBot="1">
      <c r="A49" s="1103" t="s">
        <v>1104</v>
      </c>
      <c r="B49" s="1554" t="s">
        <v>1455</v>
      </c>
      <c r="C49" s="1271">
        <f ca="1">ROUND(F49*F51*F50*(1-F52),0)</f>
        <v>0</v>
      </c>
      <c r="D49" s="1183" t="s">
        <v>1369</v>
      </c>
      <c r="E49" s="1555" t="s">
        <v>1456</v>
      </c>
      <c r="F49" s="1188"/>
      <c r="G49" s="1608"/>
      <c r="H49" s="729"/>
      <c r="I49" s="1604" t="s">
        <v>1499</v>
      </c>
      <c r="J49" s="1609">
        <v>2018</v>
      </c>
      <c r="K49" s="1606" t="s">
        <v>1500</v>
      </c>
      <c r="L49" s="1610"/>
      <c r="O49" s="1611" t="s">
        <v>1010</v>
      </c>
      <c r="P49" s="1602" t="s">
        <v>1501</v>
      </c>
      <c r="Q49" s="1603">
        <f ca="1">C29</f>
        <v>23236266</v>
      </c>
      <c r="R49" s="1603" t="s">
        <v>1494</v>
      </c>
    </row>
    <row r="50" spans="1:18" s="1567" customFormat="1" ht="13.5" thickBot="1">
      <c r="A50" s="1104"/>
      <c r="B50" s="1107"/>
      <c r="C50" s="1108"/>
      <c r="D50" s="1081"/>
      <c r="E50" s="1184" t="s">
        <v>1371</v>
      </c>
      <c r="F50" s="1185">
        <f ca="1">F7</f>
        <v>194</v>
      </c>
      <c r="H50" s="729"/>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5"/>
      <c r="B51" s="1107"/>
      <c r="C51" s="1108"/>
      <c r="D51" s="1081"/>
      <c r="E51" s="1109" t="s">
        <v>1372</v>
      </c>
      <c r="F51" s="307">
        <f ca="1">F8</f>
        <v>12</v>
      </c>
      <c r="I51" s="1615" t="s">
        <v>1505</v>
      </c>
      <c r="J51" s="1616">
        <f>IF(J49="",J50,J49+J50-YEAR('数据-取费表'!B2))</f>
        <v>58</v>
      </c>
      <c r="K51" s="1617" t="s">
        <v>1506</v>
      </c>
      <c r="L51" s="1618">
        <f ca="1">ROUND(-PV(INDIRECT("'数据-取费表'!h"&amp;$G$1),J51,(C39-C13*C76),0),0)</f>
        <v>-26317446</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34.86</v>
      </c>
      <c r="R52" s="1603" t="s">
        <v>1511</v>
      </c>
    </row>
    <row r="53" spans="1:18" s="1567" customFormat="1" ht="30.75" customHeight="1" thickBot="1">
      <c r="A53" s="1268" t="s">
        <v>1105</v>
      </c>
      <c r="B53" s="327" t="s">
        <v>1374</v>
      </c>
      <c r="C53" s="320">
        <f ca="1">ROUND(IF(F53="押一",C49/12*F11,IF(F53="押二",C49/12*2*F11,IF(F53="押三",C49/12*3*F11,C54*F11))),0)</f>
        <v>0</v>
      </c>
      <c r="D53" s="1549" t="s">
        <v>2861</v>
      </c>
      <c r="E53" s="317" t="s">
        <v>1375</v>
      </c>
      <c r="F53" s="1273"/>
      <c r="I53" s="1622" t="s">
        <v>1512</v>
      </c>
      <c r="J53" s="2385">
        <f ca="1">IF(M47="住宅",IF(D1="——",MAX(J51,L48),MAX(J51,L48-'数据-取费表'!B24)),IF(D1="——",MIN(J51,L48),MIN(J51,L48-'数据-取费表'!B24)))</f>
        <v>34.86</v>
      </c>
      <c r="K53" s="3357" t="s">
        <v>1513</v>
      </c>
      <c r="L53" s="3358"/>
      <c r="O53" s="1601" t="s">
        <v>1014</v>
      </c>
      <c r="P53" s="1602" t="s">
        <v>1514</v>
      </c>
      <c r="Q53" s="1603">
        <f ca="1">Q47+Q48</f>
        <v>11540376</v>
      </c>
      <c r="R53" s="1603" t="s">
        <v>1015</v>
      </c>
    </row>
    <row r="54" spans="1:18" s="1567" customFormat="1" ht="13.5" thickBot="1">
      <c r="A54" s="1103"/>
      <c r="B54" s="1657" t="s">
        <v>1568</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f ca="1">ROUND(IF(J47="钢混",J57/J50,1-(1-2%)*(J50-J57)/J50),3)</f>
        <v>0.38600000000000001</v>
      </c>
      <c r="K55" s="1628" t="s">
        <v>1517</v>
      </c>
      <c r="L55" s="1629"/>
      <c r="O55" s="1594" t="s">
        <v>1487</v>
      </c>
      <c r="P55" s="1595" t="s">
        <v>1488</v>
      </c>
      <c r="Q55" s="1596" t="s">
        <v>1489</v>
      </c>
      <c r="R55" s="1596" t="s">
        <v>1490</v>
      </c>
    </row>
    <row r="56" spans="1:18" s="1567" customFormat="1" ht="36" customHeight="1" thickTop="1" thickBot="1">
      <c r="A56" s="1085">
        <v>2</v>
      </c>
      <c r="B56" s="1086" t="s">
        <v>1379</v>
      </c>
      <c r="C56" s="236">
        <f ca="1">C13</f>
        <v>22539178</v>
      </c>
      <c r="D56" s="1630"/>
      <c r="E56" s="1631"/>
      <c r="F56" s="1623"/>
      <c r="I56" s="1632" t="s">
        <v>1519</v>
      </c>
      <c r="J56" s="1633" t="s">
        <v>3092</v>
      </c>
      <c r="K56" s="1604" t="s">
        <v>1520</v>
      </c>
      <c r="L56" s="1607" t="str">
        <f ca="1">IF(L48&lt;J51,"——",L48-J51)</f>
        <v>——</v>
      </c>
      <c r="O56" s="1601" t="s">
        <v>1008</v>
      </c>
      <c r="P56" s="1602" t="s">
        <v>1493</v>
      </c>
      <c r="Q56" s="1603">
        <f ca="1">C40+J29</f>
        <v>10999440</v>
      </c>
      <c r="R56" s="1603" t="s">
        <v>1494</v>
      </c>
    </row>
    <row r="57" spans="1:18" s="1567" customFormat="1" ht="24.75" thickBot="1">
      <c r="A57" s="1634"/>
      <c r="B57" s="1078" t="s">
        <v>1443</v>
      </c>
      <c r="C57" s="242">
        <f ca="1">C29</f>
        <v>23236266</v>
      </c>
      <c r="D57" s="1635"/>
      <c r="E57" s="1636"/>
      <c r="F57" s="1637"/>
      <c r="I57" s="1638" t="s">
        <v>1521</v>
      </c>
      <c r="J57" s="1639">
        <f ca="1">IF(OR(M47="住宅",J51&lt;L48,J56="是"),"——",J51-L48)</f>
        <v>23.14</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19" t="s">
        <v>998</v>
      </c>
      <c r="B58" s="1086" t="s">
        <v>1389</v>
      </c>
      <c r="C58" s="320">
        <f ca="1">ROUND(C59+C64+C65+C66,0)</f>
        <v>2246640</v>
      </c>
      <c r="D58" s="1088" t="s">
        <v>1390</v>
      </c>
      <c r="E58" s="1089"/>
      <c r="F58" s="1090"/>
      <c r="I58" s="1638" t="s">
        <v>1525</v>
      </c>
      <c r="J58" s="1640">
        <f ca="1">IF(J55&lt;0.4,0.4,J55)</f>
        <v>0.4</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1980468</v>
      </c>
      <c r="D59" s="1091" t="s">
        <v>1395</v>
      </c>
      <c r="E59" s="1092" t="s">
        <v>1396</v>
      </c>
      <c r="F59" s="2532" t="str">
        <f>IF(项目基本情况!B11="企业","——",IF('数据-取费表'!B10="住宅",IF(F49*F50*F51/12/(1+'数据-取费表'!F30)&gt;100000,4%,2.5%),IF(F49*F50*F51/12/(1+'数据-取费表'!F30)&gt;100000,12%,7%)))</f>
        <v>——</v>
      </c>
      <c r="I59" s="1638" t="s">
        <v>1528</v>
      </c>
      <c r="J59" s="1639">
        <f ca="1">IF(OR(M47="住宅",J51&lt;L48,J56="是"),"——",ROUND(C29*J58,0))</f>
        <v>9294506</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IF(项目基本情况!B11="自然人","——",ROUND(C48*F60/(1+'数据-取费表'!C42),0))</f>
        <v>0</v>
      </c>
      <c r="D60" s="1092" t="s">
        <v>1399</v>
      </c>
      <c r="E60" s="1078" t="s">
        <v>1387</v>
      </c>
      <c r="F60" s="335">
        <f t="shared" ref="F60:F66" si="0">F32</f>
        <v>5.6000000000000001E-2</v>
      </c>
      <c r="I60" s="1641" t="s">
        <v>1530</v>
      </c>
      <c r="J60" s="1642">
        <f ca="1">IF(OR(M47="住宅",J51&lt;L48,J56="是"),"0",ROUND(J59/(1+J52)^J53,0))</f>
        <v>540936</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IF(项目基本情况!B11="自然人","——",IF(D61="按租金收入计税",ROUND(C48*F61,0),IF(D61="按房产原值计税",ROUND(C57*F61*0.7,0),INDIRECT("'数据-取费表'!Aj"&amp;$G$1))))</f>
        <v>1951846</v>
      </c>
      <c r="D61" s="1553" t="s">
        <v>1403</v>
      </c>
      <c r="E61" s="1078" t="s">
        <v>1459</v>
      </c>
      <c r="F61" s="326">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5">
        <f ca="1">IF(项目基本情况!B11="自然人","——",ROUND(F62*F63,0))</f>
        <v>28622</v>
      </c>
      <c r="D62" s="1093" t="s">
        <v>1462</v>
      </c>
      <c r="E62" s="1078" t="s">
        <v>1463</v>
      </c>
      <c r="F62" s="329">
        <f t="shared" si="0"/>
        <v>30</v>
      </c>
      <c r="I62" s="1645" t="s">
        <v>1535</v>
      </c>
      <c r="J62" s="1646" t="s">
        <v>1536</v>
      </c>
      <c r="K62" s="1646" t="s">
        <v>1537</v>
      </c>
      <c r="L62" s="1646" t="s">
        <v>1538</v>
      </c>
      <c r="M62" s="1647" t="s">
        <v>1539</v>
      </c>
      <c r="O62" s="1601" t="s">
        <v>1014</v>
      </c>
      <c r="P62" s="1602" t="s">
        <v>1540</v>
      </c>
      <c r="Q62" s="1603">
        <f ca="1">Q56+Q57</f>
        <v>10999440</v>
      </c>
      <c r="R62" s="1603" t="s">
        <v>1015</v>
      </c>
    </row>
    <row r="63" spans="1:18" s="1567" customFormat="1" ht="13.5" thickBot="1">
      <c r="A63" s="330"/>
      <c r="B63" s="1084"/>
      <c r="C63" s="29"/>
      <c r="D63" s="1094"/>
      <c r="E63" s="1078" t="s">
        <v>1464</v>
      </c>
      <c r="F63" s="307">
        <f t="shared" ca="1" si="0"/>
        <v>954.07</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ROUND(C57*F64,0)</f>
        <v>232363</v>
      </c>
      <c r="D64" s="1092" t="s">
        <v>1467</v>
      </c>
      <c r="E64" s="1078" t="s">
        <v>1459</v>
      </c>
      <c r="F64" s="332">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ROUND(C56*F65,0)</f>
        <v>33809</v>
      </c>
      <c r="D65" s="1092" t="s">
        <v>1419</v>
      </c>
      <c r="E65" s="1078" t="s">
        <v>1420</v>
      </c>
      <c r="F65" s="334">
        <f t="shared" ca="1" si="0"/>
        <v>1.5E-3</v>
      </c>
      <c r="I65" s="1645" t="s">
        <v>1544</v>
      </c>
      <c r="J65" s="1646">
        <v>40</v>
      </c>
      <c r="K65" s="1646">
        <v>30</v>
      </c>
      <c r="L65" s="1646">
        <v>50</v>
      </c>
      <c r="M65" s="1648">
        <v>0.02</v>
      </c>
      <c r="O65" s="1601" t="s">
        <v>1008</v>
      </c>
      <c r="P65" s="1602" t="s">
        <v>1545</v>
      </c>
      <c r="Q65" s="1603">
        <f ca="1">C40+J29</f>
        <v>10999440</v>
      </c>
      <c r="R65" s="1603" t="s">
        <v>1494</v>
      </c>
    </row>
    <row r="66" spans="1:18" s="1567" customFormat="1" ht="16.5" thickBot="1">
      <c r="A66" s="1110" t="s">
        <v>1469</v>
      </c>
      <c r="B66" s="1078" t="s">
        <v>1404</v>
      </c>
      <c r="C66" s="24">
        <f ca="1">ROUND(C48*F66,0)</f>
        <v>0</v>
      </c>
      <c r="D66" s="1092" t="s">
        <v>1470</v>
      </c>
      <c r="E66" s="1078" t="s">
        <v>1387</v>
      </c>
      <c r="F66" s="316">
        <f t="shared" ca="1" si="0"/>
        <v>0.01</v>
      </c>
      <c r="O66" s="1601" t="s">
        <v>1009</v>
      </c>
      <c r="P66" s="1602" t="s">
        <v>1523</v>
      </c>
      <c r="Q66" s="1603">
        <f ca="1">L60</f>
        <v>0</v>
      </c>
      <c r="R66" s="1603" t="s">
        <v>1546</v>
      </c>
    </row>
    <row r="67" spans="1:18" s="1567" customFormat="1" ht="16.5" thickBot="1">
      <c r="A67" s="1085" t="s">
        <v>999</v>
      </c>
      <c r="B67" s="1095" t="s">
        <v>1428</v>
      </c>
      <c r="C67" s="320">
        <f ca="1">C48-C58</f>
        <v>-2246640</v>
      </c>
      <c r="D67" s="1091" t="s">
        <v>1429</v>
      </c>
      <c r="E67" s="1096"/>
      <c r="F67" s="1097"/>
      <c r="O67" s="1611" t="s">
        <v>1010</v>
      </c>
      <c r="P67" s="1602" t="s">
        <v>1527</v>
      </c>
      <c r="Q67" s="1649">
        <f ca="1">L51</f>
        <v>-26317446</v>
      </c>
      <c r="R67" s="1603" t="s">
        <v>1547</v>
      </c>
    </row>
    <row r="68" spans="1:18" s="1567" customFormat="1" ht="16.5" thickBot="1">
      <c r="A68" s="1075" t="s">
        <v>1000</v>
      </c>
      <c r="B68" s="1076" t="s">
        <v>1450</v>
      </c>
      <c r="C68" s="305">
        <f ca="1">ROUND(C67*(1-((1+F70)/(1+F68))^F69)/(F68-F70),0)</f>
        <v>-47626154</v>
      </c>
      <c r="D68" s="1093" t="s">
        <v>1434</v>
      </c>
      <c r="E68" s="1078" t="s">
        <v>1435</v>
      </c>
      <c r="F68" s="316">
        <f ca="1">F40</f>
        <v>0.05</v>
      </c>
      <c r="O68" s="1611" t="s">
        <v>1011</v>
      </c>
      <c r="P68" s="1650" t="s">
        <v>1548</v>
      </c>
      <c r="Q68" s="1603">
        <f ca="1">ROUND(Q69-Q70*Q71,0)</f>
        <v>-1284264</v>
      </c>
      <c r="R68" s="1603" t="s">
        <v>1019</v>
      </c>
    </row>
    <row r="69" spans="1:18" s="1567" customFormat="1" ht="13.5" thickBot="1">
      <c r="A69" s="1079"/>
      <c r="B69" s="1080"/>
      <c r="C69" s="310"/>
      <c r="D69" s="1098" t="s">
        <v>1438</v>
      </c>
      <c r="E69" s="1078" t="s">
        <v>1439</v>
      </c>
      <c r="F69" s="337">
        <f ca="1">F41</f>
        <v>34.86</v>
      </c>
      <c r="O69" s="1611" t="s">
        <v>1016</v>
      </c>
      <c r="P69" s="1650" t="s">
        <v>1549</v>
      </c>
      <c r="Q69" s="1603">
        <f ca="1">C39</f>
        <v>518870</v>
      </c>
      <c r="R69" s="1603" t="s">
        <v>1494</v>
      </c>
    </row>
    <row r="70" spans="1:18" s="1567" customFormat="1" ht="13.5" thickBot="1">
      <c r="A70" s="1082"/>
      <c r="B70" s="1083"/>
      <c r="C70" s="314"/>
      <c r="D70" s="1094"/>
      <c r="E70" s="1078" t="s">
        <v>1442</v>
      </c>
      <c r="F70" s="1182">
        <f ca="1">F42</f>
        <v>0.02</v>
      </c>
      <c r="O70" s="1611" t="s">
        <v>1017</v>
      </c>
      <c r="P70" s="1650" t="s">
        <v>1550</v>
      </c>
      <c r="Q70" s="1603">
        <f ca="1">C13</f>
        <v>22539178</v>
      </c>
      <c r="R70" s="1603" t="s">
        <v>1494</v>
      </c>
    </row>
    <row r="71" spans="1:18" s="1567" customFormat="1" ht="13.5" thickBot="1">
      <c r="A71" s="1099" t="s">
        <v>1001</v>
      </c>
      <c r="B71" s="1100" t="s">
        <v>1452</v>
      </c>
      <c r="C71" s="340">
        <f ca="1">ROUND(C68/F71,0)</f>
        <v>-6036</v>
      </c>
      <c r="D71" s="1101" t="s">
        <v>1453</v>
      </c>
      <c r="E71" s="1102" t="s">
        <v>1454</v>
      </c>
      <c r="F71" s="343">
        <f ca="1">F43</f>
        <v>7889.71</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4" t="s">
        <v>1471</v>
      </c>
      <c r="C75" s="345">
        <f ca="1">ROUND(C13*C76,0)</f>
        <v>1803134</v>
      </c>
      <c r="D75" s="1567"/>
      <c r="E75" s="1567"/>
      <c r="F75" s="1567"/>
      <c r="K75" s="1585"/>
      <c r="L75" s="1567"/>
      <c r="O75" s="1601" t="s">
        <v>1014</v>
      </c>
      <c r="P75" s="1602" t="s">
        <v>1514</v>
      </c>
      <c r="Q75" s="1603">
        <f ca="1">Q65+Q66</f>
        <v>10999440</v>
      </c>
      <c r="R75" s="1603" t="s">
        <v>1015</v>
      </c>
    </row>
    <row r="76" spans="1:18">
      <c r="B76" s="346" t="s">
        <v>1472</v>
      </c>
      <c r="C76" s="347">
        <f ca="1">INDIRECT("'数据-取费表'!j"&amp;$G$1)</f>
        <v>0.08</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-2.4750000000000001</v>
      </c>
    </row>
    <row r="80" spans="1:18">
      <c r="B80" s="344" t="s">
        <v>1476</v>
      </c>
      <c r="C80" s="278">
        <f ca="1">ROUND(C75/C39,3)</f>
        <v>3.4750000000000001</v>
      </c>
    </row>
    <row r="81" spans="2:3">
      <c r="B81" s="274" t="s">
        <v>1477</v>
      </c>
      <c r="C81" s="242"/>
    </row>
    <row r="82" spans="2:3">
      <c r="B82" s="277" t="s">
        <v>1478</v>
      </c>
      <c r="C82" s="279">
        <f ca="1">1-C83</f>
        <v>-1.0489999999999999</v>
      </c>
    </row>
    <row r="83" spans="2:3">
      <c r="B83" s="277" t="s">
        <v>1479</v>
      </c>
      <c r="C83" s="278">
        <f ca="1">ROUND(C13/C40,3)</f>
        <v>2.0489999999999999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23991</v>
      </c>
      <c r="C2" s="2057" t="s">
        <v>2341</v>
      </c>
      <c r="D2" s="2058" t="s">
        <v>2342</v>
      </c>
      <c r="E2" s="2832">
        <f>SUM(E6:E13)</f>
        <v>23006.27</v>
      </c>
      <c r="F2" s="2935"/>
      <c r="G2" s="1673"/>
      <c r="H2" s="1673"/>
      <c r="I2" s="1673"/>
      <c r="J2" s="1673"/>
      <c r="K2" s="1673"/>
      <c r="L2" s="1673"/>
      <c r="M2" s="1673"/>
      <c r="N2" s="1673"/>
      <c r="O2" s="1673"/>
      <c r="P2" s="1673"/>
      <c r="Q2" s="1673"/>
      <c r="R2" s="1673"/>
      <c r="S2" s="1673"/>
    </row>
    <row r="3" spans="1:22" ht="15.75">
      <c r="A3" s="2055" t="s">
        <v>1360</v>
      </c>
      <c r="B3" s="2826">
        <f ca="1">ROUND(B2*10000/E2,0)</f>
        <v>10428</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73" t="s">
        <v>2344</v>
      </c>
      <c r="C5" s="3374"/>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22837</v>
      </c>
      <c r="C6" s="2057" t="s">
        <v>2341</v>
      </c>
      <c r="D6" s="2937"/>
      <c r="E6" s="2831">
        <f>IF(OR(A6=0,F6="否"),0,'数据-取费表'!K6+'数据-取费表'!S6)</f>
        <v>15116.56</v>
      </c>
      <c r="F6" s="2061" t="s">
        <v>2347</v>
      </c>
      <c r="G6" s="1673"/>
      <c r="H6" s="1673"/>
      <c r="I6" s="1673"/>
      <c r="J6" s="1673"/>
      <c r="K6" s="1673"/>
      <c r="L6" s="1673"/>
      <c r="M6" s="1673"/>
      <c r="N6" s="1673"/>
      <c r="O6" s="1673"/>
      <c r="P6" s="1673"/>
      <c r="Q6" s="1673"/>
      <c r="R6" s="1673"/>
      <c r="S6" s="1673"/>
    </row>
    <row r="7" spans="1:22">
      <c r="A7" s="2829" t="str">
        <f>'数据-取费表'!AN7</f>
        <v>收益法 (元)</v>
      </c>
      <c r="B7" s="2827">
        <f ca="1">IF(F7="是",'数据-取费表'!AO7,0)</f>
        <v>1154</v>
      </c>
      <c r="C7" s="2057" t="s">
        <v>2341</v>
      </c>
      <c r="D7" s="2937"/>
      <c r="E7" s="2831">
        <f>IF(OR(A7=0,F7="否"),0,'数据-取费表'!K7+'数据-取费表'!S7)</f>
        <v>7889.71</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53"/>
      <c r="C1" s="202"/>
      <c r="D1" s="202"/>
      <c r="E1" s="202"/>
      <c r="F1" s="202"/>
      <c r="G1" s="1285">
        <f>MATCH(B1,'数据-取费表'!A6:A16,0)+5</f>
        <v>8</v>
      </c>
    </row>
    <row r="2" spans="1:9" s="204" customFormat="1" ht="18" customHeight="1">
      <c r="A2" s="205" t="s">
        <v>2149</v>
      </c>
      <c r="B2" s="206">
        <f ca="1">IF(D2="——",C52,C52-E2)</f>
        <v>16683</v>
      </c>
      <c r="C2" s="203" t="s">
        <v>2150</v>
      </c>
      <c r="D2" s="2038" t="s">
        <v>70</v>
      </c>
      <c r="E2" s="1328" t="e">
        <f ca="1">SUMIF(INDIRECT("'"&amp;G2&amp;"'"&amp;"!A:A"),"承租人权益价值",INDIRECT("'"&amp;G2&amp;"'"&amp;"!c:c"))</f>
        <v>#REF!</v>
      </c>
      <c r="F2" s="2039" t="s">
        <v>2150</v>
      </c>
      <c r="G2" s="2040"/>
    </row>
    <row r="3" spans="1:9" s="204" customFormat="1" ht="18" customHeight="1" thickBot="1">
      <c r="A3" s="207" t="s">
        <v>2151</v>
      </c>
      <c r="B3" s="208">
        <f ca="1">ROUND(B2*10000/(IF(B1="",'数据-汇总表'!E3,INDIRECT("'数据-取费表'!k"&amp;$G$1))),0)</f>
        <v>7252</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C6+C7+C8</f>
        <v>6037</v>
      </c>
      <c r="D5" s="215" t="s">
        <v>2156</v>
      </c>
      <c r="E5" s="216" t="s">
        <v>2157</v>
      </c>
      <c r="F5" s="216" t="s">
        <v>2158</v>
      </c>
      <c r="G5" s="217"/>
    </row>
    <row r="6" spans="1:9" s="218" customFormat="1" ht="13.5" customHeight="1">
      <c r="A6" s="883" t="s">
        <v>2159</v>
      </c>
      <c r="B6" s="219" t="s">
        <v>2160</v>
      </c>
      <c r="C6" s="220">
        <f>'土地比较法-住宅、综合'!B2</f>
        <v>5802</v>
      </c>
      <c r="D6" s="221"/>
      <c r="E6" s="222"/>
      <c r="F6" s="222"/>
      <c r="G6" s="223"/>
    </row>
    <row r="7" spans="1:9" s="218" customFormat="1" ht="13.5" customHeight="1">
      <c r="A7" s="883" t="s">
        <v>2161</v>
      </c>
      <c r="B7" s="219" t="s">
        <v>2162</v>
      </c>
      <c r="C7" s="224">
        <f>ROUND(C6*F7,0)</f>
        <v>235</v>
      </c>
      <c r="D7" s="224"/>
      <c r="E7" s="222"/>
      <c r="F7" s="225">
        <f>IF(项目基本情况!B8="出让",0,'数据-取费表'!B48+'数据-取费表'!B49)</f>
        <v>4.0500000000000001E-2</v>
      </c>
      <c r="G7" s="223"/>
    </row>
    <row r="8" spans="1:9" s="227" customFormat="1">
      <c r="A8" s="883" t="s">
        <v>2163</v>
      </c>
      <c r="B8" s="219" t="s">
        <v>2164</v>
      </c>
      <c r="C8" s="3466">
        <f>IF(G8="已包含在土地购买价格中","0",IF(B1="",'数据-取费表'!B29,IF(G9="全部缴纳",C9+C10,H9)))</f>
        <v>0</v>
      </c>
      <c r="D8" s="226"/>
      <c r="E8" s="224"/>
      <c r="F8" s="225"/>
      <c r="G8" s="2041" t="s">
        <v>3186</v>
      </c>
    </row>
    <row r="9" spans="1:9" s="218" customFormat="1" ht="13.5" customHeight="1">
      <c r="A9" s="884" t="s">
        <v>800</v>
      </c>
      <c r="B9" s="228" t="s">
        <v>2165</v>
      </c>
      <c r="C9" s="229">
        <f ca="1">ROUND(D9*E9/10000,0)</f>
        <v>0</v>
      </c>
      <c r="D9" s="951">
        <f ca="1">IF(B1="",'数据-汇总表'!E5,IF(INDIRECT("'数据-取费表'!c"&amp;$G$1)="住宅",INDIRECT("'数据-取费表'!k"&amp;$G$1),0))</f>
        <v>0</v>
      </c>
      <c r="E9" s="229">
        <f>'数据-取费表'!B27</f>
        <v>128</v>
      </c>
      <c r="F9" s="225"/>
      <c r="G9" s="2042" t="s">
        <v>3187</v>
      </c>
      <c r="H9" s="1296"/>
      <c r="I9" s="2043" t="s">
        <v>2166</v>
      </c>
    </row>
    <row r="10" spans="1:9" s="218" customFormat="1" ht="13.5" customHeight="1">
      <c r="A10" s="884" t="s">
        <v>801</v>
      </c>
      <c r="B10" s="228" t="s">
        <v>2167</v>
      </c>
      <c r="C10" s="229">
        <f ca="1">ROUND(D10*E10/10000,0)</f>
        <v>248</v>
      </c>
      <c r="D10" s="951">
        <f ca="1">IF(B1="",'数据-汇总表'!E6,IF(INDIRECT("'数据-取费表'!c"&amp;$G$1)="住宅",INDIRECT("'数据-取费表'!s"&amp;$G$1),INDIRECT("'数据-取费表'!k"&amp;$G$1)+INDIRECT("'数据-取费表'!s"&amp;$G$1)))</f>
        <v>23006.27</v>
      </c>
      <c r="E10" s="229">
        <f>'数据-取费表'!B28</f>
        <v>108</v>
      </c>
      <c r="F10" s="225"/>
      <c r="G10" s="230"/>
    </row>
    <row r="11" spans="1:9" s="218" customFormat="1" ht="13.5" hidden="1" customHeight="1">
      <c r="A11" s="231" t="s">
        <v>7</v>
      </c>
      <c r="B11" s="219" t="s">
        <v>2168</v>
      </c>
      <c r="C11" s="215"/>
      <c r="D11" s="953"/>
      <c r="E11" s="222"/>
      <c r="F11" s="222"/>
      <c r="G11" s="223"/>
    </row>
    <row r="12" spans="1:9" s="218" customFormat="1" ht="13.5" hidden="1" customHeight="1">
      <c r="A12" s="231" t="s">
        <v>8</v>
      </c>
      <c r="B12" s="219" t="s">
        <v>2169</v>
      </c>
      <c r="C12" s="215">
        <v>0</v>
      </c>
      <c r="D12" s="953"/>
      <c r="E12" s="232"/>
      <c r="F12" s="225">
        <v>3.0499999999999999E-2</v>
      </c>
      <c r="G12" s="223"/>
    </row>
    <row r="13" spans="1:9" s="218" customFormat="1" ht="13.5" hidden="1" customHeight="1">
      <c r="A13" s="231" t="s">
        <v>9</v>
      </c>
      <c r="B13" s="219" t="s">
        <v>2170</v>
      </c>
      <c r="C13" s="215"/>
      <c r="D13" s="953"/>
      <c r="E13" s="222"/>
      <c r="F13" s="222"/>
      <c r="G13" s="223"/>
    </row>
    <row r="14" spans="1:9" s="218" customFormat="1" ht="13.5" hidden="1" customHeight="1">
      <c r="A14" s="231" t="s">
        <v>10</v>
      </c>
      <c r="B14" s="219" t="s">
        <v>2171</v>
      </c>
      <c r="C14" s="215"/>
      <c r="D14" s="953"/>
      <c r="E14" s="222"/>
      <c r="F14" s="222"/>
      <c r="G14" s="223" t="s">
        <v>2172</v>
      </c>
    </row>
    <row r="15" spans="1:9" s="218" customFormat="1" ht="13.5" hidden="1" customHeight="1">
      <c r="A15" s="231" t="s">
        <v>11</v>
      </c>
      <c r="B15" s="219" t="s">
        <v>2173</v>
      </c>
      <c r="C15" s="224"/>
      <c r="D15" s="953"/>
      <c r="E15" s="222"/>
      <c r="F15" s="222"/>
      <c r="G15" s="223" t="s">
        <v>2174</v>
      </c>
    </row>
    <row r="16" spans="1:9" s="218" customFormat="1" ht="13.5" hidden="1" customHeight="1">
      <c r="A16" s="231" t="s">
        <v>12</v>
      </c>
      <c r="B16" s="219" t="s">
        <v>2171</v>
      </c>
      <c r="C16" s="224"/>
      <c r="D16" s="953"/>
      <c r="E16" s="222"/>
      <c r="F16" s="222"/>
      <c r="G16" s="223"/>
    </row>
    <row r="17" spans="1:7" s="218" customFormat="1" ht="13.5" hidden="1" customHeight="1">
      <c r="A17" s="231" t="s">
        <v>13</v>
      </c>
      <c r="B17" s="219" t="s">
        <v>2175</v>
      </c>
      <c r="C17" s="233"/>
      <c r="D17" s="954"/>
      <c r="E17" s="233"/>
      <c r="F17" s="233"/>
      <c r="G17" s="223" t="s">
        <v>2174</v>
      </c>
    </row>
    <row r="18" spans="1:7" s="218" customFormat="1" ht="13.5" hidden="1" customHeight="1">
      <c r="A18" s="231" t="s">
        <v>14</v>
      </c>
      <c r="B18" s="219" t="s">
        <v>2176</v>
      </c>
      <c r="C18" s="224">
        <v>0</v>
      </c>
      <c r="D18" s="953"/>
      <c r="E18" s="222"/>
      <c r="F18" s="225">
        <v>3.0499999999999999E-2</v>
      </c>
      <c r="G18" s="223" t="s">
        <v>2177</v>
      </c>
    </row>
    <row r="19" spans="1:7" s="227" customFormat="1" ht="13.5" customHeight="1">
      <c r="A19" s="259" t="s">
        <v>2178</v>
      </c>
      <c r="B19" s="214" t="s">
        <v>2179</v>
      </c>
      <c r="C19" s="215" t="str">
        <f>IF(G19="已包含在土地取得成本中","0",ROUND(D19*E19/10000,0))</f>
        <v>0</v>
      </c>
      <c r="D19" s="955">
        <f ca="1">D9+D10</f>
        <v>23006.27</v>
      </c>
      <c r="E19" s="215">
        <f>'数据-取费表'!B31</f>
        <v>180</v>
      </c>
      <c r="F19" s="235"/>
      <c r="G19" s="2041" t="s">
        <v>3188</v>
      </c>
    </row>
    <row r="20" spans="1:7" s="218" customFormat="1" ht="13.5" customHeight="1">
      <c r="A20" s="259" t="s">
        <v>2180</v>
      </c>
      <c r="B20" s="214" t="s">
        <v>2181</v>
      </c>
      <c r="C20" s="236">
        <f>ROUND((C5+C19)*F20,0)</f>
        <v>121</v>
      </c>
      <c r="D20" s="236"/>
      <c r="E20" s="236"/>
      <c r="F20" s="237">
        <f>'数据-取费表'!B37</f>
        <v>0.02</v>
      </c>
      <c r="G20" s="238" t="s">
        <v>2182</v>
      </c>
    </row>
    <row r="21" spans="1:7" s="218" customFormat="1" ht="13.5" customHeight="1">
      <c r="A21" s="259" t="s">
        <v>2183</v>
      </c>
      <c r="B21" s="214" t="s">
        <v>2184</v>
      </c>
      <c r="C21" s="239">
        <f>F21</f>
        <v>0.02</v>
      </c>
      <c r="D21" s="240" t="s">
        <v>2185</v>
      </c>
      <c r="E21" s="236"/>
      <c r="F21" s="237">
        <f>'数据-取费表'!B38</f>
        <v>0.02</v>
      </c>
      <c r="G21" s="238" t="s">
        <v>2186</v>
      </c>
    </row>
    <row r="22" spans="1:7" s="218" customFormat="1" ht="13.5" customHeight="1">
      <c r="A22" s="259" t="s">
        <v>2187</v>
      </c>
      <c r="B22" s="214" t="s">
        <v>2188</v>
      </c>
      <c r="C22" s="1261">
        <f ca="1">ROUND(SUM(C23:C25),0)</f>
        <v>593</v>
      </c>
      <c r="D22" s="239">
        <f ca="1">C26</f>
        <v>1E-3</v>
      </c>
      <c r="E22" s="240" t="s">
        <v>2185</v>
      </c>
      <c r="F22" s="241">
        <f ca="1">'数据-取费表'!B40</f>
        <v>4.7500000000000001E-2</v>
      </c>
      <c r="G22" s="238" t="str">
        <f>IF('数据-取费表'!B22&lt;=1,"单利计息","复利计息")</f>
        <v>复利计息</v>
      </c>
    </row>
    <row r="23" spans="1:7" s="218" customFormat="1" ht="13.5" customHeight="1">
      <c r="A23" s="885" t="s">
        <v>2189</v>
      </c>
      <c r="B23" s="219" t="s">
        <v>2190</v>
      </c>
      <c r="C23" s="1262">
        <f ca="1">ROUND(IF('数据-取费表'!B22&lt;=1,C5*F22*'数据-取费表'!B23,C5*(POWER((1+F22),'数据-取费表'!B23)-1)),0)</f>
        <v>587</v>
      </c>
      <c r="D23" s="242"/>
      <c r="E23" s="242"/>
      <c r="F23" s="243"/>
      <c r="G23" s="244" t="s">
        <v>2191</v>
      </c>
    </row>
    <row r="24" spans="1:7" s="218" customFormat="1" ht="13.5" customHeight="1">
      <c r="A24" s="885" t="s">
        <v>2192</v>
      </c>
      <c r="B24" s="219" t="s">
        <v>2193</v>
      </c>
      <c r="C24" s="1262">
        <f ca="1">ROUND(IF('数据-取费表'!B22&lt;=1,C19*F22*('数据-取费表'!B19/2+'数据-取费表'!B21),C19*(POWER((1+F22),('数据-取费表'!B19/2+'数据-取费表'!B21))-1)),0)</f>
        <v>0</v>
      </c>
      <c r="D24" s="242"/>
      <c r="E24" s="242"/>
      <c r="F24" s="243"/>
      <c r="G24" s="244" t="s">
        <v>2194</v>
      </c>
    </row>
    <row r="25" spans="1:7" s="218" customFormat="1" ht="24">
      <c r="A25" s="885" t="s">
        <v>2195</v>
      </c>
      <c r="B25" s="219" t="s">
        <v>2196</v>
      </c>
      <c r="C25" s="1262">
        <f ca="1">ROUND(IF('数据-取费表'!B22&lt;=1,C20*F22*'数据-取费表'!B23/2,C20*(POWER((1+F22),'数据-取费表'!B23/2)-1)),0)</f>
        <v>6</v>
      </c>
      <c r="D25" s="242"/>
      <c r="E25" s="245"/>
      <c r="F25" s="243"/>
      <c r="G25" s="246" t="s">
        <v>2197</v>
      </c>
    </row>
    <row r="26" spans="1:7" s="218" customFormat="1">
      <c r="A26" s="885" t="s">
        <v>795</v>
      </c>
      <c r="B26" s="219" t="s">
        <v>2198</v>
      </c>
      <c r="C26" s="242">
        <f ca="1">ROUND(IF('数据-取费表'!B22&lt;=1,F21*F22*'数据-取费表'!B23/2,F21*(POWER((1+F22),'数据-取费表'!B23/2)-1)),4)</f>
        <v>1E-3</v>
      </c>
      <c r="D26" s="242"/>
      <c r="E26" s="245"/>
      <c r="F26" s="243"/>
      <c r="G26" s="247"/>
    </row>
    <row r="27" spans="1:7" s="218" customFormat="1" ht="24.75">
      <c r="A27" s="259" t="s">
        <v>2199</v>
      </c>
      <c r="B27" s="248" t="s">
        <v>2200</v>
      </c>
      <c r="C27" s="249">
        <f ca="1">C28</f>
        <v>677</v>
      </c>
      <c r="D27" s="239">
        <f ca="1">C29</f>
        <v>2.2000000000000001E-3</v>
      </c>
      <c r="E27" s="240" t="s">
        <v>2201</v>
      </c>
      <c r="F27" s="250">
        <f ca="1">IF(B1="",'数据-取费表'!Q16,INDIRECT("'数据-取费表'!q"&amp;$G$1))</f>
        <v>0.11</v>
      </c>
      <c r="G27" s="251" t="s">
        <v>2202</v>
      </c>
    </row>
    <row r="28" spans="1:7" s="218" customFormat="1" ht="13.5" customHeight="1">
      <c r="A28" s="885" t="s">
        <v>791</v>
      </c>
      <c r="B28" s="252" t="s">
        <v>2203</v>
      </c>
      <c r="C28" s="253">
        <f ca="1">ROUND((C5+C19+C20)*F27*'数据-取费表'!B21/'数据-取费表'!B20,0)</f>
        <v>677</v>
      </c>
      <c r="D28" s="239"/>
      <c r="E28" s="240"/>
      <c r="F28" s="250"/>
      <c r="G28" s="251"/>
    </row>
    <row r="29" spans="1:7" s="218" customFormat="1" ht="13.5" customHeight="1">
      <c r="A29" s="885" t="s">
        <v>792</v>
      </c>
      <c r="B29" s="252" t="s">
        <v>2204</v>
      </c>
      <c r="C29" s="242">
        <f ca="1">ROUND(C21*F27*'数据-取费表'!B21/'数据-取费表'!B20,4)</f>
        <v>2.2000000000000001E-3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8043</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6967</v>
      </c>
      <c r="D33" s="236"/>
      <c r="E33" s="216"/>
      <c r="F33" s="245"/>
      <c r="G33" s="238"/>
    </row>
    <row r="34" spans="1:7" s="262" customFormat="1" ht="13.5" customHeight="1">
      <c r="A34" s="885" t="s">
        <v>791</v>
      </c>
      <c r="B34" s="219" t="s">
        <v>2212</v>
      </c>
      <c r="C34" s="224">
        <f ca="1">IF(B1="",IF(F34=100%,'数据-取费表'!M16,'数据-取费表'!O16),IF(F34=100%,INDIRECT("'数据-取费表'!m"&amp;$G$1)+INDIRECT("'数据-取费表'!t"&amp;$G$1),INDIRECT("'数据-取费表'!o"&amp;$G$1)+INDIRECT("'数据-取费表'!aq"&amp;$G$1)))</f>
        <v>6271</v>
      </c>
      <c r="D34" s="221"/>
      <c r="E34" s="224"/>
      <c r="F34" s="261">
        <f ca="1">IF('数据-取费表'!B24=0,1,IF(B1="",'数据-取费表'!N16,INDIRECT("'数据-取费表'!n"&amp;$G$1)))</f>
        <v>1</v>
      </c>
      <c r="G34" s="223" t="s">
        <v>2213</v>
      </c>
    </row>
    <row r="35" spans="1:7" ht="13.5" customHeight="1">
      <c r="A35" s="885" t="s">
        <v>796</v>
      </c>
      <c r="B35" s="219" t="s">
        <v>2214</v>
      </c>
      <c r="C35" s="224">
        <f ca="1">ROUND(C34*F35,0)</f>
        <v>188</v>
      </c>
      <c r="D35" s="224"/>
      <c r="E35" s="224"/>
      <c r="F35" s="263">
        <f>'数据-取费表'!B33</f>
        <v>0.03</v>
      </c>
      <c r="G35" s="223" t="s">
        <v>2215</v>
      </c>
    </row>
    <row r="36" spans="1:7" ht="24">
      <c r="A36" s="885"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2217</v>
      </c>
    </row>
    <row r="37" spans="1:7" s="262" customFormat="1" ht="13.5" customHeight="1">
      <c r="A37" s="885" t="s">
        <v>798</v>
      </c>
      <c r="B37" s="219" t="s">
        <v>2218</v>
      </c>
      <c r="C37" s="253">
        <f ca="1">ROUND(E37*D37*F34/10000,0)</f>
        <v>414</v>
      </c>
      <c r="D37" s="221">
        <f ca="1">D19</f>
        <v>23006.27</v>
      </c>
      <c r="E37" s="253">
        <f>'数据-取费表'!B35</f>
        <v>180</v>
      </c>
      <c r="F37" s="263"/>
      <c r="G37" s="265" t="s">
        <v>2219</v>
      </c>
    </row>
    <row r="38" spans="1:7" ht="13.5" customHeight="1">
      <c r="A38" s="885" t="s">
        <v>799</v>
      </c>
      <c r="B38" s="219" t="s">
        <v>2220</v>
      </c>
      <c r="C38" s="224">
        <f ca="1">ROUND(C34*F38,0)</f>
        <v>94</v>
      </c>
      <c r="D38" s="224"/>
      <c r="E38" s="224"/>
      <c r="F38" s="263">
        <f>'数据-取费表'!B36</f>
        <v>1.4999999999999999E-2</v>
      </c>
      <c r="G38" s="223" t="s">
        <v>2215</v>
      </c>
    </row>
    <row r="39" spans="1:7" s="218" customFormat="1" ht="13.5" customHeight="1">
      <c r="A39" s="259" t="s">
        <v>2221</v>
      </c>
      <c r="B39" s="214" t="s">
        <v>2222</v>
      </c>
      <c r="C39" s="236">
        <f ca="1">ROUND(C33*F20,0)</f>
        <v>139</v>
      </c>
      <c r="D39" s="236"/>
      <c r="E39" s="236"/>
      <c r="F39" s="2534">
        <f>F20</f>
        <v>0.02</v>
      </c>
      <c r="G39" s="238" t="s">
        <v>2223</v>
      </c>
    </row>
    <row r="40" spans="1:7" s="218" customFormat="1" ht="13.5" customHeight="1">
      <c r="A40" s="259" t="s">
        <v>2224</v>
      </c>
      <c r="B40" s="214" t="s">
        <v>2225</v>
      </c>
      <c r="C40" s="1494">
        <f>F21</f>
        <v>0.02</v>
      </c>
      <c r="D40" s="240" t="s">
        <v>2226</v>
      </c>
      <c r="E40" s="236"/>
      <c r="F40" s="2534">
        <f>F21</f>
        <v>0.02</v>
      </c>
      <c r="G40" s="238" t="s">
        <v>2227</v>
      </c>
    </row>
    <row r="41" spans="1:7" s="218" customFormat="1" ht="13.5" customHeight="1">
      <c r="A41" s="259" t="s">
        <v>2228</v>
      </c>
      <c r="B41" s="214" t="s">
        <v>2229</v>
      </c>
      <c r="C41" s="236">
        <f ca="1">ROUND(SUM(C42:C43),0)</f>
        <v>338</v>
      </c>
      <c r="D41" s="239">
        <f ca="1">C44</f>
        <v>1E-3</v>
      </c>
      <c r="E41" s="240" t="s">
        <v>2226</v>
      </c>
      <c r="F41" s="2535">
        <f ca="1">F22</f>
        <v>4.7500000000000001E-2</v>
      </c>
      <c r="G41" s="238" t="str">
        <f>IF('数据-取费表'!B22&lt;=1,"单利计息","复利计息")</f>
        <v>复利计息</v>
      </c>
    </row>
    <row r="42" spans="1:7" ht="13.5" customHeight="1">
      <c r="A42" s="885" t="s">
        <v>791</v>
      </c>
      <c r="B42" s="219" t="s">
        <v>2230</v>
      </c>
      <c r="C42" s="242">
        <f ca="1">ROUND(IF('数据-取费表'!B22&lt;=1,C33*F22*'数据-取费表'!B21/2,C33*(POWER((1+F22),'数据-取费表'!B21/2)-1)),0)</f>
        <v>331</v>
      </c>
      <c r="D42" s="242"/>
      <c r="E42" s="242"/>
      <c r="F42" s="243"/>
      <c r="G42" s="3375" t="s">
        <v>2231</v>
      </c>
    </row>
    <row r="43" spans="1:7" ht="13.5" customHeight="1">
      <c r="A43" s="885" t="s">
        <v>792</v>
      </c>
      <c r="B43" s="219" t="s">
        <v>2232</v>
      </c>
      <c r="C43" s="242">
        <f ca="1">ROUND(IF('数据-取费表'!B22&lt;=1,C39*F22*'数据-取费表'!B21/2,C39*(POWER((1+F22),'数据-取费表'!B21/2)-1)),0)</f>
        <v>7</v>
      </c>
      <c r="D43" s="242"/>
      <c r="E43" s="242"/>
      <c r="F43" s="243"/>
      <c r="G43" s="3376"/>
    </row>
    <row r="44" spans="1:7" ht="13.5" customHeight="1">
      <c r="A44" s="885" t="s">
        <v>793</v>
      </c>
      <c r="B44" s="219" t="s">
        <v>2233</v>
      </c>
      <c r="C44" s="242">
        <f ca="1">ROUND(IF('数据-取费表'!B22&lt;=1,C40*F22*'数据-取费表'!B21/2,C40*(POWER((1+F22),'数据-取费表'!B21/2)-1)),4)</f>
        <v>1E-3</v>
      </c>
      <c r="D44" s="242"/>
      <c r="E44" s="242"/>
      <c r="F44" s="243"/>
      <c r="G44" s="3377"/>
    </row>
    <row r="45" spans="1:7" s="218" customFormat="1" ht="13.5" customHeight="1">
      <c r="A45" s="259" t="s">
        <v>2234</v>
      </c>
      <c r="B45" s="248" t="s">
        <v>2200</v>
      </c>
      <c r="C45" s="249">
        <f ca="1">C46</f>
        <v>782</v>
      </c>
      <c r="D45" s="239">
        <f ca="1">C47</f>
        <v>2.2000000000000001E-3</v>
      </c>
      <c r="E45" s="240" t="s">
        <v>2226</v>
      </c>
      <c r="F45" s="2536">
        <f ca="1">F27</f>
        <v>0.11</v>
      </c>
      <c r="G45" s="251" t="s">
        <v>2235</v>
      </c>
    </row>
    <row r="46" spans="1:7" s="218" customFormat="1" ht="13.5" customHeight="1">
      <c r="A46" s="885" t="s">
        <v>791</v>
      </c>
      <c r="B46" s="252" t="s">
        <v>2236</v>
      </c>
      <c r="C46" s="253">
        <f ca="1">ROUND((C33+C39)*F27,0)</f>
        <v>782</v>
      </c>
      <c r="D46" s="267"/>
      <c r="E46" s="240"/>
      <c r="F46" s="250"/>
      <c r="G46" s="251"/>
    </row>
    <row r="47" spans="1:7" s="218" customFormat="1" ht="13.5" customHeight="1">
      <c r="A47" s="885" t="s">
        <v>792</v>
      </c>
      <c r="B47" s="252" t="s">
        <v>2237</v>
      </c>
      <c r="C47" s="242">
        <f ca="1">ROUND(C40*F27,4)</f>
        <v>2.2000000000000001E-3</v>
      </c>
      <c r="D47" s="267"/>
      <c r="E47" s="240"/>
      <c r="F47" s="250"/>
      <c r="G47" s="251"/>
    </row>
    <row r="48" spans="1:7" s="218" customFormat="1" ht="13.5" customHeight="1">
      <c r="A48" s="259" t="s">
        <v>2199</v>
      </c>
      <c r="B48" s="214" t="s">
        <v>2238</v>
      </c>
      <c r="C48" s="1494">
        <f>ROUND(F30/(1+'数据-取费表'!C42),4)</f>
        <v>5.33E-2</v>
      </c>
      <c r="D48" s="240" t="s">
        <v>2226</v>
      </c>
      <c r="E48" s="236"/>
      <c r="F48" s="2535">
        <f>F30</f>
        <v>5.6000000000000001E-2</v>
      </c>
      <c r="G48" s="238" t="s">
        <v>2239</v>
      </c>
    </row>
    <row r="49" spans="1:7" ht="16.5" customHeight="1">
      <c r="A49" s="259" t="s">
        <v>2205</v>
      </c>
      <c r="B49" s="214" t="s">
        <v>2240</v>
      </c>
      <c r="C49" s="236">
        <f ca="1">ROUND((C33+C39+C41+C45)/(1-C40-D41-D45-C48),0)</f>
        <v>8907</v>
      </c>
      <c r="D49" s="236"/>
      <c r="E49" s="236"/>
      <c r="F49" s="268"/>
      <c r="G49" s="238" t="s">
        <v>2241</v>
      </c>
    </row>
    <row r="50" spans="1:7" s="262" customFormat="1" ht="24">
      <c r="A50" s="259" t="s">
        <v>2242</v>
      </c>
      <c r="B50" s="214" t="s">
        <v>2243</v>
      </c>
      <c r="C50" s="236"/>
      <c r="D50" s="236"/>
      <c r="E50" s="236"/>
      <c r="F50" s="268">
        <f>IF('数据-取费表'!B24=0,'数据-取费表'!N16,1)</f>
        <v>0.97</v>
      </c>
      <c r="G50" s="251" t="s">
        <v>2244</v>
      </c>
    </row>
    <row r="51" spans="1:7" ht="16.5" customHeight="1">
      <c r="A51" s="259" t="s">
        <v>2245</v>
      </c>
      <c r="B51" s="214" t="s">
        <v>2246</v>
      </c>
      <c r="C51" s="236">
        <f ca="1">ROUND(C49*F50,0)</f>
        <v>8640</v>
      </c>
      <c r="D51" s="236"/>
      <c r="E51" s="236"/>
      <c r="F51" s="268"/>
      <c r="G51" s="238" t="s">
        <v>2247</v>
      </c>
    </row>
    <row r="52" spans="1:7" s="212" customFormat="1" ht="16.5" thickBot="1">
      <c r="A52" s="269" t="s">
        <v>2248</v>
      </c>
      <c r="B52" s="270"/>
      <c r="C52" s="271">
        <f ca="1">C31+C51</f>
        <v>16683</v>
      </c>
      <c r="D52" s="270"/>
      <c r="E52" s="270"/>
      <c r="F52" s="270"/>
      <c r="G52" s="272"/>
    </row>
    <row r="55" spans="1:7" ht="15">
      <c r="B55" s="274" t="s">
        <v>2249</v>
      </c>
      <c r="C55" s="275"/>
    </row>
    <row r="56" spans="1:7">
      <c r="B56" s="277" t="s">
        <v>1478</v>
      </c>
      <c r="C56" s="279">
        <f ca="1">1-C57</f>
        <v>0.48199999999999998</v>
      </c>
    </row>
    <row r="57" spans="1:7">
      <c r="B57" s="277" t="s">
        <v>1479</v>
      </c>
      <c r="C57" s="278">
        <f ca="1">ROUND(C51/C52,3)</f>
        <v>0.51800000000000002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9" xr:uid="{00000000-0002-0000-1F00-000003000000}">
      <formula1>"部分缴纳,全部缴纳"</formula1>
    </dataValidation>
    <dataValidation type="list" allowBlank="1" showInputMessage="1" showErrorMessage="1" sqref="G2" xr:uid="{00000000-0002-0000-1F00-000004000000}">
      <formula1>估价方法</formula1>
    </dataValidation>
    <dataValidation type="list" allowBlank="1" showInputMessage="1" showErrorMessage="1" sqref="D2" xr:uid="{00000000-0002-0000-1F00-000005000000}">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2148</v>
      </c>
      <c r="B1" s="1653"/>
      <c r="C1" s="2044" t="s">
        <v>2250</v>
      </c>
      <c r="D1" s="202"/>
      <c r="E1" s="202"/>
      <c r="F1" s="202"/>
      <c r="G1" s="1285">
        <f>MATCH(B1,'数据-取费表'!A6:A16,0)+5</f>
        <v>8</v>
      </c>
      <c r="H1" s="1189" t="str">
        <f>IF(ISERROR(FIND("住宅",B1)),"非住宅","住宅")</f>
        <v>非住宅</v>
      </c>
    </row>
    <row r="2" spans="1:8" s="204" customFormat="1" ht="18" customHeight="1">
      <c r="A2" s="205" t="s">
        <v>2149</v>
      </c>
      <c r="B2" s="206">
        <f ca="1">ROUND(IF(D2="——",C52/10000,C52/10000-E2),0)</f>
        <v>9523</v>
      </c>
      <c r="C2" s="203" t="s">
        <v>2150</v>
      </c>
      <c r="D2" s="2038" t="s">
        <v>70</v>
      </c>
      <c r="E2" s="1328" t="e">
        <f ca="1">SUMIF(INDIRECT("'"&amp;G2&amp;"'"&amp;"!A:A"),"承租人权益价值",INDIRECT("'"&amp;G2&amp;"'"&amp;"!c:c"))</f>
        <v>#REF!</v>
      </c>
      <c r="F2" s="2039" t="s">
        <v>2150</v>
      </c>
      <c r="G2" s="2040"/>
    </row>
    <row r="3" spans="1:8" s="204" customFormat="1" ht="18" customHeight="1" thickBot="1">
      <c r="A3" s="207" t="s">
        <v>2151</v>
      </c>
      <c r="B3" s="208">
        <f ca="1">ROUND(B2*10000/(IF(B1="",'数据-汇总表'!E3,INDIRECT("'数据-取费表'!k"&amp;$G$1))),0)</f>
        <v>4139</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2484677</v>
      </c>
      <c r="D5" s="215" t="s">
        <v>2156</v>
      </c>
      <c r="E5" s="216" t="s">
        <v>2157</v>
      </c>
      <c r="F5" s="216" t="s">
        <v>2158</v>
      </c>
      <c r="G5" s="217"/>
    </row>
    <row r="6" spans="1:8" s="218" customFormat="1" ht="13.5" customHeight="1">
      <c r="A6" s="883" t="s">
        <v>2159</v>
      </c>
      <c r="B6" s="219" t="s">
        <v>2160</v>
      </c>
      <c r="C6" s="220"/>
      <c r="D6" s="221"/>
      <c r="E6" s="222"/>
      <c r="F6" s="222"/>
      <c r="G6" s="223"/>
    </row>
    <row r="7" spans="1:8" s="218" customFormat="1" ht="13.5" customHeight="1">
      <c r="A7" s="883" t="s">
        <v>2161</v>
      </c>
      <c r="B7" s="219" t="s">
        <v>2162</v>
      </c>
      <c r="C7" s="224">
        <f>ROUND(C6*F7,0)</f>
        <v>0</v>
      </c>
      <c r="D7" s="224"/>
      <c r="E7" s="222"/>
      <c r="F7" s="225">
        <f>IF(项目基本情况!B8="出让",0,'数据-取费表'!B48+'数据-取费表'!B49)</f>
        <v>4.0500000000000001E-2</v>
      </c>
      <c r="G7" s="223"/>
    </row>
    <row r="8" spans="1:8" s="227" customFormat="1">
      <c r="A8" s="883" t="s">
        <v>2163</v>
      </c>
      <c r="B8" s="219" t="s">
        <v>2164</v>
      </c>
      <c r="C8" s="224">
        <f ca="1">IF(G8="已包含在土地购买价格中",0,C9+C10)</f>
        <v>2484677</v>
      </c>
      <c r="D8" s="226"/>
      <c r="E8" s="224"/>
      <c r="F8" s="225"/>
      <c r="G8" s="2041"/>
    </row>
    <row r="9" spans="1:8" s="218" customFormat="1" ht="13.5" customHeight="1">
      <c r="A9" s="884" t="s">
        <v>800</v>
      </c>
      <c r="B9" s="228" t="s">
        <v>2165</v>
      </c>
      <c r="C9" s="229">
        <f ca="1">ROUND(D9*E9,0)</f>
        <v>0</v>
      </c>
      <c r="D9" s="951">
        <f ca="1">IF(B1="",'数据-汇总表'!E5,IF(INDIRECT("'数据-取费表'!c"&amp;$G$1)="住宅",INDIRECT("'数据-取费表'!k"&amp;$G$1),0))</f>
        <v>0</v>
      </c>
      <c r="E9" s="229">
        <f>'数据-取费表'!B27</f>
        <v>128</v>
      </c>
      <c r="F9" s="225"/>
      <c r="G9" s="230"/>
    </row>
    <row r="10" spans="1:8" s="218" customFormat="1" ht="13.5" customHeight="1">
      <c r="A10" s="884" t="s">
        <v>801</v>
      </c>
      <c r="B10" s="228" t="s">
        <v>2167</v>
      </c>
      <c r="C10" s="229">
        <f ca="1">ROUND(D10*E10,0)</f>
        <v>2484677</v>
      </c>
      <c r="D10" s="951">
        <f ca="1">IF(B1="",'数据-汇总表'!E6,IF(INDIRECT("'数据-取费表'!c"&amp;$G$1)="住宅",INDIRECT("'数据-取费表'!s"&amp;$G$1),INDIRECT("'数据-取费表'!k"&amp;$G$1)+INDIRECT("'数据-取费表'!s"&amp;$G$1)))</f>
        <v>23006.27</v>
      </c>
      <c r="E10" s="229">
        <f>'数据-取费表'!B28</f>
        <v>108</v>
      </c>
      <c r="F10" s="225"/>
      <c r="G10" s="230"/>
    </row>
    <row r="11" spans="1:8" s="218" customFormat="1" ht="13.5" hidden="1" customHeight="1">
      <c r="A11" s="231" t="s">
        <v>7</v>
      </c>
      <c r="B11" s="219" t="s">
        <v>2168</v>
      </c>
      <c r="C11" s="215"/>
      <c r="D11" s="953"/>
      <c r="E11" s="222"/>
      <c r="F11" s="222"/>
      <c r="G11" s="223"/>
    </row>
    <row r="12" spans="1:8" s="218" customFormat="1" ht="13.5" hidden="1" customHeight="1">
      <c r="A12" s="231" t="s">
        <v>8</v>
      </c>
      <c r="B12" s="219" t="s">
        <v>2251</v>
      </c>
      <c r="C12" s="215">
        <v>0</v>
      </c>
      <c r="D12" s="953"/>
      <c r="E12" s="232"/>
      <c r="F12" s="225">
        <v>3.0499999999999999E-2</v>
      </c>
      <c r="G12" s="223"/>
    </row>
    <row r="13" spans="1:8" s="218" customFormat="1" ht="13.5" hidden="1" customHeight="1">
      <c r="A13" s="231" t="s">
        <v>9</v>
      </c>
      <c r="B13" s="219" t="s">
        <v>2252</v>
      </c>
      <c r="C13" s="215"/>
      <c r="D13" s="953"/>
      <c r="E13" s="222"/>
      <c r="F13" s="222"/>
      <c r="G13" s="223"/>
    </row>
    <row r="14" spans="1:8" s="218" customFormat="1" ht="13.5" hidden="1" customHeight="1">
      <c r="A14" s="231" t="s">
        <v>10</v>
      </c>
      <c r="B14" s="219" t="s">
        <v>2164</v>
      </c>
      <c r="C14" s="215"/>
      <c r="D14" s="953"/>
      <c r="E14" s="222"/>
      <c r="F14" s="222"/>
      <c r="G14" s="223" t="s">
        <v>2253</v>
      </c>
    </row>
    <row r="15" spans="1:8" s="218" customFormat="1" ht="13.5" hidden="1" customHeight="1">
      <c r="A15" s="231" t="s">
        <v>11</v>
      </c>
      <c r="B15" s="219" t="s">
        <v>2254</v>
      </c>
      <c r="C15" s="224"/>
      <c r="D15" s="953"/>
      <c r="E15" s="222"/>
      <c r="F15" s="222"/>
      <c r="G15" s="223" t="s">
        <v>2255</v>
      </c>
    </row>
    <row r="16" spans="1:8" s="218" customFormat="1" ht="13.5" hidden="1" customHeight="1">
      <c r="A16" s="231" t="s">
        <v>12</v>
      </c>
      <c r="B16" s="219" t="s">
        <v>2164</v>
      </c>
      <c r="C16" s="224"/>
      <c r="D16" s="953"/>
      <c r="E16" s="222"/>
      <c r="F16" s="222"/>
      <c r="G16" s="223"/>
    </row>
    <row r="17" spans="1:7" s="218" customFormat="1" ht="13.5" hidden="1" customHeight="1">
      <c r="A17" s="231" t="s">
        <v>13</v>
      </c>
      <c r="B17" s="219" t="s">
        <v>2256</v>
      </c>
      <c r="C17" s="233"/>
      <c r="D17" s="954"/>
      <c r="E17" s="233"/>
      <c r="F17" s="233"/>
      <c r="G17" s="223" t="s">
        <v>2255</v>
      </c>
    </row>
    <row r="18" spans="1:7" s="218" customFormat="1" ht="13.5" hidden="1" customHeight="1">
      <c r="A18" s="231" t="s">
        <v>14</v>
      </c>
      <c r="B18" s="219" t="s">
        <v>2257</v>
      </c>
      <c r="C18" s="224">
        <v>0</v>
      </c>
      <c r="D18" s="953"/>
      <c r="E18" s="222"/>
      <c r="F18" s="225">
        <v>3.0499999999999999E-2</v>
      </c>
      <c r="G18" s="223" t="s">
        <v>2258</v>
      </c>
    </row>
    <row r="19" spans="1:7" s="227" customFormat="1" ht="13.5" customHeight="1">
      <c r="A19" s="259" t="s">
        <v>2259</v>
      </c>
      <c r="B19" s="214" t="s">
        <v>2260</v>
      </c>
      <c r="C19" s="215">
        <f ca="1">IF(G19="已包含在土地取得成本中","0",ROUND(D19*E19,0))</f>
        <v>4141129</v>
      </c>
      <c r="D19" s="955">
        <f ca="1">D9+D10</f>
        <v>23006.27</v>
      </c>
      <c r="E19" s="215">
        <f>'数据-取费表'!B31</f>
        <v>180</v>
      </c>
      <c r="F19" s="235"/>
      <c r="G19" s="2041"/>
    </row>
    <row r="20" spans="1:7" s="218" customFormat="1" ht="13.5" customHeight="1">
      <c r="A20" s="259" t="s">
        <v>2261</v>
      </c>
      <c r="B20" s="214" t="s">
        <v>2262</v>
      </c>
      <c r="C20" s="236">
        <f ca="1">ROUND((C5+C19)*F20,0)</f>
        <v>132516</v>
      </c>
      <c r="D20" s="236"/>
      <c r="E20" s="236"/>
      <c r="F20" s="237">
        <f>'数据-取费表'!B37</f>
        <v>0.02</v>
      </c>
      <c r="G20" s="238" t="s">
        <v>2263</v>
      </c>
    </row>
    <row r="21" spans="1:7" s="218" customFormat="1" ht="13.5" customHeight="1">
      <c r="A21" s="259" t="s">
        <v>2264</v>
      </c>
      <c r="B21" s="214" t="s">
        <v>2265</v>
      </c>
      <c r="C21" s="239">
        <f>F21</f>
        <v>0.02</v>
      </c>
      <c r="D21" s="240" t="s">
        <v>2266</v>
      </c>
      <c r="E21" s="236"/>
      <c r="F21" s="237">
        <f>'数据-取费表'!B38</f>
        <v>0.02</v>
      </c>
      <c r="G21" s="238" t="s">
        <v>2267</v>
      </c>
    </row>
    <row r="22" spans="1:7" s="218" customFormat="1" ht="13.5" customHeight="1">
      <c r="A22" s="259" t="s">
        <v>2268</v>
      </c>
      <c r="B22" s="214" t="s">
        <v>2269</v>
      </c>
      <c r="C22" s="1286">
        <f ca="1">ROUND(SUM(C23:C25),0)</f>
        <v>650696</v>
      </c>
      <c r="D22" s="239">
        <f ca="1">C26</f>
        <v>1E-3</v>
      </c>
      <c r="E22" s="240" t="s">
        <v>2266</v>
      </c>
      <c r="F22" s="241">
        <f ca="1">'数据-取费表'!B40</f>
        <v>4.7500000000000001E-2</v>
      </c>
      <c r="G22" s="238" t="str">
        <f>IF('数据-取费表'!B22&lt;=1,"单利计息","复利计息")</f>
        <v>复利计息</v>
      </c>
    </row>
    <row r="23" spans="1:7" s="218" customFormat="1" ht="13.5" customHeight="1">
      <c r="A23" s="885" t="s">
        <v>2159</v>
      </c>
      <c r="B23" s="219" t="s">
        <v>2270</v>
      </c>
      <c r="C23" s="1287">
        <f ca="1">ROUND(IF('数据-取费表'!B22&lt;=1,C5*F22*'数据-取费表'!B22,C5*(POWER((1+F22),'数据-取费表'!B22)-1)),0)</f>
        <v>241650</v>
      </c>
      <c r="D23" s="242"/>
      <c r="E23" s="242"/>
      <c r="F23" s="243"/>
      <c r="G23" s="244" t="s">
        <v>2271</v>
      </c>
    </row>
    <row r="24" spans="1:7" s="218" customFormat="1" ht="13.5" customHeight="1">
      <c r="A24" s="885" t="s">
        <v>2161</v>
      </c>
      <c r="B24" s="219" t="s">
        <v>2272</v>
      </c>
      <c r="C24" s="1287">
        <f ca="1">ROUND(IF('数据-取费表'!B22&lt;=1,C19*F22*('数据-取费表'!B19/2+'数据-取费表'!B20),C19*(POWER((1+F22),('数据-取费表'!B19/2+'数据-取费表'!B20))-1)),0)</f>
        <v>402751</v>
      </c>
      <c r="D24" s="242"/>
      <c r="E24" s="242"/>
      <c r="F24" s="243"/>
      <c r="G24" s="244" t="s">
        <v>2273</v>
      </c>
    </row>
    <row r="25" spans="1:7" s="218" customFormat="1" ht="24">
      <c r="A25" s="885" t="s">
        <v>2163</v>
      </c>
      <c r="B25" s="219" t="s">
        <v>2274</v>
      </c>
      <c r="C25" s="1287">
        <f ca="1">ROUND(IF('数据-取费表'!B22&lt;=1,C20*F22*'数据-取费表'!B22/2,C20*(POWER((1+F22),'数据-取费表'!B22/2)-1)),0)</f>
        <v>6295</v>
      </c>
      <c r="D25" s="242"/>
      <c r="E25" s="245"/>
      <c r="F25" s="243"/>
      <c r="G25" s="246" t="s">
        <v>2275</v>
      </c>
    </row>
    <row r="26" spans="1:7" s="218" customFormat="1">
      <c r="A26" s="885" t="s">
        <v>795</v>
      </c>
      <c r="B26" s="219" t="s">
        <v>2198</v>
      </c>
      <c r="C26" s="242">
        <f ca="1">ROUND(IF('数据-取费表'!B22&lt;=1,F21*F22*'数据-取费表'!B22/2,F21*(POWER((1+F22),'数据-取费表'!B22/2)-1)),4)</f>
        <v>1E-3</v>
      </c>
      <c r="D26" s="242"/>
      <c r="E26" s="245"/>
      <c r="F26" s="243"/>
      <c r="G26" s="247"/>
    </row>
    <row r="27" spans="1:7" s="218" customFormat="1" ht="24.75">
      <c r="A27" s="259" t="s">
        <v>2199</v>
      </c>
      <c r="B27" s="248" t="s">
        <v>2200</v>
      </c>
      <c r="C27" s="249">
        <f ca="1">C28</f>
        <v>743415</v>
      </c>
      <c r="D27" s="239">
        <f ca="1">C29</f>
        <v>2.2000000000000001E-3</v>
      </c>
      <c r="E27" s="240" t="s">
        <v>2201</v>
      </c>
      <c r="F27" s="250">
        <f ca="1">IF(B1="",'数据-取费表'!Q16,INDIRECT("'数据-取费表'!q"&amp;$G$1))</f>
        <v>0.11</v>
      </c>
      <c r="G27" s="251" t="s">
        <v>2202</v>
      </c>
    </row>
    <row r="28" spans="1:7" s="218" customFormat="1" ht="13.5" customHeight="1">
      <c r="A28" s="885" t="s">
        <v>791</v>
      </c>
      <c r="B28" s="252" t="s">
        <v>2203</v>
      </c>
      <c r="C28" s="253">
        <f ca="1">ROUND((C5+C19+C20)*F27,0)</f>
        <v>743415</v>
      </c>
      <c r="D28" s="239"/>
      <c r="E28" s="240"/>
      <c r="F28" s="250"/>
      <c r="G28" s="251"/>
    </row>
    <row r="29" spans="1:7" s="218" customFormat="1" ht="13.5" customHeight="1">
      <c r="A29" s="885" t="s">
        <v>792</v>
      </c>
      <c r="B29" s="252" t="s">
        <v>2204</v>
      </c>
      <c r="C29" s="242">
        <f ca="1">ROUND(C21*F27,4)</f>
        <v>2.2000000000000001E-3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8827756</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69669988</v>
      </c>
      <c r="D33" s="236"/>
      <c r="E33" s="216"/>
      <c r="F33" s="245"/>
      <c r="G33" s="238"/>
    </row>
    <row r="34" spans="1:7" s="262" customFormat="1" ht="13.5" customHeight="1">
      <c r="A34" s="885" t="s">
        <v>791</v>
      </c>
      <c r="B34" s="219" t="s">
        <v>2212</v>
      </c>
      <c r="C34" s="224">
        <f ca="1">ROUND(IF(B1="",SUMPRODUCT('数据-取费表'!K6:K14,'数据-取费表'!L6:L14),INDIRECT("'数据-取费表'!l"&amp;$G$1)*INDIRECT("'数据-取费表'!k"&amp;$G$1)+'数据-取费表'!L14*INDIRECT("'数据-取费表'!S"&amp;$G$1)),0)</f>
        <v>62707042</v>
      </c>
      <c r="D34" s="221"/>
      <c r="E34" s="224"/>
      <c r="F34" s="261"/>
      <c r="G34" s="223"/>
    </row>
    <row r="35" spans="1:7" ht="13.5" customHeight="1">
      <c r="A35" s="885" t="s">
        <v>796</v>
      </c>
      <c r="B35" s="219" t="s">
        <v>2214</v>
      </c>
      <c r="C35" s="224">
        <f ca="1">ROUND(C34*F35,0)</f>
        <v>1881211</v>
      </c>
      <c r="D35" s="224"/>
      <c r="E35" s="224"/>
      <c r="F35" s="263">
        <f>'数据-取费表'!B33</f>
        <v>0.03</v>
      </c>
      <c r="G35" s="223" t="s">
        <v>2215</v>
      </c>
    </row>
    <row r="36" spans="1:7" ht="24">
      <c r="A36" s="885" t="s">
        <v>797</v>
      </c>
      <c r="B36" s="219" t="s">
        <v>2216</v>
      </c>
      <c r="C36" s="224">
        <f ca="1">ROUND(IF(B1="",SUM('数据-取费表'!AP6:AP13)*F36,IF(INDIRECT("'数据-取费表'!c"&amp;$G$1)="住宅",INDIRECT("'数据-取费表'!k"&amp;$G$1)*INDIRECT("'数据-取费表'!l"&amp;$G$1)*F36,0)),0)</f>
        <v>0</v>
      </c>
      <c r="D36" s="224"/>
      <c r="E36" s="224"/>
      <c r="F36" s="263">
        <f>'数据-取费表'!B34</f>
        <v>0</v>
      </c>
      <c r="G36" s="264" t="s">
        <v>2217</v>
      </c>
    </row>
    <row r="37" spans="1:7" s="262" customFormat="1" ht="13.5" customHeight="1">
      <c r="A37" s="885" t="s">
        <v>798</v>
      </c>
      <c r="B37" s="219" t="s">
        <v>2218</v>
      </c>
      <c r="C37" s="253">
        <f ca="1">ROUND(E37*D37,0)</f>
        <v>4141129</v>
      </c>
      <c r="D37" s="221">
        <f ca="1">D19</f>
        <v>23006.27</v>
      </c>
      <c r="E37" s="253">
        <f>'数据-取费表'!B35</f>
        <v>180</v>
      </c>
      <c r="F37" s="263"/>
      <c r="G37" s="265"/>
    </row>
    <row r="38" spans="1:7" ht="13.5" customHeight="1">
      <c r="A38" s="885" t="s">
        <v>799</v>
      </c>
      <c r="B38" s="219" t="s">
        <v>2220</v>
      </c>
      <c r="C38" s="224">
        <f ca="1">ROUND(C34*F38,0)</f>
        <v>940606</v>
      </c>
      <c r="D38" s="224"/>
      <c r="E38" s="224"/>
      <c r="F38" s="263">
        <f>'数据-取费表'!B36</f>
        <v>1.4999999999999999E-2</v>
      </c>
      <c r="G38" s="223" t="s">
        <v>2215</v>
      </c>
    </row>
    <row r="39" spans="1:7" s="218" customFormat="1" ht="13.5" customHeight="1">
      <c r="A39" s="259" t="s">
        <v>2221</v>
      </c>
      <c r="B39" s="214" t="s">
        <v>2222</v>
      </c>
      <c r="C39" s="236">
        <f ca="1">ROUND(C33*F20,0)</f>
        <v>1393400</v>
      </c>
      <c r="D39" s="236"/>
      <c r="E39" s="236"/>
      <c r="F39" s="2534">
        <f>F20</f>
        <v>0.02</v>
      </c>
      <c r="G39" s="238" t="s">
        <v>2223</v>
      </c>
    </row>
    <row r="40" spans="1:7" s="218" customFormat="1" ht="13.5" customHeight="1">
      <c r="A40" s="259" t="s">
        <v>2224</v>
      </c>
      <c r="B40" s="214" t="s">
        <v>2225</v>
      </c>
      <c r="C40" s="1494">
        <f>F21</f>
        <v>0.02</v>
      </c>
      <c r="D40" s="240" t="s">
        <v>2226</v>
      </c>
      <c r="E40" s="236"/>
      <c r="F40" s="2534">
        <f>F21</f>
        <v>0.02</v>
      </c>
      <c r="G40" s="238" t="s">
        <v>2227</v>
      </c>
    </row>
    <row r="41" spans="1:7" s="218" customFormat="1" ht="13.5" customHeight="1">
      <c r="A41" s="259" t="s">
        <v>2228</v>
      </c>
      <c r="B41" s="214" t="s">
        <v>2229</v>
      </c>
      <c r="C41" s="236">
        <f ca="1">ROUND(SUM(C42:C43),0)</f>
        <v>3375511</v>
      </c>
      <c r="D41" s="239">
        <f ca="1">C44</f>
        <v>1E-3</v>
      </c>
      <c r="E41" s="240" t="s">
        <v>2226</v>
      </c>
      <c r="F41" s="2535">
        <f ca="1">F22</f>
        <v>4.7500000000000001E-2</v>
      </c>
      <c r="G41" s="238" t="str">
        <f>IF('数据-取费表'!B22&lt;=1,"单利计息","复利计息")</f>
        <v>复利计息</v>
      </c>
    </row>
    <row r="42" spans="1:7" ht="13.5" customHeight="1">
      <c r="A42" s="885" t="s">
        <v>791</v>
      </c>
      <c r="B42" s="219" t="s">
        <v>2230</v>
      </c>
      <c r="C42" s="242">
        <f ca="1">ROUND(IF('数据-取费表'!B22&lt;=1,C33*F22*'数据-取费表'!B20/2,C33*(POWER((1+F22),'数据-取费表'!B20/2)-1)),0)</f>
        <v>3309324</v>
      </c>
      <c r="D42" s="242"/>
      <c r="E42" s="242"/>
      <c r="F42" s="243"/>
      <c r="G42" s="3375" t="s">
        <v>2278</v>
      </c>
    </row>
    <row r="43" spans="1:7" ht="13.5" customHeight="1">
      <c r="A43" s="885" t="s">
        <v>792</v>
      </c>
      <c r="B43" s="219" t="s">
        <v>2232</v>
      </c>
      <c r="C43" s="242">
        <f ca="1">ROUND(IF('数据-取费表'!B22&lt;=1,C39*F22*'数据-取费表'!B20/2,C39*(POWER((1+F22),'数据-取费表'!B20/2)-1)),0)</f>
        <v>66187</v>
      </c>
      <c r="D43" s="242"/>
      <c r="E43" s="242"/>
      <c r="F43" s="243"/>
      <c r="G43" s="3376"/>
    </row>
    <row r="44" spans="1:7" ht="13.5" customHeight="1">
      <c r="A44" s="885" t="s">
        <v>793</v>
      </c>
      <c r="B44" s="219" t="s">
        <v>2233</v>
      </c>
      <c r="C44" s="242">
        <f ca="1">ROUND(IF('数据-取费表'!B22&lt;=1,C40*F22*'数据-取费表'!B20/2,C40*(POWER((1+F22),'数据-取费表'!B20/2)-1)),4)</f>
        <v>1E-3</v>
      </c>
      <c r="D44" s="242"/>
      <c r="E44" s="242"/>
      <c r="F44" s="243"/>
      <c r="G44" s="3377"/>
    </row>
    <row r="45" spans="1:7" s="218" customFormat="1" ht="13.5" customHeight="1">
      <c r="A45" s="259" t="s">
        <v>2234</v>
      </c>
      <c r="B45" s="248" t="s">
        <v>2200</v>
      </c>
      <c r="C45" s="249">
        <f ca="1">C46</f>
        <v>7816973</v>
      </c>
      <c r="D45" s="239">
        <f ca="1">C47</f>
        <v>2.2000000000000001E-3</v>
      </c>
      <c r="E45" s="240" t="s">
        <v>2226</v>
      </c>
      <c r="F45" s="2536">
        <f ca="1">F27</f>
        <v>0.11</v>
      </c>
      <c r="G45" s="251" t="s">
        <v>2235</v>
      </c>
    </row>
    <row r="46" spans="1:7" s="218" customFormat="1" ht="13.5" customHeight="1">
      <c r="A46" s="885" t="s">
        <v>791</v>
      </c>
      <c r="B46" s="252" t="s">
        <v>2236</v>
      </c>
      <c r="C46" s="253">
        <f ca="1">ROUND((C33+C39)*F27,0)</f>
        <v>7816973</v>
      </c>
      <c r="D46" s="267"/>
      <c r="E46" s="240"/>
      <c r="F46" s="250"/>
      <c r="G46" s="251"/>
    </row>
    <row r="47" spans="1:7" s="218" customFormat="1" ht="13.5" customHeight="1">
      <c r="A47" s="885" t="s">
        <v>792</v>
      </c>
      <c r="B47" s="252" t="s">
        <v>2237</v>
      </c>
      <c r="C47" s="242">
        <f ca="1">ROUND(C40*F27,4)</f>
        <v>2.2000000000000001E-3</v>
      </c>
      <c r="D47" s="267"/>
      <c r="E47" s="240"/>
      <c r="F47" s="250"/>
      <c r="G47" s="251"/>
    </row>
    <row r="48" spans="1:7" s="218" customFormat="1" ht="13.5" customHeight="1">
      <c r="A48" s="259" t="s">
        <v>2199</v>
      </c>
      <c r="B48" s="214" t="s">
        <v>2238</v>
      </c>
      <c r="C48" s="266">
        <f>ROUND(F30/(1+'数据-取费表'!C42),4)</f>
        <v>5.33E-2</v>
      </c>
      <c r="D48" s="240" t="s">
        <v>2226</v>
      </c>
      <c r="E48" s="236"/>
      <c r="F48" s="2535">
        <f>F30</f>
        <v>5.6000000000000001E-2</v>
      </c>
      <c r="G48" s="238" t="s">
        <v>2239</v>
      </c>
    </row>
    <row r="49" spans="1:7" ht="16.5" customHeight="1">
      <c r="A49" s="259" t="s">
        <v>2205</v>
      </c>
      <c r="B49" s="214" t="s">
        <v>2279</v>
      </c>
      <c r="C49" s="236">
        <f ca="1">ROUND((C33+C39+C41+C45)/(1-C40-D41-D45-C48),0)</f>
        <v>89069704</v>
      </c>
      <c r="D49" s="236"/>
      <c r="E49" s="236"/>
      <c r="F49" s="268"/>
      <c r="G49" s="238" t="s">
        <v>2241</v>
      </c>
    </row>
    <row r="50" spans="1:7" s="262" customFormat="1">
      <c r="A50" s="259" t="s">
        <v>2242</v>
      </c>
      <c r="B50" s="214" t="s">
        <v>2243</v>
      </c>
      <c r="C50" s="236"/>
      <c r="D50" s="236"/>
      <c r="E50" s="236"/>
      <c r="F50" s="268">
        <f>IF('数据-取费表'!B24=0,'数据-取费表'!N16,1)</f>
        <v>0.97</v>
      </c>
      <c r="G50" s="251"/>
    </row>
    <row r="51" spans="1:7" ht="16.5" customHeight="1">
      <c r="A51" s="259" t="s">
        <v>2245</v>
      </c>
      <c r="B51" s="214" t="s">
        <v>2280</v>
      </c>
      <c r="C51" s="236">
        <f ca="1">ROUND(C49*F50,0)</f>
        <v>86397613</v>
      </c>
      <c r="D51" s="236"/>
      <c r="E51" s="236"/>
      <c r="F51" s="268"/>
      <c r="G51" s="238" t="s">
        <v>2247</v>
      </c>
    </row>
    <row r="52" spans="1:7" s="212" customFormat="1" ht="16.5" thickBot="1">
      <c r="A52" s="269" t="s">
        <v>2248</v>
      </c>
      <c r="B52" s="270"/>
      <c r="C52" s="271">
        <f ca="1">C31+C51</f>
        <v>95225369</v>
      </c>
      <c r="D52" s="270"/>
      <c r="E52" s="270"/>
      <c r="F52" s="270"/>
      <c r="G52" s="272"/>
    </row>
    <row r="55" spans="1:7" ht="15">
      <c r="B55" s="274" t="s">
        <v>2249</v>
      </c>
      <c r="C55" s="275"/>
    </row>
    <row r="56" spans="1:7">
      <c r="B56" s="277" t="s">
        <v>1478</v>
      </c>
      <c r="C56" s="279">
        <f ca="1">1-C57</f>
        <v>9.2999999999999972E-2</v>
      </c>
    </row>
    <row r="57" spans="1:7">
      <c r="B57" s="277" t="s">
        <v>1479</v>
      </c>
      <c r="C57" s="278">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2000-000000000000}">
      <formula1>"已包含在土地购买价格中,未包含在土地购买价格中"</formula1>
    </dataValidation>
    <dataValidation type="list" allowBlank="1" showInputMessage="1" showErrorMessage="1" sqref="G19" xr:uid="{00000000-0002-0000-2000-000001000000}">
      <formula1>"已包含在土地取得成本中,未包含在土地取得成本中"</formula1>
    </dataValidation>
    <dataValidation type="list" allowBlank="1" showInputMessage="1" showErrorMessage="1" sqref="B1" xr:uid="{00000000-0002-0000-2000-000002000000}">
      <formula1>项目类型</formula1>
    </dataValidation>
    <dataValidation type="list" allowBlank="1" showInputMessage="1" showErrorMessage="1" sqref="G2" xr:uid="{00000000-0002-0000-2000-000003000000}">
      <formula1>估价方法</formula1>
    </dataValidation>
    <dataValidation type="list" allowBlank="1" showInputMessage="1" showErrorMessage="1" sqref="D2" xr:uid="{00000000-0002-0000-2000-000004000000}">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2281</v>
      </c>
      <c r="B1" s="1350"/>
      <c r="C1" s="1351"/>
      <c r="D1" s="1349"/>
      <c r="E1" s="3036"/>
      <c r="F1" s="3036"/>
      <c r="G1" s="2899"/>
      <c r="H1" s="3036"/>
      <c r="I1" s="3036"/>
      <c r="J1" s="3036"/>
      <c r="K1" s="3037">
        <f>MATCH(C1,'数据-取费表'!A6:A16,0)+5</f>
        <v>8</v>
      </c>
    </row>
    <row r="2" spans="1:33" ht="18" customHeight="1">
      <c r="A2" s="205" t="s">
        <v>2149</v>
      </c>
      <c r="B2" s="208">
        <f ca="1">C32</f>
        <v>-271</v>
      </c>
      <c r="C2" s="280" t="s">
        <v>2282</v>
      </c>
      <c r="D2" s="280"/>
      <c r="E2" s="3036"/>
      <c r="F2" s="3036"/>
      <c r="G2" s="3036"/>
      <c r="H2" s="3036"/>
      <c r="I2" s="3036"/>
      <c r="J2" s="3036"/>
      <c r="K2" s="3036"/>
    </row>
    <row r="3" spans="1:33" ht="18" customHeight="1" thickBot="1">
      <c r="A3" s="207" t="s">
        <v>2151</v>
      </c>
      <c r="B3" s="208">
        <f ca="1">ROUND(B2*10000/IF(C1="",'数据-汇总表'!E3,INDIRECT("'数据-取费表'!K"&amp;$K$1)),0)</f>
        <v>-118</v>
      </c>
      <c r="C3" s="280" t="s">
        <v>2283</v>
      </c>
      <c r="D3" s="280"/>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4" t="s">
        <v>2292</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7"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1301</v>
      </c>
      <c r="B12" s="906" t="s">
        <v>2303</v>
      </c>
      <c r="C12" s="24">
        <f ca="1">ROUND(C11*F12,0)</f>
        <v>0</v>
      </c>
      <c r="D12" s="907"/>
      <c r="E12" s="333"/>
      <c r="F12" s="910">
        <f>'数据-取费表'!B33</f>
        <v>0.03</v>
      </c>
      <c r="G12" s="8" t="s">
        <v>2304</v>
      </c>
      <c r="H12" s="902"/>
      <c r="I12" s="902"/>
      <c r="J12" s="902"/>
      <c r="K12" s="903"/>
    </row>
    <row r="13" spans="1:33" s="909" customFormat="1" ht="13.5" customHeight="1">
      <c r="A13" s="905" t="s">
        <v>1302</v>
      </c>
      <c r="B13" s="906" t="s">
        <v>2305</v>
      </c>
      <c r="C13" s="24">
        <f ca="1">ROUND(IF(C1="",SUMIF('数据-取费表'!C:C,"住宅",'数据-取费表'!P:P)*F13,IF(INDIRECT("'数据-取费表'!c"&amp;$K$1)="住宅",INDIRECT("'数据-取费表'!P"&amp;$K$1)*F13,0)),0)</f>
        <v>0</v>
      </c>
      <c r="D13" s="952"/>
      <c r="E13" s="333"/>
      <c r="F13" s="910">
        <f>'数据-取费表'!B34</f>
        <v>0</v>
      </c>
      <c r="G13" s="8" t="s">
        <v>2306</v>
      </c>
      <c r="H13" s="902"/>
      <c r="I13" s="902"/>
      <c r="J13" s="902"/>
      <c r="K13" s="903"/>
    </row>
    <row r="14" spans="1:33" s="911" customFormat="1" ht="13.5" customHeight="1">
      <c r="A14" s="905" t="s">
        <v>1303</v>
      </c>
      <c r="B14" s="906" t="s">
        <v>2307</v>
      </c>
      <c r="C14" s="24">
        <f ca="1">ROUND(D14*E14*F11/10000,0)</f>
        <v>0</v>
      </c>
      <c r="D14" s="952">
        <f ca="1">IF(C1="",'数据-汇总表'!E3,INDIRECT("'数据-取费表'!K"&amp;$K$1)+INDIRECT("'数据-取费表'!S"&amp;$K$1))</f>
        <v>23006.27</v>
      </c>
      <c r="E14" s="24">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4"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4"/>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4">
        <f ca="1">ROUND(D17*E17/10000,0)</f>
        <v>0</v>
      </c>
      <c r="D17" s="952">
        <f ca="1">D14</f>
        <v>23006.27</v>
      </c>
      <c r="E17" s="24">
        <f>'数据-取费表'!B32</f>
        <v>0</v>
      </c>
      <c r="F17" s="912"/>
      <c r="G17" s="134"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4">
        <f ca="1">C19+C20-IF(C1="",'数据-取费表'!B29,IF(G18="已全部缴纳",C19+C20,H18))</f>
        <v>248</v>
      </c>
      <c r="D18" s="952"/>
      <c r="E18" s="24"/>
      <c r="F18" s="910"/>
      <c r="G18" s="2047"/>
      <c r="H18" s="1346"/>
      <c r="I18" s="2048" t="s">
        <v>2315</v>
      </c>
      <c r="J18" s="913"/>
      <c r="K18" s="914"/>
    </row>
    <row r="19" spans="1:33" s="909" customFormat="1" ht="13.5" customHeight="1">
      <c r="A19" s="905" t="s">
        <v>805</v>
      </c>
      <c r="B19" s="906" t="s">
        <v>2316</v>
      </c>
      <c r="C19" s="24">
        <f ca="1">ROUND(D19*E19/10000,0)</f>
        <v>0</v>
      </c>
      <c r="D19" s="952">
        <f ca="1">IF(C1="",'数据-汇总表'!E5,IF(INDIRECT("'数据-取费表'!c"&amp;$K$1)="住宅",INDIRECT("'数据-取费表'!k"&amp;$K$1),0))</f>
        <v>0</v>
      </c>
      <c r="E19" s="24">
        <f>'数据-取费表'!B27</f>
        <v>128</v>
      </c>
      <c r="F19" s="910"/>
      <c r="G19" s="15"/>
      <c r="H19" s="1348"/>
      <c r="I19" s="915"/>
      <c r="J19" s="915"/>
      <c r="K19" s="916"/>
    </row>
    <row r="20" spans="1:33" s="909" customFormat="1" ht="13.5" customHeight="1">
      <c r="A20" s="905" t="s">
        <v>806</v>
      </c>
      <c r="B20" s="906" t="s">
        <v>2317</v>
      </c>
      <c r="C20" s="24">
        <f ca="1">ROUND(D20*E20/10000,0)</f>
        <v>248</v>
      </c>
      <c r="D20" s="952">
        <f ca="1">IF(C1="",'数据-汇总表'!E6,IF(INDIRECT("'数据-取费表'!c"&amp;$K$1)="住宅",INDIRECT("'数据-取费表'!s"&amp;$K$1),INDIRECT("'数据-取费表'!k"&amp;$K$1)+INDIRECT("'数据-取费表'!s"&amp;$K$1)))</f>
        <v>23006.27</v>
      </c>
      <c r="E20" s="24">
        <f>'数据-取费表'!B28</f>
        <v>108</v>
      </c>
      <c r="F20" s="910"/>
      <c r="G20" s="15"/>
      <c r="H20" s="915"/>
      <c r="I20" s="915"/>
      <c r="J20" s="915"/>
      <c r="K20" s="916"/>
    </row>
    <row r="21" spans="1:33" s="909" customFormat="1" ht="13.5" customHeight="1">
      <c r="A21" s="895" t="s">
        <v>802</v>
      </c>
      <c r="B21" s="919" t="s">
        <v>2318</v>
      </c>
      <c r="C21" s="920">
        <f ca="1">C16+C17+C18</f>
        <v>248</v>
      </c>
      <c r="D21" s="921"/>
      <c r="E21" s="285"/>
      <c r="F21" s="285"/>
      <c r="G21" s="134" t="s">
        <v>2319</v>
      </c>
      <c r="H21" s="913"/>
      <c r="I21" s="913"/>
      <c r="J21" s="913"/>
      <c r="K21" s="914"/>
    </row>
    <row r="22" spans="1:33" s="909" customFormat="1" ht="13.5" customHeight="1">
      <c r="A22" s="895" t="s">
        <v>2291</v>
      </c>
      <c r="B22" s="919" t="s">
        <v>2320</v>
      </c>
      <c r="C22" s="920">
        <f ca="1">ROUND(C21*F22,0)</f>
        <v>5</v>
      </c>
      <c r="D22" s="285"/>
      <c r="E22" s="285"/>
      <c r="F22" s="922">
        <f>'数据-取费表'!B37</f>
        <v>0.02</v>
      </c>
      <c r="G22" s="8" t="s">
        <v>2321</v>
      </c>
      <c r="H22" s="902"/>
      <c r="I22" s="902"/>
      <c r="J22" s="902"/>
      <c r="K22" s="903"/>
    </row>
    <row r="23" spans="1:33" s="909" customFormat="1" ht="13.5" customHeight="1">
      <c r="A23" s="895" t="s">
        <v>2293</v>
      </c>
      <c r="B23" s="919" t="s">
        <v>2322</v>
      </c>
      <c r="C23" s="920">
        <f ca="1">ROUND(C4*F23*F11,0)</f>
        <v>0</v>
      </c>
      <c r="D23" s="285"/>
      <c r="E23" s="285"/>
      <c r="F23" s="922">
        <f>'数据-取费表'!B38</f>
        <v>0.02</v>
      </c>
      <c r="G23" s="8" t="s">
        <v>2323</v>
      </c>
      <c r="H23" s="902"/>
      <c r="I23" s="902"/>
      <c r="J23" s="902"/>
      <c r="K23" s="903"/>
    </row>
    <row r="24" spans="1:33" s="909" customFormat="1" ht="13.5" customHeight="1">
      <c r="A24" s="895" t="s">
        <v>2324</v>
      </c>
      <c r="B24" s="919" t="s">
        <v>2325</v>
      </c>
      <c r="C24" s="284">
        <f>ROUND(F24/(1+'数据-取费表'!C42),4)</f>
        <v>3.8600000000000002E-2</v>
      </c>
      <c r="D24" s="285" t="s">
        <v>15</v>
      </c>
      <c r="E24" s="285"/>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4">
        <f ca="1">C26</f>
        <v>0</v>
      </c>
      <c r="E25" s="286" t="s">
        <v>15</v>
      </c>
      <c r="F25" s="287">
        <f ca="1">'数据-取费表'!B40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8"/>
      <c r="E26" s="289"/>
      <c r="F26" s="290"/>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8"/>
      <c r="E27" s="289"/>
      <c r="F27" s="290"/>
      <c r="G27" s="2049" t="str">
        <f>IF('数据-取费表'!B22&lt;=1,"（1）-（3）项×年利率×建设期÷2","（1）-（3）项×((1+年利率)^(建设期÷2)-1)")</f>
        <v>（1）-（3）项×((1+年利率)^(建设期÷2)-1)</v>
      </c>
      <c r="H27" s="913"/>
      <c r="I27" s="913"/>
      <c r="J27" s="913"/>
      <c r="K27" s="914"/>
    </row>
    <row r="28" spans="1:33" s="293" customFormat="1" ht="13.5" customHeight="1">
      <c r="A28" s="895" t="s">
        <v>2331</v>
      </c>
      <c r="B28" s="2050" t="s">
        <v>2332</v>
      </c>
      <c r="C28" s="291">
        <f ca="1">C30</f>
        <v>28</v>
      </c>
      <c r="D28" s="284">
        <f ca="1">C29</f>
        <v>0</v>
      </c>
      <c r="E28" s="286" t="s">
        <v>15</v>
      </c>
      <c r="F28" s="292">
        <f ca="1">IF(C1="",'数据-取费表'!Q16,INDIRECT("'数据-取费表'!q"&amp;$K$1))</f>
        <v>0.11</v>
      </c>
      <c r="G28" s="923"/>
      <c r="H28" s="924"/>
      <c r="I28" s="924"/>
      <c r="J28" s="924"/>
      <c r="K28" s="925"/>
    </row>
    <row r="29" spans="1:33" s="295" customFormat="1" ht="13.5" customHeight="1">
      <c r="A29" s="905" t="s">
        <v>803</v>
      </c>
      <c r="B29" s="928" t="s">
        <v>2333</v>
      </c>
      <c r="C29" s="288">
        <f ca="1">ROUND((1+C24)*F28*'数据-取费表'!B24/'数据-取费表'!B20,4)</f>
        <v>0</v>
      </c>
      <c r="D29" s="288"/>
      <c r="E29" s="289"/>
      <c r="F29" s="294"/>
      <c r="G29" s="134" t="s">
        <v>2334</v>
      </c>
      <c r="H29" s="913"/>
      <c r="I29" s="913"/>
      <c r="J29" s="913"/>
      <c r="K29" s="914"/>
    </row>
    <row r="30" spans="1:33" s="295" customFormat="1" ht="13.5" customHeight="1">
      <c r="A30" s="905" t="s">
        <v>804</v>
      </c>
      <c r="B30" s="928" t="s">
        <v>2335</v>
      </c>
      <c r="C30" s="296">
        <f ca="1">ROUND((C21+C22+C23)*F28,0)</f>
        <v>28</v>
      </c>
      <c r="D30" s="288"/>
      <c r="E30" s="289"/>
      <c r="F30" s="294"/>
      <c r="G30" s="134"/>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-271</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100-000000000000}">
      <formula1>项目类型</formula1>
    </dataValidation>
    <dataValidation type="list" allowBlank="1" showInputMessage="1" showErrorMessage="1" sqref="G18" xr:uid="{00000000-0002-0000-21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topLeftCell="A31" zoomScale="80" zoomScaleNormal="60" zoomScaleSheetLayoutView="80" workbookViewId="0">
      <selection activeCell="J65" sqref="J65"/>
    </sheetView>
  </sheetViews>
  <sheetFormatPr defaultColWidth="9" defaultRowHeight="14.25"/>
  <cols>
    <col min="1" max="1" width="14.375" style="361" customWidth="1"/>
    <col min="2" max="2" width="15.75" style="361" customWidth="1"/>
    <col min="3" max="3" width="1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2565</v>
      </c>
      <c r="B1" s="353"/>
      <c r="C1" s="354" t="s">
        <v>2566</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2149</v>
      </c>
      <c r="B2" s="625">
        <f>F66</f>
        <v>5802</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5"/>
    </row>
    <row r="3" spans="1:30" s="356" customFormat="1" ht="28.5" customHeight="1" thickBot="1">
      <c r="A3" s="207" t="s">
        <v>2151</v>
      </c>
      <c r="B3" s="564">
        <f>ROUND(IF(D3="",B2*10000/'数据-汇总表'!E3,B2*10000/D3),0)</f>
        <v>2522</v>
      </c>
      <c r="C3" s="207" t="s">
        <v>2567</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9" t="s">
        <v>2467</v>
      </c>
      <c r="B4" s="360"/>
      <c r="C4" s="3324" t="s">
        <v>2468</v>
      </c>
      <c r="D4" s="3325"/>
      <c r="E4" s="3326" t="s">
        <v>2469</v>
      </c>
      <c r="F4" s="3327"/>
      <c r="G4" s="3324" t="s">
        <v>2470</v>
      </c>
      <c r="H4" s="3325"/>
      <c r="I4" s="3324" t="s">
        <v>2471</v>
      </c>
      <c r="J4" s="3325"/>
      <c r="K4" s="565" t="s">
        <v>2472</v>
      </c>
      <c r="L4" s="2943"/>
      <c r="M4" s="2944"/>
      <c r="N4" s="2944"/>
      <c r="O4" s="2944"/>
      <c r="P4" s="3328" t="s">
        <v>2473</v>
      </c>
      <c r="Q4" s="3329"/>
      <c r="R4" s="3310" t="s">
        <v>2469</v>
      </c>
      <c r="S4" s="3311"/>
      <c r="T4" s="3310" t="s">
        <v>2470</v>
      </c>
      <c r="U4" s="3311"/>
      <c r="V4" s="3307" t="s">
        <v>2471</v>
      </c>
      <c r="W4" s="3307"/>
      <c r="X4" s="1538"/>
      <c r="Y4" s="3310" t="s">
        <v>2473</v>
      </c>
      <c r="Z4" s="3311"/>
      <c r="AA4" s="3304" t="s">
        <v>2469</v>
      </c>
      <c r="AB4" s="3305" t="s">
        <v>2470</v>
      </c>
      <c r="AC4" s="3304" t="s">
        <v>2471</v>
      </c>
    </row>
    <row r="5" spans="1:30" ht="15">
      <c r="A5" s="362"/>
      <c r="B5" s="363"/>
      <c r="C5" s="3316" t="s">
        <v>2364</v>
      </c>
      <c r="D5" s="3317"/>
      <c r="E5" s="3314" t="str">
        <f>土地案例!A5</f>
        <v>亚太大酒店南、青园街219号</v>
      </c>
      <c r="F5" s="3315"/>
      <c r="G5" s="3316" t="str">
        <f>土地案例!A7</f>
        <v>富强大街西、槐安路南</v>
      </c>
      <c r="H5" s="3317"/>
      <c r="I5" s="3316" t="str">
        <f>土地案例!A8</f>
        <v>建设大街东、槐北路南、规划路北</v>
      </c>
      <c r="J5" s="3317"/>
      <c r="K5" s="565"/>
      <c r="L5" s="2943"/>
      <c r="M5" s="2944"/>
      <c r="N5" s="2944"/>
      <c r="O5" s="2944"/>
      <c r="P5" s="3330"/>
      <c r="Q5" s="3331"/>
      <c r="R5" s="3312"/>
      <c r="S5" s="3313"/>
      <c r="T5" s="3312"/>
      <c r="U5" s="3313"/>
      <c r="V5" s="3307"/>
      <c r="W5" s="3307"/>
      <c r="X5" s="1538"/>
      <c r="Y5" s="3312"/>
      <c r="Z5" s="3313"/>
      <c r="AA5" s="3305"/>
      <c r="AB5" s="3305"/>
      <c r="AC5" s="3305"/>
    </row>
    <row r="6" spans="1:30" ht="15.75" thickBot="1">
      <c r="A6" s="364"/>
      <c r="B6" s="365"/>
      <c r="C6" s="3318" t="s">
        <v>2368</v>
      </c>
      <c r="D6" s="3319"/>
      <c r="E6" s="3370" t="s">
        <v>2368</v>
      </c>
      <c r="F6" s="3321"/>
      <c r="G6" s="3318" t="s">
        <v>2368</v>
      </c>
      <c r="H6" s="3319"/>
      <c r="I6" s="3318" t="s">
        <v>2368</v>
      </c>
      <c r="J6" s="3319"/>
      <c r="K6" s="565" t="s">
        <v>2369</v>
      </c>
      <c r="L6" s="2943"/>
      <c r="M6" s="2944"/>
      <c r="N6" s="2944"/>
      <c r="O6" s="2944"/>
      <c r="P6" s="3332"/>
      <c r="Q6" s="3333"/>
      <c r="R6" s="3312"/>
      <c r="S6" s="3313"/>
      <c r="T6" s="3334"/>
      <c r="U6" s="3335"/>
      <c r="V6" s="3307"/>
      <c r="W6" s="3307"/>
      <c r="X6" s="1538"/>
      <c r="Y6" s="3334"/>
      <c r="Z6" s="3335"/>
      <c r="AA6" s="3306"/>
      <c r="AB6" s="3306"/>
      <c r="AC6" s="3306"/>
    </row>
    <row r="7" spans="1:30" s="113" customFormat="1" ht="15.75" thickBot="1">
      <c r="A7" s="366" t="s">
        <v>2370</v>
      </c>
      <c r="B7" s="367"/>
      <c r="C7" s="368">
        <f>'数据-取费表'!B2</f>
        <v>44131</v>
      </c>
      <c r="D7" s="369">
        <v>100</v>
      </c>
      <c r="E7" s="370" t="str">
        <f>土地案例!J5</f>
        <v>2019-12-27</v>
      </c>
      <c r="F7" s="371">
        <f>SUMIF(70:70,YEAR(E7)&amp;"-"&amp;INT((MONTH(E7)+2)/3),71:71)</f>
        <v>96</v>
      </c>
      <c r="G7" s="2159" t="str">
        <f>土地案例!J7</f>
        <v>2019-10-18</v>
      </c>
      <c r="H7" s="369">
        <f>SUMIF(70:70,YEAR(G7)&amp;"-"&amp;INT((MONTH(G7)+2)/3),71:71)</f>
        <v>96</v>
      </c>
      <c r="I7" s="2159" t="str">
        <f>土地案例!J8</f>
        <v>2019-02-12</v>
      </c>
      <c r="J7" s="369">
        <f>SUMIF(70:70,YEAR(I7)&amp;"-"&amp;INT((MONTH(I7)+2)/3),71:71)</f>
        <v>93</v>
      </c>
      <c r="K7" s="566"/>
      <c r="L7" s="2945"/>
      <c r="M7" s="2946"/>
      <c r="N7" s="2946"/>
      <c r="O7" s="2946"/>
      <c r="P7" s="3308" t="s">
        <v>2371</v>
      </c>
      <c r="Q7" s="3336"/>
      <c r="R7" s="707" t="s">
        <v>17</v>
      </c>
      <c r="S7" s="708">
        <f t="shared" ref="S7:S15" si="0">F7</f>
        <v>96</v>
      </c>
      <c r="T7" s="707" t="s">
        <v>17</v>
      </c>
      <c r="U7" s="708">
        <f t="shared" ref="U7:U15" si="1">H7</f>
        <v>96</v>
      </c>
      <c r="V7" s="707" t="s">
        <v>17</v>
      </c>
      <c r="W7" s="708">
        <f t="shared" ref="W7:W15" si="2">J7</f>
        <v>93</v>
      </c>
      <c r="X7" s="709"/>
      <c r="Y7" s="3308" t="s">
        <v>2371</v>
      </c>
      <c r="Z7" s="3309"/>
      <c r="AA7" s="710">
        <f>D7/F7</f>
        <v>1.0416666666666667</v>
      </c>
      <c r="AB7" s="710">
        <f>D7/H7</f>
        <v>1.0416666666666667</v>
      </c>
      <c r="AC7" s="710">
        <f>D7/J7</f>
        <v>1.075268817204301</v>
      </c>
    </row>
    <row r="8" spans="1:30" s="113" customFormat="1" ht="15.75" thickBot="1">
      <c r="A8" s="366" t="s">
        <v>2372</v>
      </c>
      <c r="B8" s="367"/>
      <c r="C8" s="372" t="s">
        <v>2373</v>
      </c>
      <c r="D8" s="369">
        <v>100</v>
      </c>
      <c r="E8" s="372" t="s">
        <v>3182</v>
      </c>
      <c r="F8" s="371">
        <f>SUMIF(73:73,E8,74:74)-SUMIF(73:73,C8,74:74)+100</f>
        <v>100</v>
      </c>
      <c r="G8" s="372" t="s">
        <v>3182</v>
      </c>
      <c r="H8" s="369">
        <f>SUMIF(73:73,G8,74:74)-SUMIF(73:73,C8,74:74)+100</f>
        <v>100</v>
      </c>
      <c r="I8" s="372" t="s">
        <v>3182</v>
      </c>
      <c r="J8" s="369">
        <f>SUMIF(73:73,I8,74:74)-SUMIF(73:73,C8,74:74)+100</f>
        <v>100</v>
      </c>
      <c r="K8" s="566"/>
      <c r="L8" s="2945"/>
      <c r="M8" s="2946"/>
      <c r="N8" s="2946"/>
      <c r="O8" s="2946"/>
      <c r="P8" s="3308" t="s">
        <v>2374</v>
      </c>
      <c r="Q8" s="3309"/>
      <c r="R8" s="707" t="s">
        <v>17</v>
      </c>
      <c r="S8" s="708">
        <f t="shared" si="0"/>
        <v>100</v>
      </c>
      <c r="T8" s="707" t="s">
        <v>17</v>
      </c>
      <c r="U8" s="708">
        <f t="shared" si="1"/>
        <v>100</v>
      </c>
      <c r="V8" s="707" t="s">
        <v>17</v>
      </c>
      <c r="W8" s="708">
        <f t="shared" si="2"/>
        <v>100</v>
      </c>
      <c r="X8" s="709"/>
      <c r="Y8" s="3308" t="s">
        <v>2374</v>
      </c>
      <c r="Z8" s="3309"/>
      <c r="AA8" s="710">
        <f t="shared" ref="AA8:AA45" si="3">D8/F8</f>
        <v>1</v>
      </c>
      <c r="AB8" s="710">
        <f t="shared" ref="AB8:AB45" si="4">D8/H8</f>
        <v>1</v>
      </c>
      <c r="AC8" s="710">
        <f t="shared" ref="AC8:AC45" si="5">D8/J8</f>
        <v>1</v>
      </c>
    </row>
    <row r="9" spans="1:30" s="113" customFormat="1">
      <c r="A9" s="373" t="s">
        <v>2375</v>
      </c>
      <c r="B9" s="67" t="s">
        <v>2376</v>
      </c>
      <c r="C9" s="2162"/>
      <c r="D9" s="129">
        <v>100</v>
      </c>
      <c r="E9" s="2162"/>
      <c r="F9" s="129">
        <f>SUMIF(75:75,E9,76:76)-SUMIF(75:75,C9,76:76)+100</f>
        <v>100</v>
      </c>
      <c r="G9" s="2162"/>
      <c r="H9" s="129">
        <f>SUMIF(75:75,G9,76:76)-SUMIF(75:75,C9,76:76)+100</f>
        <v>100</v>
      </c>
      <c r="I9" s="2162"/>
      <c r="J9" s="129">
        <f>SUMIF(75:75,I9,76:76)-SUMIF(75:75,C9,76:76)+100</f>
        <v>100</v>
      </c>
      <c r="K9" s="566"/>
      <c r="L9" s="2945"/>
      <c r="M9" s="2946"/>
      <c r="N9" s="2946"/>
      <c r="O9" s="3000"/>
      <c r="P9" s="3346"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710">
        <f t="shared" si="5"/>
        <v>1</v>
      </c>
    </row>
    <row r="10" spans="1:30" s="384" customFormat="1" ht="27">
      <c r="A10" s="378"/>
      <c r="B10" s="379" t="s">
        <v>2379</v>
      </c>
      <c r="C10" s="389"/>
      <c r="D10" s="130">
        <v>100</v>
      </c>
      <c r="E10" s="422"/>
      <c r="F10" s="130">
        <f>ROUND(100/'数据-取费表'!G16,0)</f>
        <v>105</v>
      </c>
      <c r="G10" s="420"/>
      <c r="H10" s="130">
        <f>ROUND(100/'数据-取费表'!G16,0)</f>
        <v>105</v>
      </c>
      <c r="I10" s="420"/>
      <c r="J10" s="130">
        <f>ROUND(100/'数据-取费表'!G16,0)</f>
        <v>105</v>
      </c>
      <c r="K10" s="626"/>
      <c r="L10" s="2947"/>
      <c r="M10" s="2948"/>
      <c r="N10" s="2948"/>
      <c r="O10" s="3001"/>
      <c r="P10" s="3346"/>
      <c r="Q10" s="1526" t="str">
        <f t="shared" si="6"/>
        <v>土地使用年限（年）</v>
      </c>
      <c r="R10" s="707" t="s">
        <v>17</v>
      </c>
      <c r="S10" s="708">
        <f t="shared" si="0"/>
        <v>105</v>
      </c>
      <c r="T10" s="707" t="s">
        <v>17</v>
      </c>
      <c r="U10" s="708">
        <f t="shared" si="1"/>
        <v>105</v>
      </c>
      <c r="V10" s="707" t="s">
        <v>17</v>
      </c>
      <c r="W10" s="708">
        <f t="shared" si="2"/>
        <v>105</v>
      </c>
      <c r="X10" s="709"/>
      <c r="Y10" s="3280"/>
      <c r="Z10" s="55" t="str">
        <f t="shared" si="7"/>
        <v>土地使用年限（年）</v>
      </c>
      <c r="AA10" s="710">
        <f t="shared" si="3"/>
        <v>0.95238095238095233</v>
      </c>
      <c r="AB10" s="710">
        <f t="shared" si="4"/>
        <v>0.95238095238095233</v>
      </c>
      <c r="AC10" s="710">
        <f t="shared" si="5"/>
        <v>0.95238095238095233</v>
      </c>
    </row>
    <row r="11" spans="1:30" ht="15">
      <c r="A11" s="385"/>
      <c r="B11" s="379" t="s">
        <v>2380</v>
      </c>
      <c r="C11" s="386"/>
      <c r="D11" s="130">
        <v>100</v>
      </c>
      <c r="E11" s="386"/>
      <c r="F11" s="130">
        <f>LOOKUP(E11,80:80,81:81)-LOOKUP(C11,80:80,81:81)+100</f>
        <v>100</v>
      </c>
      <c r="G11" s="387"/>
      <c r="H11" s="130">
        <f>LOOKUP(G11,80:80,81:81)-LOOKUP(C11,80:80,81:81)+100</f>
        <v>100</v>
      </c>
      <c r="I11" s="386"/>
      <c r="J11" s="130">
        <f>LOOKUP(I11,80:80,81:81)-LOOKUP(C11,80:80,81:81)+100</f>
        <v>100</v>
      </c>
      <c r="K11" s="627"/>
      <c r="L11" s="2949"/>
      <c r="M11" s="2944"/>
      <c r="N11" s="2944"/>
      <c r="O11" s="3002"/>
      <c r="P11" s="3346"/>
      <c r="Q11" s="1526" t="str">
        <f t="shared" si="6"/>
        <v>容积率</v>
      </c>
      <c r="R11" s="707" t="s">
        <v>17</v>
      </c>
      <c r="S11" s="708">
        <f t="shared" si="0"/>
        <v>100</v>
      </c>
      <c r="T11" s="707" t="s">
        <v>17</v>
      </c>
      <c r="U11" s="708">
        <f t="shared" si="1"/>
        <v>100</v>
      </c>
      <c r="V11" s="707" t="s">
        <v>17</v>
      </c>
      <c r="W11" s="708">
        <f t="shared" si="2"/>
        <v>100</v>
      </c>
      <c r="X11" s="709"/>
      <c r="Y11" s="3280"/>
      <c r="Z11" s="55" t="str">
        <f t="shared" si="7"/>
        <v>容积率</v>
      </c>
      <c r="AA11" s="710">
        <f t="shared" si="3"/>
        <v>1</v>
      </c>
      <c r="AB11" s="710">
        <f t="shared" si="4"/>
        <v>1</v>
      </c>
      <c r="AC11" s="710">
        <f t="shared" si="5"/>
        <v>1</v>
      </c>
    </row>
    <row r="12" spans="1:30" s="113" customFormat="1" ht="15">
      <c r="A12" s="388"/>
      <c r="B12" s="2078" t="s">
        <v>2568</v>
      </c>
      <c r="C12" s="389"/>
      <c r="D12" s="390">
        <v>100</v>
      </c>
      <c r="E12" s="422"/>
      <c r="F12" s="130">
        <f>SUMIF(82:82,E12,83:83)-SUMIF(82:82,C12,83:83)+100</f>
        <v>100</v>
      </c>
      <c r="G12" s="420"/>
      <c r="H12" s="130">
        <f>SUMIF(82:82,G12,83:83)-SUMIF(82:82,C12,83:83)+100</f>
        <v>100</v>
      </c>
      <c r="I12" s="422"/>
      <c r="J12" s="130">
        <f>SUMIF(82:82,I12,83:83)-SUMIF(82:82,C12,83:83)+100</f>
        <v>100</v>
      </c>
      <c r="K12" s="626"/>
      <c r="L12" s="2945"/>
      <c r="M12" s="2946"/>
      <c r="N12" s="2946"/>
      <c r="O12" s="3000"/>
      <c r="P12" s="3346"/>
      <c r="Q12" s="1526" t="str">
        <f t="shared" si="6"/>
        <v>配建</v>
      </c>
      <c r="R12" s="707" t="s">
        <v>17</v>
      </c>
      <c r="S12" s="708">
        <f t="shared" si="0"/>
        <v>100</v>
      </c>
      <c r="T12" s="707" t="s">
        <v>17</v>
      </c>
      <c r="U12" s="708">
        <f t="shared" si="1"/>
        <v>100</v>
      </c>
      <c r="V12" s="707" t="s">
        <v>17</v>
      </c>
      <c r="W12" s="708">
        <f t="shared" si="2"/>
        <v>100</v>
      </c>
      <c r="X12" s="709"/>
      <c r="Y12" s="3280"/>
      <c r="Z12" s="55" t="str">
        <f t="shared" si="7"/>
        <v>配建</v>
      </c>
      <c r="AA12" s="710">
        <f>D12/F12</f>
        <v>1</v>
      </c>
      <c r="AB12" s="710">
        <f>D12/H12</f>
        <v>1</v>
      </c>
      <c r="AC12" s="710">
        <f>D12/J12</f>
        <v>1</v>
      </c>
    </row>
    <row r="13" spans="1:30" ht="15">
      <c r="A13" s="385"/>
      <c r="B13" s="2078">
        <v>111</v>
      </c>
      <c r="C13" s="391"/>
      <c r="D13" s="392">
        <v>100</v>
      </c>
      <c r="E13" s="504"/>
      <c r="F13" s="130">
        <f>SUMIF(84:84,E13,85:85)-SUMIF(84:84,C13,85:85)+100</f>
        <v>100</v>
      </c>
      <c r="G13" s="628"/>
      <c r="H13" s="392">
        <f>SUMIF(84:84,G13,85:85)-SUMIF(84:84,C13,85:85)+100</f>
        <v>100</v>
      </c>
      <c r="I13" s="628"/>
      <c r="J13" s="392">
        <f>SUMIF(84:84,I13,85:85)-SUMIF(84:84,C13,85:85)+100</f>
        <v>100</v>
      </c>
      <c r="K13" s="626"/>
      <c r="L13" s="2950"/>
      <c r="M13" s="2944"/>
      <c r="N13" s="2944"/>
      <c r="O13" s="3002"/>
      <c r="P13" s="3346"/>
      <c r="Q13" s="1526">
        <f t="shared" si="6"/>
        <v>111</v>
      </c>
      <c r="R13" s="707" t="s">
        <v>17</v>
      </c>
      <c r="S13" s="708">
        <f t="shared" si="0"/>
        <v>100</v>
      </c>
      <c r="T13" s="707" t="s">
        <v>17</v>
      </c>
      <c r="U13" s="708">
        <f t="shared" si="1"/>
        <v>100</v>
      </c>
      <c r="V13" s="707" t="s">
        <v>17</v>
      </c>
      <c r="W13" s="708">
        <f t="shared" si="2"/>
        <v>100</v>
      </c>
      <c r="X13" s="709"/>
      <c r="Y13" s="3280"/>
      <c r="Z13" s="55">
        <f t="shared" si="7"/>
        <v>111</v>
      </c>
      <c r="AA13" s="710">
        <f>D13/F13</f>
        <v>1</v>
      </c>
      <c r="AB13" s="710">
        <f>D13/H13</f>
        <v>1</v>
      </c>
      <c r="AC13" s="710">
        <f>D13/J13</f>
        <v>1</v>
      </c>
    </row>
    <row r="14" spans="1:30" ht="15.75" thickBot="1">
      <c r="A14" s="393"/>
      <c r="B14" s="2080">
        <v>111</v>
      </c>
      <c r="C14" s="394"/>
      <c r="D14" s="395">
        <v>100</v>
      </c>
      <c r="E14" s="504"/>
      <c r="F14" s="395">
        <f>SUMIF(86:86,E14,87:87)-SUMIF(86:86,C14,87:87)+100</f>
        <v>100</v>
      </c>
      <c r="G14" s="628"/>
      <c r="H14" s="395">
        <f>SUMIF(86:86,G14,87:87)-SUMIF(86:86,C14,87:87)+100</f>
        <v>100</v>
      </c>
      <c r="I14" s="628"/>
      <c r="J14" s="395">
        <f>SUMIF(86:86,I14,87:87)-SUMIF(86:86,C14,87:87)+100</f>
        <v>100</v>
      </c>
      <c r="K14" s="626"/>
      <c r="L14" s="2950"/>
      <c r="M14" s="2944"/>
      <c r="N14" s="2944"/>
      <c r="O14" s="3002"/>
      <c r="P14" s="3346"/>
      <c r="Q14" s="1526">
        <f t="shared" si="6"/>
        <v>111</v>
      </c>
      <c r="R14" s="707" t="s">
        <v>17</v>
      </c>
      <c r="S14" s="708">
        <f t="shared" si="0"/>
        <v>100</v>
      </c>
      <c r="T14" s="707" t="s">
        <v>17</v>
      </c>
      <c r="U14" s="708">
        <f t="shared" si="1"/>
        <v>100</v>
      </c>
      <c r="V14" s="707" t="s">
        <v>17</v>
      </c>
      <c r="W14" s="708">
        <f t="shared" si="2"/>
        <v>100</v>
      </c>
      <c r="X14" s="709"/>
      <c r="Y14" s="3280"/>
      <c r="Z14" s="55">
        <f t="shared" si="7"/>
        <v>111</v>
      </c>
      <c r="AA14" s="710">
        <f>D14/F14</f>
        <v>1</v>
      </c>
      <c r="AB14" s="710">
        <f>D14/H14</f>
        <v>1</v>
      </c>
      <c r="AC14" s="710">
        <f>D14/J14</f>
        <v>1</v>
      </c>
    </row>
    <row r="15" spans="1:30" ht="71.25">
      <c r="A15" s="397" t="s">
        <v>2381</v>
      </c>
      <c r="B15" s="65" t="s">
        <v>1944</v>
      </c>
      <c r="C15" s="2081"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50"/>
      <c r="M15" s="2944"/>
      <c r="N15" s="2944"/>
      <c r="O15" s="3002"/>
      <c r="P15" s="3339" t="s">
        <v>2382</v>
      </c>
      <c r="Q15" s="1535" t="str">
        <f t="shared" si="6"/>
        <v>居住社区成熟度</v>
      </c>
      <c r="R15" s="711" t="s">
        <v>17</v>
      </c>
      <c r="S15" s="712">
        <f t="shared" si="0"/>
        <v>100</v>
      </c>
      <c r="T15" s="711" t="s">
        <v>17</v>
      </c>
      <c r="U15" s="712">
        <f t="shared" si="1"/>
        <v>100</v>
      </c>
      <c r="V15" s="711" t="s">
        <v>17</v>
      </c>
      <c r="W15" s="712">
        <f t="shared" si="2"/>
        <v>100</v>
      </c>
      <c r="X15" s="1538"/>
      <c r="Y15" s="3339" t="s">
        <v>2382</v>
      </c>
      <c r="Z15" s="1539" t="str">
        <f t="shared" si="7"/>
        <v>居住社区成熟度</v>
      </c>
      <c r="AA15" s="1536">
        <f t="shared" si="3"/>
        <v>1</v>
      </c>
      <c r="AB15" s="1536">
        <f t="shared" si="4"/>
        <v>1</v>
      </c>
      <c r="AC15" s="1536">
        <f t="shared" si="5"/>
        <v>1</v>
      </c>
    </row>
    <row r="16" spans="1:30" ht="15">
      <c r="A16" s="385"/>
      <c r="B16" s="403"/>
      <c r="C16" s="404"/>
      <c r="D16" s="405"/>
      <c r="E16" s="2083"/>
      <c r="F16" s="405"/>
      <c r="G16" s="2083"/>
      <c r="H16" s="407"/>
      <c r="I16" s="2082"/>
      <c r="J16" s="405"/>
      <c r="K16" s="626"/>
      <c r="L16" s="2950"/>
      <c r="M16" s="2944"/>
      <c r="N16" s="2944"/>
      <c r="O16" s="3002"/>
      <c r="P16" s="3340"/>
      <c r="Q16" s="1535"/>
      <c r="R16" s="711"/>
      <c r="S16" s="712"/>
      <c r="T16" s="711"/>
      <c r="U16" s="712"/>
      <c r="V16" s="711"/>
      <c r="W16" s="712"/>
      <c r="X16" s="1538"/>
      <c r="Y16" s="3340"/>
      <c r="Z16" s="1539"/>
      <c r="AA16" s="1536">
        <v>1</v>
      </c>
      <c r="AB16" s="1536">
        <v>1</v>
      </c>
      <c r="AC16" s="1536">
        <v>1</v>
      </c>
    </row>
    <row r="17" spans="1:29" ht="57">
      <c r="A17" s="385"/>
      <c r="B17" s="408" t="s">
        <v>2475</v>
      </c>
      <c r="C17" s="214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2</v>
      </c>
      <c r="L17" s="2950"/>
      <c r="M17" s="2944"/>
      <c r="N17" s="2944"/>
      <c r="O17" s="3002"/>
      <c r="P17" s="3340"/>
      <c r="Q17" s="1535" t="str">
        <f>B17</f>
        <v>商业繁华度</v>
      </c>
      <c r="R17" s="711" t="s">
        <v>17</v>
      </c>
      <c r="S17" s="712">
        <f>F17</f>
        <v>100</v>
      </c>
      <c r="T17" s="711" t="s">
        <v>17</v>
      </c>
      <c r="U17" s="712">
        <f>H17</f>
        <v>100</v>
      </c>
      <c r="V17" s="711" t="s">
        <v>17</v>
      </c>
      <c r="W17" s="712">
        <f>J17</f>
        <v>100</v>
      </c>
      <c r="X17" s="1538"/>
      <c r="Y17" s="3340"/>
      <c r="Z17" s="1539" t="str">
        <f>Q17</f>
        <v>商业繁华度</v>
      </c>
      <c r="AA17" s="1536">
        <f t="shared" si="3"/>
        <v>1</v>
      </c>
      <c r="AB17" s="1536">
        <f t="shared" si="4"/>
        <v>1</v>
      </c>
      <c r="AC17" s="1536">
        <f t="shared" si="5"/>
        <v>1</v>
      </c>
    </row>
    <row r="18" spans="1:29" ht="15">
      <c r="A18" s="385"/>
      <c r="B18" s="413"/>
      <c r="C18" s="2086"/>
      <c r="D18" s="407"/>
      <c r="E18" s="2088"/>
      <c r="F18" s="407"/>
      <c r="G18" s="2088"/>
      <c r="H18" s="405"/>
      <c r="I18" s="2087"/>
      <c r="J18" s="405"/>
      <c r="K18" s="626"/>
      <c r="L18" s="2950"/>
      <c r="M18" s="2944"/>
      <c r="N18" s="2944"/>
      <c r="O18" s="3002"/>
      <c r="P18" s="3340"/>
      <c r="Q18" s="1535"/>
      <c r="R18" s="711"/>
      <c r="S18" s="712"/>
      <c r="T18" s="711"/>
      <c r="U18" s="712"/>
      <c r="V18" s="711"/>
      <c r="W18" s="712"/>
      <c r="X18" s="1538"/>
      <c r="Y18" s="3340"/>
      <c r="Z18" s="1539"/>
      <c r="AA18" s="1536">
        <v>1</v>
      </c>
      <c r="AB18" s="1536">
        <v>1</v>
      </c>
      <c r="AC18" s="1536">
        <v>1</v>
      </c>
    </row>
    <row r="19" spans="1:29" ht="57">
      <c r="A19" s="385"/>
      <c r="B19" s="408" t="s">
        <v>2509</v>
      </c>
      <c r="C19" s="214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50"/>
      <c r="M19" s="2944"/>
      <c r="N19" s="2944"/>
      <c r="O19" s="3002"/>
      <c r="P19" s="3340"/>
      <c r="Q19" s="1535" t="str">
        <f>B19</f>
        <v>办公集聚程度</v>
      </c>
      <c r="R19" s="711" t="s">
        <v>17</v>
      </c>
      <c r="S19" s="712">
        <f>F19</f>
        <v>100</v>
      </c>
      <c r="T19" s="711" t="s">
        <v>17</v>
      </c>
      <c r="U19" s="712">
        <f>H19</f>
        <v>100</v>
      </c>
      <c r="V19" s="711" t="s">
        <v>17</v>
      </c>
      <c r="W19" s="712">
        <f>J19</f>
        <v>100</v>
      </c>
      <c r="X19" s="1538"/>
      <c r="Y19" s="3340"/>
      <c r="Z19" s="1539" t="str">
        <f>Q19</f>
        <v>办公集聚程度</v>
      </c>
      <c r="AA19" s="1536">
        <f t="shared" si="3"/>
        <v>1</v>
      </c>
      <c r="AB19" s="1536">
        <f t="shared" si="4"/>
        <v>1</v>
      </c>
      <c r="AC19" s="1536">
        <f t="shared" si="5"/>
        <v>1</v>
      </c>
    </row>
    <row r="20" spans="1:29" ht="15">
      <c r="A20" s="385"/>
      <c r="B20" s="413"/>
      <c r="C20" s="404"/>
      <c r="D20" s="405"/>
      <c r="E20" s="2083"/>
      <c r="F20" s="405"/>
      <c r="G20" s="2083"/>
      <c r="H20" s="405"/>
      <c r="I20" s="2082"/>
      <c r="J20" s="405"/>
      <c r="K20" s="626"/>
      <c r="L20" s="2950"/>
      <c r="M20" s="2944"/>
      <c r="N20" s="2944"/>
      <c r="O20" s="3002"/>
      <c r="P20" s="3340"/>
      <c r="Q20" s="1535"/>
      <c r="R20" s="711"/>
      <c r="S20" s="712"/>
      <c r="T20" s="711"/>
      <c r="U20" s="712"/>
      <c r="V20" s="711"/>
      <c r="W20" s="712"/>
      <c r="X20" s="1538"/>
      <c r="Y20" s="3340"/>
      <c r="Z20" s="1539"/>
      <c r="AA20" s="1536">
        <v>1</v>
      </c>
      <c r="AB20" s="1536">
        <v>1</v>
      </c>
      <c r="AC20" s="1536">
        <v>1</v>
      </c>
    </row>
    <row r="21" spans="1:29" ht="71.25">
      <c r="A21" s="385"/>
      <c r="B21" s="408" t="s">
        <v>2531</v>
      </c>
      <c r="C21" s="2085"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2</v>
      </c>
      <c r="L21" s="2950"/>
      <c r="M21" s="2944"/>
      <c r="N21" s="2944"/>
      <c r="O21" s="3002"/>
      <c r="P21" s="3340"/>
      <c r="Q21" s="1535" t="str">
        <f>B21</f>
        <v>交通便捷度</v>
      </c>
      <c r="R21" s="711" t="s">
        <v>17</v>
      </c>
      <c r="S21" s="712">
        <f>F21</f>
        <v>100</v>
      </c>
      <c r="T21" s="711" t="s">
        <v>17</v>
      </c>
      <c r="U21" s="712">
        <f>H21</f>
        <v>100</v>
      </c>
      <c r="V21" s="711" t="s">
        <v>17</v>
      </c>
      <c r="W21" s="712">
        <f>J21</f>
        <v>100</v>
      </c>
      <c r="X21" s="1538"/>
      <c r="Y21" s="3340"/>
      <c r="Z21" s="1539" t="str">
        <f>Q21</f>
        <v>交通便捷度</v>
      </c>
      <c r="AA21" s="1536">
        <f t="shared" si="3"/>
        <v>1</v>
      </c>
      <c r="AB21" s="1536">
        <f t="shared" si="4"/>
        <v>1</v>
      </c>
      <c r="AC21" s="1536">
        <f t="shared" si="5"/>
        <v>1</v>
      </c>
    </row>
    <row r="22" spans="1:29" ht="15">
      <c r="A22" s="385"/>
      <c r="B22" s="1290"/>
      <c r="C22" s="404"/>
      <c r="D22" s="407"/>
      <c r="E22" s="2083"/>
      <c r="F22" s="405"/>
      <c r="G22" s="2083"/>
      <c r="H22" s="405"/>
      <c r="I22" s="2082"/>
      <c r="J22" s="405"/>
      <c r="K22" s="626"/>
      <c r="L22" s="2950"/>
      <c r="M22" s="2944"/>
      <c r="N22" s="2944"/>
      <c r="O22" s="3002"/>
      <c r="P22" s="3340"/>
      <c r="Q22" s="1535"/>
      <c r="R22" s="711"/>
      <c r="S22" s="712"/>
      <c r="T22" s="711"/>
      <c r="U22" s="712"/>
      <c r="V22" s="711"/>
      <c r="W22" s="712"/>
      <c r="X22" s="1538"/>
      <c r="Y22" s="3340"/>
      <c r="Z22" s="1539"/>
      <c r="AA22" s="1536">
        <v>1</v>
      </c>
      <c r="AB22" s="1536">
        <v>1</v>
      </c>
      <c r="AC22" s="1536">
        <v>1</v>
      </c>
    </row>
    <row r="23" spans="1:29" ht="15">
      <c r="A23" s="362"/>
      <c r="B23" s="408" t="s">
        <v>2569</v>
      </c>
      <c r="C23" s="129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50"/>
      <c r="M23" s="2944"/>
      <c r="N23" s="2944"/>
      <c r="O23" s="3002"/>
      <c r="P23" s="3340"/>
      <c r="Q23" s="1535" t="str">
        <f t="shared" ref="Q23:Q37" si="8">B23</f>
        <v>区域土地利用方向</v>
      </c>
      <c r="R23" s="711" t="s">
        <v>17</v>
      </c>
      <c r="S23" s="712">
        <f>F23</f>
        <v>100</v>
      </c>
      <c r="T23" s="711" t="s">
        <v>17</v>
      </c>
      <c r="U23" s="712">
        <f>H23</f>
        <v>100</v>
      </c>
      <c r="V23" s="711" t="s">
        <v>17</v>
      </c>
      <c r="W23" s="712">
        <f>J23</f>
        <v>100</v>
      </c>
      <c r="X23" s="1538"/>
      <c r="Y23" s="3340"/>
      <c r="Z23" s="1539" t="str">
        <f>Q23</f>
        <v>区域土地利用方向</v>
      </c>
      <c r="AA23" s="1536">
        <f t="shared" si="3"/>
        <v>1</v>
      </c>
      <c r="AB23" s="1536">
        <f t="shared" si="4"/>
        <v>1</v>
      </c>
      <c r="AC23" s="1536">
        <f t="shared" si="5"/>
        <v>1</v>
      </c>
    </row>
    <row r="24" spans="1:29" ht="15">
      <c r="A24" s="362"/>
      <c r="B24" s="413"/>
      <c r="C24" s="571"/>
      <c r="D24" s="405"/>
      <c r="E24" s="2083"/>
      <c r="F24" s="405"/>
      <c r="G24" s="2082"/>
      <c r="H24" s="405"/>
      <c r="I24" s="2082"/>
      <c r="J24" s="405"/>
      <c r="K24" s="748"/>
      <c r="L24" s="2950"/>
      <c r="M24" s="2944"/>
      <c r="N24" s="2944"/>
      <c r="O24" s="3002"/>
      <c r="P24" s="3340"/>
      <c r="Q24" s="1535"/>
      <c r="R24" s="711"/>
      <c r="S24" s="712"/>
      <c r="T24" s="711"/>
      <c r="U24" s="712"/>
      <c r="V24" s="711"/>
      <c r="W24" s="712"/>
      <c r="X24" s="1538"/>
      <c r="Y24" s="3340"/>
      <c r="Z24" s="1539"/>
      <c r="AA24" s="1536"/>
      <c r="AB24" s="1536"/>
      <c r="AC24" s="1536"/>
    </row>
    <row r="25" spans="1:29" ht="42.75">
      <c r="A25" s="362"/>
      <c r="B25" s="1290" t="s">
        <v>2570</v>
      </c>
      <c r="C25" s="2140"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50"/>
      <c r="M25" s="2944"/>
      <c r="N25" s="2944"/>
      <c r="O25" s="3002"/>
      <c r="P25" s="3340"/>
      <c r="Q25" s="1535" t="str">
        <f t="shared" si="8"/>
        <v>自然及人文环境状况</v>
      </c>
      <c r="R25" s="711" t="s">
        <v>17</v>
      </c>
      <c r="S25" s="712">
        <f>F25</f>
        <v>100</v>
      </c>
      <c r="T25" s="711" t="s">
        <v>17</v>
      </c>
      <c r="U25" s="712">
        <f>H25</f>
        <v>100</v>
      </c>
      <c r="V25" s="711" t="s">
        <v>17</v>
      </c>
      <c r="W25" s="712">
        <f>J25</f>
        <v>100</v>
      </c>
      <c r="X25" s="1538"/>
      <c r="Y25" s="3340"/>
      <c r="Z25" s="1539" t="str">
        <f>Q25</f>
        <v>自然及人文环境状况</v>
      </c>
      <c r="AA25" s="1536">
        <f t="shared" si="3"/>
        <v>1</v>
      </c>
      <c r="AB25" s="1536">
        <f t="shared" si="4"/>
        <v>1</v>
      </c>
      <c r="AC25" s="1536">
        <f t="shared" si="5"/>
        <v>1</v>
      </c>
    </row>
    <row r="26" spans="1:29" ht="15">
      <c r="A26" s="362"/>
      <c r="B26" s="413"/>
      <c r="C26" s="404"/>
      <c r="D26" s="405"/>
      <c r="E26" s="2089"/>
      <c r="F26" s="405"/>
      <c r="G26" s="2089"/>
      <c r="H26" s="405"/>
      <c r="I26" s="404"/>
      <c r="J26" s="405"/>
      <c r="K26" s="626"/>
      <c r="L26" s="2950"/>
      <c r="M26" s="2944"/>
      <c r="N26" s="2944"/>
      <c r="O26" s="3002"/>
      <c r="P26" s="3340"/>
      <c r="Q26" s="1535"/>
      <c r="R26" s="711"/>
      <c r="S26" s="712"/>
      <c r="T26" s="711"/>
      <c r="U26" s="712"/>
      <c r="V26" s="711"/>
      <c r="W26" s="712"/>
      <c r="X26" s="1538"/>
      <c r="Y26" s="3340"/>
      <c r="Z26" s="1539"/>
      <c r="AA26" s="1536">
        <v>1</v>
      </c>
      <c r="AB26" s="1536">
        <v>1</v>
      </c>
      <c r="AC26" s="1536">
        <v>1</v>
      </c>
    </row>
    <row r="27" spans="1:29" s="113" customFormat="1" ht="28.5">
      <c r="A27" s="603"/>
      <c r="B27" s="1290" t="s">
        <v>2476</v>
      </c>
      <c r="C27" s="2085"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5"/>
      <c r="M27" s="2946"/>
      <c r="N27" s="2946"/>
      <c r="O27" s="3000"/>
      <c r="P27" s="3340"/>
      <c r="Q27" s="1526" t="str">
        <f t="shared" si="8"/>
        <v>公共配套设施</v>
      </c>
      <c r="R27" s="707" t="s">
        <v>17</v>
      </c>
      <c r="S27" s="708">
        <f>F27</f>
        <v>100</v>
      </c>
      <c r="T27" s="707" t="s">
        <v>17</v>
      </c>
      <c r="U27" s="708">
        <f>H27</f>
        <v>100</v>
      </c>
      <c r="V27" s="707" t="s">
        <v>17</v>
      </c>
      <c r="W27" s="708">
        <f>J27</f>
        <v>100</v>
      </c>
      <c r="X27" s="709"/>
      <c r="Y27" s="3340"/>
      <c r="Z27" s="55" t="str">
        <f>Q27</f>
        <v>公共配套设施</v>
      </c>
      <c r="AA27" s="1536">
        <f>D27/F27</f>
        <v>1</v>
      </c>
      <c r="AB27" s="1536">
        <f>D27/H27</f>
        <v>1</v>
      </c>
      <c r="AC27" s="1536">
        <f>D27/J27</f>
        <v>1</v>
      </c>
    </row>
    <row r="28" spans="1:29" s="113" customFormat="1" ht="15">
      <c r="A28" s="603"/>
      <c r="B28" s="413"/>
      <c r="C28" s="2163"/>
      <c r="D28" s="405"/>
      <c r="E28" s="2089"/>
      <c r="F28" s="405"/>
      <c r="G28" s="2089"/>
      <c r="H28" s="405"/>
      <c r="I28" s="404"/>
      <c r="J28" s="405"/>
      <c r="K28" s="626"/>
      <c r="L28" s="2945"/>
      <c r="M28" s="2946"/>
      <c r="N28" s="2946"/>
      <c r="O28" s="3000"/>
      <c r="P28" s="3340"/>
      <c r="Q28" s="1526"/>
      <c r="R28" s="707"/>
      <c r="S28" s="708"/>
      <c r="T28" s="707"/>
      <c r="U28" s="708"/>
      <c r="V28" s="707"/>
      <c r="W28" s="708"/>
      <c r="X28" s="709"/>
      <c r="Y28" s="3340"/>
      <c r="Z28" s="55"/>
      <c r="AA28" s="1536">
        <v>1</v>
      </c>
      <c r="AB28" s="1536">
        <v>1</v>
      </c>
      <c r="AC28" s="1536">
        <v>1</v>
      </c>
    </row>
    <row r="29" spans="1:29" s="113" customFormat="1" ht="28.5">
      <c r="A29" s="603"/>
      <c r="B29" s="1290" t="s">
        <v>2477</v>
      </c>
      <c r="C29" s="2085"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5"/>
      <c r="M29" s="2946"/>
      <c r="N29" s="2946"/>
      <c r="O29" s="3000"/>
      <c r="P29" s="3340"/>
      <c r="Q29" s="1526" t="str">
        <f t="shared" ref="Q29" si="9">B29</f>
        <v>基础设施水平</v>
      </c>
      <c r="R29" s="707" t="s">
        <v>17</v>
      </c>
      <c r="S29" s="708">
        <f>F29</f>
        <v>100</v>
      </c>
      <c r="T29" s="707" t="s">
        <v>17</v>
      </c>
      <c r="U29" s="708">
        <f>H29</f>
        <v>100</v>
      </c>
      <c r="V29" s="707" t="s">
        <v>17</v>
      </c>
      <c r="W29" s="708">
        <f>J29</f>
        <v>100</v>
      </c>
      <c r="X29" s="709"/>
      <c r="Y29" s="3340"/>
      <c r="Z29" s="55" t="str">
        <f>Q29</f>
        <v>基础设施水平</v>
      </c>
      <c r="AA29" s="1536">
        <f>D29/F29</f>
        <v>1</v>
      </c>
      <c r="AB29" s="1536">
        <f>D29/H29</f>
        <v>1</v>
      </c>
      <c r="AC29" s="1536">
        <f>D29/J29</f>
        <v>1</v>
      </c>
    </row>
    <row r="30" spans="1:29" s="113" customFormat="1" ht="15">
      <c r="A30" s="603"/>
      <c r="B30" s="413"/>
      <c r="C30" s="2163"/>
      <c r="D30" s="405"/>
      <c r="E30" s="2164"/>
      <c r="F30" s="405"/>
      <c r="G30" s="2164"/>
      <c r="H30" s="405"/>
      <c r="I30" s="2164"/>
      <c r="J30" s="405"/>
      <c r="K30" s="626"/>
      <c r="L30" s="2945"/>
      <c r="M30" s="2946"/>
      <c r="N30" s="2946"/>
      <c r="O30" s="3000"/>
      <c r="P30" s="3340"/>
      <c r="Q30" s="1526"/>
      <c r="R30" s="707"/>
      <c r="S30" s="708"/>
      <c r="T30" s="707"/>
      <c r="U30" s="708"/>
      <c r="V30" s="707"/>
      <c r="W30" s="708"/>
      <c r="X30" s="709"/>
      <c r="Y30" s="3340"/>
      <c r="Z30" s="55"/>
      <c r="AA30" s="1536">
        <v>1</v>
      </c>
      <c r="AB30" s="1536">
        <v>1</v>
      </c>
      <c r="AC30" s="1536">
        <v>1</v>
      </c>
    </row>
    <row r="31" spans="1:29" ht="15">
      <c r="A31" s="385"/>
      <c r="B31" s="413" t="s">
        <v>2478</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50"/>
      <c r="M31" s="2944"/>
      <c r="N31" s="2944"/>
      <c r="O31" s="3002"/>
      <c r="P31" s="3340"/>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340"/>
      <c r="Z31" s="1539" t="str">
        <f t="shared" ref="Z31:Z45" si="13">Q31</f>
        <v>临街状况</v>
      </c>
      <c r="AA31" s="1536">
        <f t="shared" si="3"/>
        <v>1</v>
      </c>
      <c r="AB31" s="1536">
        <f t="shared" si="4"/>
        <v>1</v>
      </c>
      <c r="AC31" s="1536">
        <f t="shared" si="5"/>
        <v>1</v>
      </c>
    </row>
    <row r="32" spans="1:29" ht="27">
      <c r="A32" s="385"/>
      <c r="B32" s="1290" t="s">
        <v>2513</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50"/>
      <c r="M32" s="2944"/>
      <c r="N32" s="2944"/>
      <c r="O32" s="3002"/>
      <c r="P32" s="3340"/>
      <c r="Q32" s="1535" t="str">
        <f t="shared" si="8"/>
        <v>毗邻道路的类型与等级</v>
      </c>
      <c r="R32" s="711" t="s">
        <v>17</v>
      </c>
      <c r="S32" s="712">
        <f t="shared" si="10"/>
        <v>100</v>
      </c>
      <c r="T32" s="711" t="s">
        <v>17</v>
      </c>
      <c r="U32" s="712">
        <f t="shared" si="11"/>
        <v>100</v>
      </c>
      <c r="V32" s="711" t="s">
        <v>17</v>
      </c>
      <c r="W32" s="712">
        <f t="shared" si="12"/>
        <v>100</v>
      </c>
      <c r="X32" s="1538"/>
      <c r="Y32" s="3340"/>
      <c r="Z32" s="1539" t="str">
        <f t="shared" si="13"/>
        <v>毗邻道路的类型与等级</v>
      </c>
      <c r="AA32" s="1536">
        <f t="shared" si="3"/>
        <v>1</v>
      </c>
      <c r="AB32" s="1536">
        <f t="shared" si="4"/>
        <v>1</v>
      </c>
      <c r="AC32" s="1536">
        <f t="shared" si="5"/>
        <v>1</v>
      </c>
    </row>
    <row r="33" spans="1:29" ht="15">
      <c r="A33" s="385"/>
      <c r="B33" s="413"/>
      <c r="C33" s="404"/>
      <c r="D33" s="405"/>
      <c r="E33" s="2089"/>
      <c r="F33" s="405"/>
      <c r="G33" s="2089"/>
      <c r="H33" s="405"/>
      <c r="I33" s="404"/>
      <c r="J33" s="405"/>
      <c r="K33" s="568"/>
      <c r="L33" s="2950"/>
      <c r="M33" s="2944"/>
      <c r="N33" s="2944"/>
      <c r="O33" s="3002"/>
      <c r="P33" s="3340"/>
      <c r="Q33" s="1535"/>
      <c r="R33" s="711"/>
      <c r="S33" s="712"/>
      <c r="T33" s="711"/>
      <c r="U33" s="712"/>
      <c r="V33" s="711"/>
      <c r="W33" s="712"/>
      <c r="X33" s="1538"/>
      <c r="Y33" s="3340"/>
      <c r="Z33" s="1539"/>
      <c r="AA33" s="1536">
        <v>1</v>
      </c>
      <c r="AB33" s="1536">
        <v>1</v>
      </c>
      <c r="AC33" s="1536">
        <v>1</v>
      </c>
    </row>
    <row r="34" spans="1:29" ht="15">
      <c r="A34" s="385"/>
      <c r="B34" s="379" t="s">
        <v>2571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50"/>
      <c r="M34" s="2944"/>
      <c r="N34" s="2944"/>
      <c r="O34" s="3002"/>
      <c r="P34" s="3340"/>
      <c r="Q34" s="1535" t="str">
        <f t="shared" si="8"/>
        <v>土地级别</v>
      </c>
      <c r="R34" s="711" t="s">
        <v>17</v>
      </c>
      <c r="S34" s="712">
        <f t="shared" si="10"/>
        <v>100</v>
      </c>
      <c r="T34" s="711" t="s">
        <v>17</v>
      </c>
      <c r="U34" s="712">
        <f t="shared" si="11"/>
        <v>100</v>
      </c>
      <c r="V34" s="711" t="s">
        <v>17</v>
      </c>
      <c r="W34" s="712">
        <f t="shared" si="12"/>
        <v>100</v>
      </c>
      <c r="X34" s="1538"/>
      <c r="Y34" s="3340"/>
      <c r="Z34" s="1539" t="str">
        <f t="shared" si="13"/>
        <v>土地级别</v>
      </c>
      <c r="AA34" s="1536">
        <f t="shared" si="3"/>
        <v>1</v>
      </c>
      <c r="AB34" s="1536">
        <f t="shared" si="4"/>
        <v>1</v>
      </c>
      <c r="AC34" s="1536">
        <f t="shared" si="5"/>
        <v>1</v>
      </c>
    </row>
    <row r="35" spans="1:29" ht="15">
      <c r="A35" s="362"/>
      <c r="B35" s="129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50"/>
      <c r="M35" s="2944"/>
      <c r="N35" s="2944"/>
      <c r="O35" s="3002"/>
      <c r="P35" s="3340"/>
      <c r="Q35" s="1535">
        <f t="shared" si="8"/>
        <v>111</v>
      </c>
      <c r="R35" s="711" t="s">
        <v>17</v>
      </c>
      <c r="S35" s="712">
        <f t="shared" si="10"/>
        <v>100</v>
      </c>
      <c r="T35" s="711" t="s">
        <v>17</v>
      </c>
      <c r="U35" s="712">
        <f t="shared" si="11"/>
        <v>100</v>
      </c>
      <c r="V35" s="711" t="s">
        <v>17</v>
      </c>
      <c r="W35" s="712">
        <f t="shared" si="12"/>
        <v>100</v>
      </c>
      <c r="X35" s="1538"/>
      <c r="Y35" s="3340"/>
      <c r="Z35" s="1539">
        <f t="shared" si="13"/>
        <v>111</v>
      </c>
      <c r="AA35" s="1536">
        <f t="shared" si="3"/>
        <v>1</v>
      </c>
      <c r="AB35" s="1536">
        <f t="shared" si="4"/>
        <v>1</v>
      </c>
      <c r="AC35" s="1536">
        <f t="shared" si="5"/>
        <v>1</v>
      </c>
    </row>
    <row r="36" spans="1:29" ht="15">
      <c r="A36" s="629"/>
      <c r="B36" s="129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50"/>
      <c r="M36" s="2944"/>
      <c r="N36" s="2944"/>
      <c r="O36" s="3002"/>
      <c r="P36" s="3371" t="s">
        <v>2387</v>
      </c>
      <c r="Q36" s="1535">
        <f t="shared" si="8"/>
        <v>111</v>
      </c>
      <c r="R36" s="711" t="s">
        <v>17</v>
      </c>
      <c r="S36" s="712">
        <f t="shared" si="10"/>
        <v>100</v>
      </c>
      <c r="T36" s="711" t="s">
        <v>17</v>
      </c>
      <c r="U36" s="712">
        <f t="shared" si="11"/>
        <v>100</v>
      </c>
      <c r="V36" s="711" t="s">
        <v>17</v>
      </c>
      <c r="W36" s="712">
        <f t="shared" si="12"/>
        <v>100</v>
      </c>
      <c r="X36" s="1538"/>
      <c r="Y36" s="3344" t="s">
        <v>2387</v>
      </c>
      <c r="Z36" s="1539">
        <f t="shared" si="13"/>
        <v>111</v>
      </c>
      <c r="AA36" s="1536">
        <f t="shared" si="3"/>
        <v>1</v>
      </c>
      <c r="AB36" s="1536">
        <f t="shared" si="4"/>
        <v>1</v>
      </c>
      <c r="AC36" s="1536">
        <f t="shared" si="5"/>
        <v>1</v>
      </c>
    </row>
    <row r="37" spans="1:29" s="428" customFormat="1" ht="15.75" thickBot="1">
      <c r="A37" s="630"/>
      <c r="B37" s="129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9"/>
      <c r="M37" s="2951"/>
      <c r="N37" s="2951"/>
      <c r="O37" s="3003"/>
      <c r="P37" s="3344"/>
      <c r="Q37" s="1535">
        <f t="shared" si="8"/>
        <v>111</v>
      </c>
      <c r="R37" s="714" t="s">
        <v>17</v>
      </c>
      <c r="S37" s="715">
        <f t="shared" si="10"/>
        <v>100</v>
      </c>
      <c r="T37" s="714" t="s">
        <v>17</v>
      </c>
      <c r="U37" s="715">
        <f t="shared" si="11"/>
        <v>100</v>
      </c>
      <c r="V37" s="714" t="s">
        <v>17</v>
      </c>
      <c r="W37" s="715">
        <f t="shared" si="12"/>
        <v>100</v>
      </c>
      <c r="X37" s="716"/>
      <c r="Y37" s="3344"/>
      <c r="Z37" s="717">
        <f t="shared" si="13"/>
        <v>111</v>
      </c>
      <c r="AA37" s="1536">
        <f t="shared" si="3"/>
        <v>1</v>
      </c>
      <c r="AB37" s="1536">
        <f t="shared" si="4"/>
        <v>1</v>
      </c>
      <c r="AC37" s="1536">
        <f t="shared" si="5"/>
        <v>1</v>
      </c>
    </row>
    <row r="38" spans="1:29" ht="15">
      <c r="A38" s="429" t="s">
        <v>2385</v>
      </c>
      <c r="B38" s="413" t="s">
        <v>2572</v>
      </c>
      <c r="C38" s="633">
        <f>面积表!E11</f>
        <v>12115.6</v>
      </c>
      <c r="D38" s="424">
        <v>100</v>
      </c>
      <c r="E38" s="633">
        <f>土地案例!D5</f>
        <v>5287.71</v>
      </c>
      <c r="F38" s="424">
        <f>LOOKUP(E38,117:117,118:118)-LOOKUP(C38,117:117,118:118)+100</f>
        <v>99</v>
      </c>
      <c r="G38" s="633">
        <f>土地案例!D7</f>
        <v>8904.74</v>
      </c>
      <c r="H38" s="424">
        <f>LOOKUP(G38,117:117,118:118)-LOOKUP(C38,117:117,118:118)+100</f>
        <v>99</v>
      </c>
      <c r="I38" s="485">
        <f>土地案例!D8</f>
        <v>9799.93</v>
      </c>
      <c r="J38" s="424">
        <f>LOOKUP(I38,117:117,118:118)-LOOKUP(C38,117:117,118:118)+100</f>
        <v>99</v>
      </c>
      <c r="K38" s="568"/>
      <c r="L38" s="2950"/>
      <c r="M38" s="2944"/>
      <c r="N38" s="2944"/>
      <c r="O38" s="3002"/>
      <c r="P38" s="3344"/>
      <c r="Q38" s="1535" t="str">
        <f>B38</f>
        <v>宗地面积</v>
      </c>
      <c r="R38" s="711" t="s">
        <v>17</v>
      </c>
      <c r="S38" s="712">
        <f t="shared" si="10"/>
        <v>99</v>
      </c>
      <c r="T38" s="711" t="s">
        <v>17</v>
      </c>
      <c r="U38" s="712">
        <f t="shared" si="11"/>
        <v>99</v>
      </c>
      <c r="V38" s="711" t="s">
        <v>17</v>
      </c>
      <c r="W38" s="712">
        <f t="shared" si="12"/>
        <v>99</v>
      </c>
      <c r="X38" s="1538"/>
      <c r="Y38" s="3344"/>
      <c r="Z38" s="1539" t="str">
        <f t="shared" si="13"/>
        <v>宗地面积</v>
      </c>
      <c r="AA38" s="1536">
        <f t="shared" si="3"/>
        <v>1.0101010101010102</v>
      </c>
      <c r="AB38" s="1536">
        <f t="shared" si="4"/>
        <v>1.0101010101010102</v>
      </c>
      <c r="AC38" s="1536">
        <f t="shared" si="5"/>
        <v>1.0101010101010102</v>
      </c>
    </row>
    <row r="39" spans="1:29" ht="15">
      <c r="A39" s="429"/>
      <c r="B39" s="379" t="s">
        <v>2573</v>
      </c>
      <c r="C39" s="2091"/>
      <c r="D39" s="392">
        <v>100</v>
      </c>
      <c r="E39" s="2091"/>
      <c r="F39" s="392">
        <f>SUMIF(119:119,E39,120:120)-SUMIF(119:119,C39,120:120)+100</f>
        <v>100</v>
      </c>
      <c r="G39" s="2091"/>
      <c r="H39" s="392">
        <f>SUMIF(119:119,G39,120:120)-SUMIF(119:119,C39,120:120)+100</f>
        <v>100</v>
      </c>
      <c r="I39" s="2091"/>
      <c r="J39" s="392">
        <f>SUMIF(119:119,I39,120:120)-SUMIF(119:119,C39,120:120)+100</f>
        <v>100</v>
      </c>
      <c r="K39" s="567"/>
      <c r="L39" s="2950"/>
      <c r="M39" s="2944"/>
      <c r="N39" s="2944"/>
      <c r="O39" s="3002"/>
      <c r="P39" s="3344"/>
      <c r="Q39" s="1535" t="str">
        <f t="shared" ref="Q39:Q45" si="14">B39</f>
        <v>宗地形状</v>
      </c>
      <c r="R39" s="711" t="s">
        <v>17</v>
      </c>
      <c r="S39" s="712">
        <f t="shared" si="10"/>
        <v>100</v>
      </c>
      <c r="T39" s="711" t="s">
        <v>17</v>
      </c>
      <c r="U39" s="712">
        <f t="shared" si="11"/>
        <v>100</v>
      </c>
      <c r="V39" s="711" t="s">
        <v>17</v>
      </c>
      <c r="W39" s="712">
        <f t="shared" si="12"/>
        <v>100</v>
      </c>
      <c r="X39" s="1538"/>
      <c r="Y39" s="3344"/>
      <c r="Z39" s="1539" t="str">
        <f t="shared" si="13"/>
        <v>宗地形状</v>
      </c>
      <c r="AA39" s="1536">
        <f t="shared" si="3"/>
        <v>1</v>
      </c>
      <c r="AB39" s="1536">
        <f t="shared" si="4"/>
        <v>1</v>
      </c>
      <c r="AC39" s="1536">
        <f t="shared" si="5"/>
        <v>1</v>
      </c>
    </row>
    <row r="40" spans="1:29" ht="15">
      <c r="A40" s="429"/>
      <c r="B40" s="379" t="s">
        <v>2574</v>
      </c>
      <c r="C40" s="2091"/>
      <c r="D40" s="392">
        <v>100</v>
      </c>
      <c r="E40" s="2091"/>
      <c r="F40" s="392">
        <f>SUMIF(121:121,E40,122:122)-SUMIF(121:121,C40,122:122)+100</f>
        <v>100</v>
      </c>
      <c r="G40" s="2091"/>
      <c r="H40" s="392">
        <f>SUMIF(121:121,G40,122:122)-SUMIF(121:121,C40,122:122)+100</f>
        <v>100</v>
      </c>
      <c r="I40" s="2091"/>
      <c r="J40" s="392">
        <f>SUMIF(121:121,I40,122:122)-SUMIF(121:121,C40,122:122)+100</f>
        <v>100</v>
      </c>
      <c r="K40" s="567"/>
      <c r="L40" s="2950"/>
      <c r="M40" s="2944"/>
      <c r="N40" s="2944"/>
      <c r="O40" s="3002"/>
      <c r="P40" s="3344"/>
      <c r="Q40" s="1535" t="str">
        <f t="shared" si="14"/>
        <v>临街宽度及深度</v>
      </c>
      <c r="R40" s="711" t="s">
        <v>17</v>
      </c>
      <c r="S40" s="712">
        <f t="shared" si="10"/>
        <v>100</v>
      </c>
      <c r="T40" s="711" t="s">
        <v>17</v>
      </c>
      <c r="U40" s="712">
        <f t="shared" si="11"/>
        <v>100</v>
      </c>
      <c r="V40" s="711" t="s">
        <v>17</v>
      </c>
      <c r="W40" s="712">
        <f t="shared" si="12"/>
        <v>100</v>
      </c>
      <c r="X40" s="1538"/>
      <c r="Y40" s="3344"/>
      <c r="Z40" s="1539" t="str">
        <f t="shared" si="13"/>
        <v>临街宽度及深度</v>
      </c>
      <c r="AA40" s="1536">
        <f t="shared" si="3"/>
        <v>1</v>
      </c>
      <c r="AB40" s="1536">
        <f t="shared" si="4"/>
        <v>1</v>
      </c>
      <c r="AC40" s="1536">
        <f t="shared" si="5"/>
        <v>1</v>
      </c>
    </row>
    <row r="41" spans="1:29" s="113" customFormat="1" ht="15">
      <c r="A41" s="430"/>
      <c r="B41" s="379" t="s">
        <v>2575</v>
      </c>
      <c r="C41" s="2165"/>
      <c r="D41" s="130">
        <v>100</v>
      </c>
      <c r="E41" s="2165"/>
      <c r="F41" s="392">
        <f>SUMIF(123:123,E41,124:124)-SUMIF(123:123,C41,124:124)+100</f>
        <v>100</v>
      </c>
      <c r="G41" s="2165"/>
      <c r="H41" s="392">
        <f>SUMIF(123:123,G41,124:124)-SUMIF(123:123,C41,124:124)+100</f>
        <v>100</v>
      </c>
      <c r="I41" s="2165"/>
      <c r="J41" s="392">
        <f>SUMIF(123:123,I41,124:124)-SUMIF(123:123,C41,124:124)+100</f>
        <v>100</v>
      </c>
      <c r="K41" s="567">
        <v>1</v>
      </c>
      <c r="L41" s="2945"/>
      <c r="M41" s="2946"/>
      <c r="N41" s="2946"/>
      <c r="O41" s="3000"/>
      <c r="P41" s="3344"/>
      <c r="Q41" s="1535" t="str">
        <f t="shared" si="14"/>
        <v>宗地开发程度</v>
      </c>
      <c r="R41" s="707" t="s">
        <v>17</v>
      </c>
      <c r="S41" s="708">
        <f t="shared" si="10"/>
        <v>100</v>
      </c>
      <c r="T41" s="707" t="s">
        <v>17</v>
      </c>
      <c r="U41" s="708">
        <f t="shared" si="11"/>
        <v>100</v>
      </c>
      <c r="V41" s="707" t="s">
        <v>17</v>
      </c>
      <c r="W41" s="708">
        <f t="shared" si="12"/>
        <v>100</v>
      </c>
      <c r="X41" s="709"/>
      <c r="Y41" s="3344"/>
      <c r="Z41" s="55" t="str">
        <f t="shared" si="13"/>
        <v>宗地开发程度</v>
      </c>
      <c r="AA41" s="710">
        <f t="shared" si="3"/>
        <v>1</v>
      </c>
      <c r="AB41" s="710">
        <f t="shared" si="4"/>
        <v>1</v>
      </c>
      <c r="AC41" s="710">
        <f t="shared" si="5"/>
        <v>1</v>
      </c>
    </row>
    <row r="42" spans="1:29" ht="15">
      <c r="A42" s="429"/>
      <c r="B42" s="379" t="s">
        <v>2576</v>
      </c>
      <c r="C42" s="2091"/>
      <c r="D42" s="392">
        <v>100</v>
      </c>
      <c r="E42" s="2091"/>
      <c r="F42" s="392">
        <f>SUMIF(125:125,E42,126:126)-SUMIF(125:125,C42,126:126)+100</f>
        <v>100</v>
      </c>
      <c r="G42" s="2091"/>
      <c r="H42" s="392">
        <f>SUMIF(125:125,G42,126:126)-SUMIF(125:125,C42,126:126)+100</f>
        <v>100</v>
      </c>
      <c r="I42" s="2091"/>
      <c r="J42" s="392">
        <f>SUMIF(125:125,I42,126:126)-SUMIF(125:125,C42,126:126)+100</f>
        <v>100</v>
      </c>
      <c r="K42" s="567">
        <v>2</v>
      </c>
      <c r="L42" s="2950"/>
      <c r="M42" s="2944"/>
      <c r="N42" s="2944"/>
      <c r="O42" s="3002"/>
      <c r="P42" s="3344" t="s">
        <v>2387</v>
      </c>
      <c r="Q42" s="1535" t="str">
        <f t="shared" si="14"/>
        <v>工程地质条件</v>
      </c>
      <c r="R42" s="711" t="s">
        <v>17</v>
      </c>
      <c r="S42" s="712">
        <f t="shared" si="10"/>
        <v>100</v>
      </c>
      <c r="T42" s="711" t="s">
        <v>17</v>
      </c>
      <c r="U42" s="712">
        <f t="shared" si="11"/>
        <v>100</v>
      </c>
      <c r="V42" s="711" t="s">
        <v>17</v>
      </c>
      <c r="W42" s="712">
        <f t="shared" si="12"/>
        <v>100</v>
      </c>
      <c r="X42" s="1538"/>
      <c r="Y42" s="3344" t="s">
        <v>2387</v>
      </c>
      <c r="Z42" s="1539" t="str">
        <f t="shared" si="13"/>
        <v>工程地质条件</v>
      </c>
      <c r="AA42" s="1536">
        <f t="shared" si="3"/>
        <v>1</v>
      </c>
      <c r="AB42" s="1536">
        <f t="shared" si="4"/>
        <v>1</v>
      </c>
      <c r="AC42" s="1536">
        <f t="shared" si="5"/>
        <v>1</v>
      </c>
    </row>
    <row r="43" spans="1:29" ht="15">
      <c r="A43" s="429"/>
      <c r="B43" s="129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50"/>
      <c r="M43" s="2944"/>
      <c r="N43" s="2944"/>
      <c r="O43" s="3002"/>
      <c r="P43" s="3344"/>
      <c r="Q43" s="1535">
        <f t="shared" si="14"/>
        <v>111</v>
      </c>
      <c r="R43" s="711" t="s">
        <v>17</v>
      </c>
      <c r="S43" s="712">
        <f t="shared" si="10"/>
        <v>100</v>
      </c>
      <c r="T43" s="711" t="s">
        <v>17</v>
      </c>
      <c r="U43" s="712">
        <f t="shared" si="11"/>
        <v>100</v>
      </c>
      <c r="V43" s="711" t="s">
        <v>17</v>
      </c>
      <c r="W43" s="712">
        <f t="shared" si="12"/>
        <v>100</v>
      </c>
      <c r="X43" s="1538"/>
      <c r="Y43" s="3344"/>
      <c r="Z43" s="1539">
        <f t="shared" si="13"/>
        <v>111</v>
      </c>
      <c r="AA43" s="1536">
        <f t="shared" si="3"/>
        <v>1</v>
      </c>
      <c r="AB43" s="1536">
        <f t="shared" si="4"/>
        <v>1</v>
      </c>
      <c r="AC43" s="1536">
        <f t="shared" si="5"/>
        <v>1</v>
      </c>
    </row>
    <row r="44" spans="1:29" ht="15">
      <c r="A44" s="429"/>
      <c r="B44" s="129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50"/>
      <c r="M44" s="2944"/>
      <c r="N44" s="2944"/>
      <c r="O44" s="3002"/>
      <c r="P44" s="3344"/>
      <c r="Q44" s="1535">
        <f t="shared" si="14"/>
        <v>111</v>
      </c>
      <c r="R44" s="711" t="s">
        <v>17</v>
      </c>
      <c r="S44" s="712">
        <f t="shared" si="10"/>
        <v>100</v>
      </c>
      <c r="T44" s="711" t="s">
        <v>17</v>
      </c>
      <c r="U44" s="712">
        <f t="shared" si="11"/>
        <v>100</v>
      </c>
      <c r="V44" s="711" t="s">
        <v>17</v>
      </c>
      <c r="W44" s="712">
        <f t="shared" si="12"/>
        <v>100</v>
      </c>
      <c r="X44" s="1538"/>
      <c r="Y44" s="3344"/>
      <c r="Z44" s="1539">
        <f t="shared" si="13"/>
        <v>111</v>
      </c>
      <c r="AA44" s="1536">
        <f t="shared" si="3"/>
        <v>1</v>
      </c>
      <c r="AB44" s="1536">
        <f t="shared" si="4"/>
        <v>1</v>
      </c>
      <c r="AC44" s="1536">
        <f t="shared" si="5"/>
        <v>1</v>
      </c>
    </row>
    <row r="45" spans="1:29" s="428" customFormat="1" ht="15.75" thickBot="1">
      <c r="A45" s="425"/>
      <c r="B45" s="1293">
        <v>111</v>
      </c>
      <c r="C45" s="2166"/>
      <c r="D45" s="634">
        <v>100</v>
      </c>
      <c r="E45" s="628"/>
      <c r="F45" s="395">
        <f>SUMIF(131:131,E45,132:132)-SUMIF(131:131,C45,132:132)+100</f>
        <v>100</v>
      </c>
      <c r="G45" s="628"/>
      <c r="H45" s="395">
        <f>SUMIF(131:131,G45,132:132)-SUMIF(131:131,C45,132:132)+100</f>
        <v>100</v>
      </c>
      <c r="I45" s="628"/>
      <c r="J45" s="395">
        <f>SUMIF(131:131,I45,132:132)-SUMIF(131:131,C45,132:132)+100</f>
        <v>100</v>
      </c>
      <c r="K45" s="635"/>
      <c r="L45" s="2949"/>
      <c r="M45" s="2951"/>
      <c r="N45" s="2951"/>
      <c r="O45" s="3003"/>
      <c r="P45" s="3344"/>
      <c r="Q45" s="1535">
        <f t="shared" si="14"/>
        <v>111</v>
      </c>
      <c r="R45" s="714" t="s">
        <v>17</v>
      </c>
      <c r="S45" s="715">
        <f t="shared" si="10"/>
        <v>100</v>
      </c>
      <c r="T45" s="714" t="s">
        <v>17</v>
      </c>
      <c r="U45" s="715">
        <f t="shared" si="11"/>
        <v>100</v>
      </c>
      <c r="V45" s="714" t="s">
        <v>17</v>
      </c>
      <c r="W45" s="715">
        <f t="shared" si="12"/>
        <v>100</v>
      </c>
      <c r="X45" s="716"/>
      <c r="Y45" s="3344"/>
      <c r="Z45" s="717">
        <f t="shared" si="13"/>
        <v>111</v>
      </c>
      <c r="AA45" s="1536">
        <f t="shared" si="3"/>
        <v>1</v>
      </c>
      <c r="AB45" s="1536">
        <f t="shared" si="4"/>
        <v>1</v>
      </c>
      <c r="AC45" s="1536">
        <f t="shared" si="5"/>
        <v>1</v>
      </c>
    </row>
    <row r="46" spans="1:29" ht="15">
      <c r="A46" s="436" t="s">
        <v>2542</v>
      </c>
      <c r="B46" s="2167" t="s">
        <v>2577</v>
      </c>
      <c r="C46" s="636" t="s">
        <v>1</v>
      </c>
      <c r="D46" s="438"/>
      <c r="E46" s="439">
        <v>4057</v>
      </c>
      <c r="F46" s="440"/>
      <c r="G46" s="441">
        <v>3702</v>
      </c>
      <c r="H46" s="442"/>
      <c r="I46" s="439">
        <v>3265</v>
      </c>
      <c r="J46" s="442"/>
      <c r="K46" s="720"/>
      <c r="L46" s="2952"/>
      <c r="M46" s="2953"/>
      <c r="N46" s="2944"/>
      <c r="O46" s="2953"/>
      <c r="P46" s="3346" t="str">
        <f>A46</f>
        <v>成交单价</v>
      </c>
      <c r="Q46" s="3346"/>
      <c r="R46" s="3307">
        <f>E46</f>
        <v>4057</v>
      </c>
      <c r="S46" s="3307"/>
      <c r="T46" s="3307">
        <f>G46</f>
        <v>3702</v>
      </c>
      <c r="U46" s="3307"/>
      <c r="V46" s="3307">
        <f>I46</f>
        <v>3265</v>
      </c>
      <c r="W46" s="3307"/>
      <c r="X46" s="696"/>
      <c r="Y46" s="718"/>
      <c r="Z46" s="696"/>
      <c r="AA46" s="696"/>
      <c r="AB46" s="696"/>
      <c r="AC46" s="696"/>
    </row>
    <row r="47" spans="1:29" ht="15.75" thickBot="1">
      <c r="A47" s="443" t="s">
        <v>2491</v>
      </c>
      <c r="B47" s="637"/>
      <c r="C47" s="446">
        <f>R48</f>
        <v>3717</v>
      </c>
      <c r="D47" s="2537" t="s">
        <v>2881</v>
      </c>
      <c r="E47" s="446">
        <f>R47</f>
        <v>4065</v>
      </c>
      <c r="F47" s="2538"/>
      <c r="G47" s="445">
        <f>T47</f>
        <v>3710</v>
      </c>
      <c r="H47" s="2538"/>
      <c r="I47" s="446">
        <f>V47</f>
        <v>3377</v>
      </c>
      <c r="J47" s="2538"/>
      <c r="K47" s="2540">
        <f>F47+H47+J47</f>
        <v>0</v>
      </c>
      <c r="L47" s="2952"/>
      <c r="M47" s="2953"/>
      <c r="N47" s="2953"/>
      <c r="O47" s="2953"/>
      <c r="P47" s="3346" t="str">
        <f>A47</f>
        <v>比较价值（元/平方米）</v>
      </c>
      <c r="Q47" s="3346"/>
      <c r="R47" s="3378">
        <f>ROUND(PRODUCT(R46,AA7:AA45),0)</f>
        <v>4065</v>
      </c>
      <c r="S47" s="3378"/>
      <c r="T47" s="3378">
        <f>ROUND(PRODUCT(T46,AB7:AB45),0)</f>
        <v>3710</v>
      </c>
      <c r="U47" s="3378"/>
      <c r="V47" s="3378">
        <f>ROUND(PRODUCT(V46,AC7:AC45),0)</f>
        <v>3377</v>
      </c>
      <c r="W47" s="3378"/>
      <c r="X47" s="696"/>
      <c r="Y47" s="696"/>
      <c r="Z47" s="696"/>
      <c r="AA47" s="696"/>
      <c r="AB47" s="696"/>
      <c r="AC47" s="696"/>
    </row>
    <row r="48" spans="1:29" ht="15.75" thickBot="1">
      <c r="A48" s="447" t="s">
        <v>2578</v>
      </c>
      <c r="B48" s="448"/>
      <c r="C48" s="449">
        <f>R48</f>
        <v>3717</v>
      </c>
      <c r="D48" s="449"/>
      <c r="E48" s="449"/>
      <c r="F48" s="449"/>
      <c r="G48" s="449"/>
      <c r="H48" s="449"/>
      <c r="I48" s="449"/>
      <c r="J48" s="449"/>
      <c r="K48" s="721"/>
      <c r="L48" s="2952"/>
      <c r="M48" s="2953"/>
      <c r="N48" s="2953"/>
      <c r="O48" s="2953"/>
      <c r="P48" s="3348" t="str">
        <f>A48</f>
        <v>估价对象XX用房的比较价值（楼面单价，元/平方米）</v>
      </c>
      <c r="Q48" s="3349"/>
      <c r="R48" s="3379">
        <f>ROUND(IF(D47="简单平均",AVERAGE(R47:W47),R47*F47+T47*H47+V47*J47),0)</f>
        <v>3717</v>
      </c>
      <c r="S48" s="3379"/>
      <c r="T48" s="3379"/>
      <c r="U48" s="3379"/>
      <c r="V48" s="3379"/>
      <c r="W48" s="3379"/>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2" t="s">
        <v>2493</v>
      </c>
      <c r="D51" s="453"/>
      <c r="E51" s="454">
        <f>IF(E46&lt;E47,E47/E46-1,E46/E47-1)</f>
        <v>1.9719004190288381E-3</v>
      </c>
      <c r="F51" s="455" t="str">
        <f>IF(OR(E51&gt;=0.3,E51&lt;=-0.3),"超过30%","")</f>
        <v/>
      </c>
      <c r="G51" s="454">
        <f>IF(G46&lt;G47,G47/G46-1,G46/G47-1)</f>
        <v>2.160994057266441E-3</v>
      </c>
      <c r="H51" s="455" t="str">
        <f>IF(OR(G51&gt;=0.3,G51&lt;=-0.3),"超过30%","")</f>
        <v/>
      </c>
      <c r="I51" s="454">
        <f>IF(I46&lt;I47,I47/I46-1,I46/I47-1)</f>
        <v>3.4303215926493102E-2</v>
      </c>
      <c r="J51" s="455"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2" t="s">
        <v>2494</v>
      </c>
      <c r="D52" s="456"/>
      <c r="E52" s="454">
        <f>IF(E47&lt;G47,G47/E47-1,E47/G47-1)</f>
        <v>9.5687331536388198E-2</v>
      </c>
      <c r="F52" s="455" t="str">
        <f>IF(OR(E52&gt;=0.2,E52&lt;=-0.2),"超过20%","")</f>
        <v/>
      </c>
      <c r="G52" s="454">
        <f>IF(G47&lt;I47,I47/G47-1,G47/I47-1)</f>
        <v>9.8608232158720721E-2</v>
      </c>
      <c r="H52" s="455" t="str">
        <f>IF(OR(G52&gt;=0.2,G52&lt;=-0.2),"超过20%","")</f>
        <v/>
      </c>
      <c r="I52" s="454">
        <f>IF(I47&lt;E47,E47/I47-1,I47/E47-1)</f>
        <v>0.20373112229789747</v>
      </c>
      <c r="J52" s="455"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7" customFormat="1" ht="13.5" customHeight="1">
      <c r="A53" s="2956"/>
      <c r="B53" s="2956"/>
      <c r="C53" s="452" t="s">
        <v>2495</v>
      </c>
      <c r="D53" s="456"/>
      <c r="E53" s="454">
        <f>IF(E46&lt;G46,G46/E46-1,E46/G46-1)</f>
        <v>9.5894111291193962E-2</v>
      </c>
      <c r="F53" s="455" t="str">
        <f>IF(OR(E53&gt;=0.3,E53&lt;=-0.3),"超过30%","")</f>
        <v/>
      </c>
      <c r="G53" s="454">
        <f>IF(G46&lt;I46,I46/G46-1,G46/I46-1)</f>
        <v>0.13384379785604894</v>
      </c>
      <c r="H53" s="455" t="str">
        <f>IF(OR(G53&gt;=0.3,G53&lt;=-0.3),"超过30%","")</f>
        <v/>
      </c>
      <c r="I53" s="454">
        <f>IF(I46&lt;E46,E46/I46-1,I46/E46-1)</f>
        <v>0.24257274119448691</v>
      </c>
      <c r="J53" s="455"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7"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8" t="s">
        <v>2579</v>
      </c>
      <c r="B55" s="639" t="s">
        <v>2580</v>
      </c>
      <c r="C55" s="2168" t="s">
        <v>3185</v>
      </c>
      <c r="D55" s="2169" t="s">
        <v>2582</v>
      </c>
      <c r="E55" s="640" t="s">
        <v>2583</v>
      </c>
      <c r="F55" s="1018" t="s">
        <v>2584</v>
      </c>
      <c r="G55" s="3324" t="s">
        <v>2585</v>
      </c>
      <c r="H55" s="3380"/>
      <c r="I55" s="138"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6" customFormat="1">
      <c r="A56" s="642" t="s">
        <v>2588</v>
      </c>
      <c r="B56" s="643">
        <f>C48</f>
        <v>3717</v>
      </c>
      <c r="C56" s="644">
        <v>1</v>
      </c>
      <c r="D56" s="1072">
        <v>1</v>
      </c>
      <c r="E56" s="644">
        <f>'数据-汇总表'!E8+'数据-汇总表'!E9</f>
        <v>15116.56</v>
      </c>
      <c r="F56" s="1014">
        <f t="shared" ref="F56:F65" si="15">ROUND(B56*E56/10000,0)</f>
        <v>5619</v>
      </c>
      <c r="G56" s="3323"/>
      <c r="H56" s="3346"/>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6" customFormat="1">
      <c r="A57" s="647" t="s">
        <v>2589</v>
      </c>
      <c r="B57" s="222">
        <f>ROUND($C$48*C57*D57,0)</f>
        <v>0</v>
      </c>
      <c r="C57" s="174">
        <f t="shared" ref="C57:C65" si="16">IF($C$55="北京市系数",I57,J57)</f>
        <v>0</v>
      </c>
      <c r="D57" s="1073">
        <v>0.25</v>
      </c>
      <c r="E57" s="648"/>
      <c r="F57" s="1014">
        <f t="shared" si="15"/>
        <v>0</v>
      </c>
      <c r="G57" s="3381" t="s">
        <v>2590</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6" customFormat="1">
      <c r="A58" s="647" t="s">
        <v>2591</v>
      </c>
      <c r="B58" s="222">
        <f t="shared" ref="B58:B65" si="17">ROUND($C$48*C58*D58,0)</f>
        <v>0</v>
      </c>
      <c r="C58" s="174">
        <f t="shared" si="16"/>
        <v>0</v>
      </c>
      <c r="D58" s="1073">
        <v>0.25</v>
      </c>
      <c r="E58" s="648"/>
      <c r="F58" s="1014">
        <f t="shared" si="15"/>
        <v>0</v>
      </c>
      <c r="G58" s="3381"/>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6" customFormat="1">
      <c r="A59" s="647" t="s">
        <v>2592</v>
      </c>
      <c r="B59" s="222">
        <f t="shared" si="17"/>
        <v>0</v>
      </c>
      <c r="C59" s="174">
        <f t="shared" si="16"/>
        <v>0</v>
      </c>
      <c r="D59" s="1073">
        <v>0.25</v>
      </c>
      <c r="E59" s="648"/>
      <c r="F59" s="1014">
        <f t="shared" si="15"/>
        <v>0</v>
      </c>
      <c r="G59" s="3381"/>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6" customFormat="1">
      <c r="A60" s="647" t="s">
        <v>2593</v>
      </c>
      <c r="B60" s="222">
        <f t="shared" si="17"/>
        <v>0</v>
      </c>
      <c r="C60" s="174">
        <f t="shared" si="16"/>
        <v>0</v>
      </c>
      <c r="D60" s="1073">
        <v>0.25</v>
      </c>
      <c r="E60" s="648"/>
      <c r="F60" s="1014">
        <f t="shared" si="15"/>
        <v>0</v>
      </c>
      <c r="G60" s="3381"/>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6" customFormat="1">
      <c r="A61" s="647" t="s">
        <v>2594</v>
      </c>
      <c r="B61" s="222">
        <f t="shared" si="17"/>
        <v>0</v>
      </c>
      <c r="C61" s="174">
        <f t="shared" si="16"/>
        <v>0</v>
      </c>
      <c r="D61" s="1073">
        <v>0.25</v>
      </c>
      <c r="E61" s="221">
        <f>'数据-汇总表'!E11</f>
        <v>0</v>
      </c>
      <c r="F61" s="1014">
        <f t="shared" si="15"/>
        <v>0</v>
      </c>
      <c r="G61" s="2172" t="s">
        <v>2595</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6" customFormat="1">
      <c r="A62" s="647" t="s">
        <v>2596</v>
      </c>
      <c r="B62" s="222">
        <f t="shared" si="17"/>
        <v>0</v>
      </c>
      <c r="C62" s="174">
        <f t="shared" si="16"/>
        <v>0</v>
      </c>
      <c r="D62" s="1073">
        <v>0.25</v>
      </c>
      <c r="E62" s="221">
        <f>'数据-汇总表'!E12</f>
        <v>0</v>
      </c>
      <c r="F62" s="1014">
        <f t="shared" si="15"/>
        <v>0</v>
      </c>
      <c r="G62" s="1020" t="s">
        <v>2597</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6" customFormat="1">
      <c r="A63" s="647" t="s">
        <v>2598</v>
      </c>
      <c r="B63" s="222">
        <f t="shared" si="17"/>
        <v>0</v>
      </c>
      <c r="C63" s="174">
        <f t="shared" si="16"/>
        <v>0</v>
      </c>
      <c r="D63" s="1073">
        <v>0.25</v>
      </c>
      <c r="E63" s="221">
        <f>'数据-汇总表'!E13</f>
        <v>0</v>
      </c>
      <c r="F63" s="1014">
        <f t="shared" si="15"/>
        <v>0</v>
      </c>
      <c r="G63" s="1020" t="s">
        <v>3183</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6" customFormat="1">
      <c r="A64" s="647" t="s">
        <v>2600</v>
      </c>
      <c r="B64" s="222">
        <f t="shared" si="17"/>
        <v>232</v>
      </c>
      <c r="C64" s="174">
        <f t="shared" si="16"/>
        <v>0.25</v>
      </c>
      <c r="D64" s="1073">
        <v>0.25</v>
      </c>
      <c r="E64" s="221">
        <f>'数据-汇总表'!E14</f>
        <v>7889.71</v>
      </c>
      <c r="F64" s="1014">
        <f t="shared" si="15"/>
        <v>183</v>
      </c>
      <c r="G64" s="2172" t="s">
        <v>2590</v>
      </c>
      <c r="H64" s="1015">
        <f>项目基本情况!B37</f>
        <v>0</v>
      </c>
      <c r="I64" s="1019">
        <f>SUMIF(修正!A45:A56,H64,修正!H45:H56)</f>
        <v>0</v>
      </c>
      <c r="J64" s="1023">
        <v>0.25</v>
      </c>
      <c r="K64" s="2956"/>
      <c r="L64" s="3010"/>
      <c r="M64" s="3010"/>
      <c r="N64" s="3010"/>
      <c r="O64" s="3010"/>
      <c r="P64" s="3010"/>
      <c r="Q64" s="3010"/>
      <c r="R64" s="3010"/>
      <c r="S64" s="3010"/>
      <c r="T64" s="3010"/>
      <c r="U64" s="3010"/>
      <c r="V64" s="3010"/>
      <c r="W64" s="3010"/>
      <c r="X64" s="3010"/>
      <c r="Y64" s="3010"/>
      <c r="Z64" s="3010"/>
      <c r="AA64" s="3010"/>
      <c r="AB64" s="3010"/>
      <c r="AC64" s="3010"/>
    </row>
    <row r="65" spans="1:29" s="646" customFormat="1" ht="15" thickBot="1">
      <c r="A65" s="647" t="s">
        <v>2601</v>
      </c>
      <c r="B65" s="222">
        <f t="shared" si="17"/>
        <v>0</v>
      </c>
      <c r="C65" s="174">
        <f t="shared" si="16"/>
        <v>0</v>
      </c>
      <c r="D65" s="1073">
        <v>0.25</v>
      </c>
      <c r="E65" s="221">
        <f>'数据-汇总表'!E15</f>
        <v>0</v>
      </c>
      <c r="F65" s="1014">
        <f t="shared" si="15"/>
        <v>0</v>
      </c>
      <c r="G65" s="2173" t="s">
        <v>2595</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6" customFormat="1" ht="13.5" thickBot="1">
      <c r="A66" s="649" t="s">
        <v>2602</v>
      </c>
      <c r="B66" s="650" t="s">
        <v>28</v>
      </c>
      <c r="C66" s="650" t="s">
        <v>29</v>
      </c>
      <c r="D66" s="650" t="s">
        <v>997</v>
      </c>
      <c r="E66" s="650">
        <f>IF(B46="楼面地价",SUM(E56:E65),'数据-汇总表'!D3)</f>
        <v>23006.27</v>
      </c>
      <c r="F66" s="651">
        <f>IF(B46="楼面地价",SUM(F56:F65),ROUND(C48*E66/10000,0))</f>
        <v>5802</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3" customFormat="1" ht="15">
      <c r="A70" s="2174" t="s">
        <v>2603</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2" t="str">
        <f>"北京市平均增长率"&amp;TEXT(SUMIF(基准地价修正!N21:N25,A71,基准地价修正!P21:P25),"0.00%")</f>
        <v>北京市平均增长率1.90%</v>
      </c>
      <c r="C71" s="558">
        <v>100</v>
      </c>
      <c r="D71" s="550">
        <f>C71-$C$72</f>
        <v>99</v>
      </c>
      <c r="E71" s="550">
        <f t="shared" ref="E71:M71" si="20">D71-$C$72</f>
        <v>98</v>
      </c>
      <c r="F71" s="550">
        <f t="shared" si="20"/>
        <v>97</v>
      </c>
      <c r="G71" s="550">
        <f t="shared" si="20"/>
        <v>96</v>
      </c>
      <c r="H71" s="550">
        <f t="shared" si="20"/>
        <v>95</v>
      </c>
      <c r="I71" s="550">
        <f t="shared" si="20"/>
        <v>94</v>
      </c>
      <c r="J71" s="550">
        <f t="shared" si="20"/>
        <v>93</v>
      </c>
      <c r="K71" s="550">
        <f t="shared" si="20"/>
        <v>92</v>
      </c>
      <c r="L71" s="550">
        <f t="shared" si="20"/>
        <v>91</v>
      </c>
      <c r="M71" s="550">
        <f t="shared" si="20"/>
        <v>90</v>
      </c>
      <c r="N71" s="550"/>
      <c r="O71" s="1338"/>
      <c r="P71" s="2967"/>
      <c r="Q71" s="2887"/>
      <c r="R71" s="2887"/>
      <c r="S71" s="2887"/>
      <c r="T71" s="2887"/>
      <c r="U71" s="2887"/>
      <c r="V71" s="2887"/>
      <c r="W71" s="2887"/>
      <c r="X71" s="2887"/>
      <c r="Y71" s="2887"/>
      <c r="Z71" s="2887"/>
      <c r="AA71" s="2887"/>
      <c r="AB71" s="2887"/>
      <c r="AC71" s="2887"/>
    </row>
    <row r="72" spans="1:29" s="113" customFormat="1" ht="15.75" thickBot="1">
      <c r="A72" s="470" t="s">
        <v>2407</v>
      </c>
      <c r="B72" s="471"/>
      <c r="C72" s="472">
        <v>1</v>
      </c>
      <c r="D72" s="473"/>
      <c r="E72" s="473"/>
      <c r="F72" s="473"/>
      <c r="G72" s="473"/>
      <c r="H72" s="473"/>
      <c r="I72" s="473"/>
      <c r="J72" s="473"/>
      <c r="K72" s="473"/>
      <c r="L72" s="473"/>
      <c r="M72" s="474"/>
      <c r="N72" s="473"/>
      <c r="O72" s="1071"/>
      <c r="P72" s="2967"/>
      <c r="Q72" s="2967"/>
      <c r="R72" s="2887"/>
      <c r="S72" s="2887"/>
      <c r="T72" s="2887"/>
      <c r="U72" s="2887"/>
      <c r="V72" s="2887"/>
      <c r="W72" s="2887"/>
      <c r="X72" s="2887"/>
      <c r="Y72" s="2887"/>
      <c r="Z72" s="2887"/>
      <c r="AA72" s="2887"/>
      <c r="AB72" s="2887"/>
      <c r="AC72" s="2887"/>
    </row>
    <row r="73" spans="1:29" s="113" customFormat="1" ht="15">
      <c r="A73" s="476" t="s">
        <v>2372</v>
      </c>
      <c r="B73" s="465"/>
      <c r="C73" s="477" t="s">
        <v>2474</v>
      </c>
      <c r="D73" s="478"/>
      <c r="E73" s="478"/>
      <c r="F73" s="478"/>
      <c r="G73" s="478"/>
      <c r="H73" s="478"/>
      <c r="I73" s="478"/>
      <c r="J73" s="478"/>
      <c r="K73" s="478"/>
      <c r="L73" s="479"/>
      <c r="M73" s="480"/>
      <c r="N73" s="2980"/>
      <c r="O73" s="2980"/>
      <c r="P73" s="3005"/>
      <c r="Q73" s="2967"/>
      <c r="R73" s="2887"/>
      <c r="S73" s="2887"/>
      <c r="T73" s="2887"/>
      <c r="U73" s="2887"/>
      <c r="V73" s="2887"/>
      <c r="W73" s="2887"/>
      <c r="X73" s="2887"/>
      <c r="Y73" s="2887"/>
      <c r="Z73" s="2887"/>
      <c r="AA73" s="2887"/>
      <c r="AB73" s="2887"/>
      <c r="AC73" s="2887"/>
    </row>
    <row r="74" spans="1:29" s="113" customFormat="1" ht="15.75" thickBot="1">
      <c r="A74" s="476"/>
      <c r="B74" s="465"/>
      <c r="C74" s="593">
        <v>100</v>
      </c>
      <c r="D74" s="467"/>
      <c r="E74" s="467"/>
      <c r="F74" s="467"/>
      <c r="G74" s="467"/>
      <c r="H74" s="467"/>
      <c r="I74" s="467"/>
      <c r="J74" s="467"/>
      <c r="K74" s="467"/>
      <c r="L74" s="467"/>
      <c r="M74" s="469"/>
      <c r="N74" s="2980"/>
      <c r="O74" s="2980"/>
      <c r="P74" s="2967"/>
      <c r="Q74" s="2967"/>
      <c r="R74" s="2887"/>
      <c r="S74" s="2887"/>
      <c r="T74" s="2887"/>
      <c r="U74" s="2887"/>
      <c r="V74" s="2887"/>
      <c r="W74" s="2887"/>
      <c r="X74" s="2887"/>
      <c r="Y74" s="2887"/>
      <c r="Z74" s="2887"/>
      <c r="AA74" s="2887"/>
      <c r="AB74" s="2887"/>
      <c r="AC74" s="2887"/>
    </row>
    <row r="75" spans="1:29">
      <c r="A75" s="482" t="s">
        <v>2410</v>
      </c>
      <c r="B75" s="483" t="s">
        <v>2376</v>
      </c>
      <c r="C75" s="485"/>
      <c r="D75" s="485"/>
      <c r="E75" s="485"/>
      <c r="F75" s="485"/>
      <c r="G75" s="485"/>
      <c r="H75" s="485"/>
      <c r="I75" s="485"/>
      <c r="J75" s="485"/>
      <c r="K75" s="486"/>
      <c r="L75" s="487"/>
      <c r="M75" s="488"/>
      <c r="N75" s="2981"/>
      <c r="O75" s="2981"/>
      <c r="P75" s="3006"/>
      <c r="Q75" s="2967"/>
      <c r="R75" s="2953"/>
      <c r="S75" s="2953"/>
      <c r="T75" s="2953"/>
      <c r="U75" s="2953"/>
      <c r="V75" s="2953"/>
      <c r="W75" s="2953"/>
      <c r="X75" s="2953"/>
      <c r="Y75" s="2953"/>
      <c r="Z75" s="2953"/>
      <c r="AA75" s="2953"/>
      <c r="AB75" s="2953"/>
      <c r="AC75" s="2953"/>
    </row>
    <row r="76" spans="1:29" ht="15.75" thickBot="1">
      <c r="A76" s="489"/>
      <c r="B76" s="490"/>
      <c r="C76" s="491"/>
      <c r="D76" s="491"/>
      <c r="E76" s="491"/>
      <c r="F76" s="491"/>
      <c r="G76" s="491"/>
      <c r="H76" s="491"/>
      <c r="I76" s="491"/>
      <c r="J76" s="491"/>
      <c r="K76" s="491"/>
      <c r="L76" s="491"/>
      <c r="M76" s="492"/>
      <c r="N76" s="2982"/>
      <c r="O76" s="2982"/>
      <c r="P76" s="3006"/>
      <c r="Q76" s="2967"/>
      <c r="R76" s="2953"/>
      <c r="S76" s="2953"/>
      <c r="T76" s="2953"/>
      <c r="U76" s="2953"/>
      <c r="V76" s="2953"/>
      <c r="W76" s="2953"/>
      <c r="X76" s="2953"/>
      <c r="Y76" s="2953"/>
      <c r="Z76" s="2953"/>
      <c r="AA76" s="2953"/>
      <c r="AB76" s="2953"/>
      <c r="AC76" s="2953"/>
    </row>
    <row r="77" spans="1:29" ht="27.75" thickTop="1">
      <c r="A77" s="489"/>
      <c r="B77" s="493" t="s">
        <v>2379</v>
      </c>
      <c r="C77" s="494"/>
      <c r="D77" s="494"/>
      <c r="E77" s="494"/>
      <c r="F77" s="494"/>
      <c r="G77" s="494"/>
      <c r="H77" s="494"/>
      <c r="I77" s="494"/>
      <c r="J77" s="494"/>
      <c r="K77" s="495"/>
      <c r="L77" s="496"/>
      <c r="M77" s="497"/>
      <c r="N77" s="2981"/>
      <c r="O77" s="2981"/>
      <c r="P77" s="3006"/>
      <c r="Q77" s="2967"/>
      <c r="R77" s="2953"/>
      <c r="S77" s="2953"/>
      <c r="T77" s="2953"/>
      <c r="U77" s="2953"/>
      <c r="V77" s="2953"/>
      <c r="W77" s="2953"/>
      <c r="X77" s="2953"/>
      <c r="Y77" s="2953"/>
      <c r="Z77" s="2953"/>
      <c r="AA77" s="2953"/>
      <c r="AB77" s="2953"/>
      <c r="AC77" s="2953"/>
    </row>
    <row r="78" spans="1:29" ht="15.75" thickBot="1">
      <c r="A78" s="489"/>
      <c r="B78" s="498"/>
      <c r="C78" s="499"/>
      <c r="D78" s="499"/>
      <c r="E78" s="499"/>
      <c r="F78" s="499"/>
      <c r="G78" s="499"/>
      <c r="H78" s="499"/>
      <c r="I78" s="499"/>
      <c r="J78" s="499"/>
      <c r="K78" s="499"/>
      <c r="L78" s="499"/>
      <c r="M78" s="500"/>
      <c r="N78" s="2982"/>
      <c r="O78" s="2982"/>
      <c r="P78" s="3006"/>
      <c r="Q78" s="2967"/>
      <c r="R78" s="2953"/>
      <c r="S78" s="2953"/>
      <c r="T78" s="2953"/>
      <c r="U78" s="2953"/>
      <c r="V78" s="2953"/>
      <c r="W78" s="2953"/>
      <c r="X78" s="2953"/>
      <c r="Y78" s="2953"/>
      <c r="Z78" s="2953"/>
      <c r="AA78" s="2953"/>
      <c r="AB78" s="2953"/>
      <c r="AC78" s="2953"/>
    </row>
    <row r="79" spans="1:29" ht="15.75" thickTop="1">
      <c r="A79" s="489"/>
      <c r="B79" s="501" t="s">
        <v>2380</v>
      </c>
      <c r="C79" s="502" t="str">
        <f>C80&amp;"（含）"&amp;"-"&amp;D80</f>
        <v>0（含）-</v>
      </c>
      <c r="D79" s="502" t="str">
        <f t="shared" ref="D79:L79" si="21">D80&amp;"（含）"&amp;"-"&amp;E80</f>
        <v>（含）-</v>
      </c>
      <c r="E79" s="502" t="str">
        <f t="shared" si="21"/>
        <v>（含）-</v>
      </c>
      <c r="F79" s="502" t="str">
        <f t="shared" si="21"/>
        <v>（含）-</v>
      </c>
      <c r="G79" s="502" t="str">
        <f t="shared" si="21"/>
        <v>（含）-</v>
      </c>
      <c r="H79" s="502" t="str">
        <f t="shared" si="21"/>
        <v>（含）-</v>
      </c>
      <c r="I79" s="502" t="str">
        <f t="shared" si="21"/>
        <v>（含）-</v>
      </c>
      <c r="J79" s="502" t="str">
        <f t="shared" si="21"/>
        <v>（含）-</v>
      </c>
      <c r="K79" s="502" t="str">
        <f t="shared" si="21"/>
        <v>（含）-</v>
      </c>
      <c r="L79" s="502" t="str">
        <f t="shared" si="21"/>
        <v>（含）-</v>
      </c>
      <c r="M79" s="405"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9"/>
      <c r="B80" s="503"/>
      <c r="C80" s="504">
        <v>0</v>
      </c>
      <c r="D80" s="504"/>
      <c r="E80" s="504"/>
      <c r="F80" s="504"/>
      <c r="G80" s="504"/>
      <c r="H80" s="504"/>
      <c r="I80" s="504"/>
      <c r="J80" s="504"/>
      <c r="K80" s="505"/>
      <c r="L80" s="506"/>
      <c r="M80" s="507"/>
      <c r="N80" s="2981"/>
      <c r="O80" s="2981"/>
      <c r="P80" s="3006"/>
      <c r="Q80" s="2967"/>
      <c r="R80" s="2953"/>
      <c r="S80" s="2953"/>
      <c r="T80" s="2953"/>
      <c r="U80" s="2953"/>
      <c r="V80" s="2953"/>
      <c r="W80" s="2953"/>
      <c r="X80" s="2953"/>
      <c r="Y80" s="2953"/>
      <c r="Z80" s="2953"/>
      <c r="AA80" s="2953"/>
      <c r="AB80" s="2953"/>
      <c r="AC80" s="2953"/>
    </row>
    <row r="81" spans="1:29" ht="15.75" thickBot="1">
      <c r="A81" s="489"/>
      <c r="B81" s="490"/>
      <c r="C81" s="499">
        <v>100</v>
      </c>
      <c r="D81" s="499">
        <f t="shared" ref="D81:M81" si="22">IF($B$46="单位面积地价",C81+$K11,C81-$K11)</f>
        <v>100</v>
      </c>
      <c r="E81" s="499">
        <f t="shared" si="22"/>
        <v>100</v>
      </c>
      <c r="F81" s="499">
        <f t="shared" si="22"/>
        <v>100</v>
      </c>
      <c r="G81" s="499">
        <f t="shared" si="22"/>
        <v>100</v>
      </c>
      <c r="H81" s="499">
        <f t="shared" si="22"/>
        <v>100</v>
      </c>
      <c r="I81" s="499">
        <f t="shared" si="22"/>
        <v>100</v>
      </c>
      <c r="J81" s="499">
        <f t="shared" si="22"/>
        <v>100</v>
      </c>
      <c r="K81" s="499">
        <f t="shared" si="22"/>
        <v>100</v>
      </c>
      <c r="L81" s="499">
        <f t="shared" si="22"/>
        <v>100</v>
      </c>
      <c r="M81" s="499">
        <f t="shared" si="22"/>
        <v>100</v>
      </c>
      <c r="N81" s="2982"/>
      <c r="O81" s="2982"/>
      <c r="P81" s="3006"/>
      <c r="Q81" s="2967"/>
      <c r="R81" s="2953"/>
      <c r="S81" s="2953"/>
      <c r="T81" s="2953"/>
      <c r="U81" s="2953"/>
      <c r="V81" s="2953"/>
      <c r="W81" s="2953"/>
      <c r="X81" s="2953"/>
      <c r="Y81" s="2953"/>
      <c r="Z81" s="2953"/>
      <c r="AA81" s="2953"/>
      <c r="AB81" s="2953"/>
      <c r="AC81" s="2953"/>
    </row>
    <row r="82" spans="1:29" s="428" customFormat="1" ht="15.75" thickTop="1">
      <c r="A82" s="508"/>
      <c r="B82" s="493" t="str">
        <f>B12</f>
        <v>配建</v>
      </c>
      <c r="C82" s="509"/>
      <c r="D82" s="509"/>
      <c r="E82" s="509"/>
      <c r="F82" s="509"/>
      <c r="G82" s="509"/>
      <c r="H82" s="510"/>
      <c r="I82" s="510"/>
      <c r="J82" s="510"/>
      <c r="K82" s="510"/>
      <c r="L82" s="511"/>
      <c r="M82" s="512"/>
      <c r="N82" s="2983"/>
      <c r="O82" s="2983"/>
      <c r="P82" s="3007"/>
      <c r="Q82" s="2974"/>
      <c r="R82" s="2975"/>
      <c r="S82" s="2975"/>
      <c r="T82" s="2975"/>
      <c r="U82" s="2975"/>
      <c r="V82" s="2975"/>
      <c r="W82" s="2975"/>
      <c r="X82" s="2975"/>
      <c r="Y82" s="2975"/>
      <c r="Z82" s="2975"/>
      <c r="AA82" s="2975"/>
      <c r="AB82" s="2975"/>
      <c r="AC82" s="2975"/>
    </row>
    <row r="83" spans="1:29" s="428" customFormat="1" ht="15.75" thickBot="1">
      <c r="A83" s="508"/>
      <c r="B83" s="498"/>
      <c r="C83" s="515"/>
      <c r="D83" s="491"/>
      <c r="E83" s="491"/>
      <c r="F83" s="491"/>
      <c r="G83" s="491"/>
      <c r="H83" s="491"/>
      <c r="I83" s="491"/>
      <c r="J83" s="491"/>
      <c r="K83" s="491"/>
      <c r="L83" s="491"/>
      <c r="M83" s="492"/>
      <c r="N83" s="2982"/>
      <c r="O83" s="2982"/>
      <c r="P83" s="3007"/>
      <c r="Q83" s="2974"/>
      <c r="R83" s="2975"/>
      <c r="S83" s="2975"/>
      <c r="T83" s="2975"/>
      <c r="U83" s="2975"/>
      <c r="V83" s="2975"/>
      <c r="W83" s="2975"/>
      <c r="X83" s="2975"/>
      <c r="Y83" s="2975"/>
      <c r="Z83" s="2975"/>
      <c r="AA83" s="2975"/>
      <c r="AB83" s="2975"/>
      <c r="AC83" s="2975"/>
    </row>
    <row r="84" spans="1:29" s="428" customFormat="1" ht="15.75" thickTop="1">
      <c r="A84" s="508"/>
      <c r="B84" s="493">
        <f>B13</f>
        <v>111</v>
      </c>
      <c r="C84" s="509"/>
      <c r="D84" s="509"/>
      <c r="E84" s="509"/>
      <c r="F84" s="509"/>
      <c r="G84" s="509"/>
      <c r="H84" s="510"/>
      <c r="I84" s="510"/>
      <c r="J84" s="510"/>
      <c r="K84" s="510"/>
      <c r="L84" s="511"/>
      <c r="M84" s="512"/>
      <c r="N84" s="2983"/>
      <c r="O84" s="2983"/>
      <c r="P84" s="2951"/>
      <c r="Q84" s="2977"/>
      <c r="R84" s="2975"/>
      <c r="S84" s="2975"/>
      <c r="T84" s="2975"/>
      <c r="U84" s="2975"/>
      <c r="V84" s="2975"/>
      <c r="W84" s="2975"/>
      <c r="X84" s="2975"/>
      <c r="Y84" s="2975"/>
      <c r="Z84" s="2975"/>
      <c r="AA84" s="2975"/>
      <c r="AB84" s="2975"/>
      <c r="AC84" s="2975"/>
    </row>
    <row r="85" spans="1:29" s="428" customFormat="1" ht="15.75" thickBot="1">
      <c r="A85" s="508"/>
      <c r="B85" s="498"/>
      <c r="C85" s="515"/>
      <c r="D85" s="515"/>
      <c r="E85" s="515"/>
      <c r="F85" s="515"/>
      <c r="G85" s="515"/>
      <c r="H85" s="517"/>
      <c r="I85" s="517"/>
      <c r="J85" s="517"/>
      <c r="K85" s="517"/>
      <c r="L85" s="517"/>
      <c r="M85" s="518"/>
      <c r="N85" s="2983"/>
      <c r="O85" s="2983"/>
      <c r="P85" s="3007"/>
      <c r="Q85" s="2974"/>
      <c r="R85" s="2975"/>
      <c r="S85" s="2975"/>
      <c r="T85" s="2975"/>
      <c r="U85" s="2975"/>
      <c r="V85" s="2975"/>
      <c r="W85" s="2975"/>
      <c r="X85" s="2975"/>
      <c r="Y85" s="2975"/>
      <c r="Z85" s="2975"/>
      <c r="AA85" s="2975"/>
      <c r="AB85" s="2975"/>
      <c r="AC85" s="2975"/>
    </row>
    <row r="86" spans="1:29" s="428" customFormat="1" ht="15.75" thickTop="1">
      <c r="A86" s="508"/>
      <c r="B86" s="501">
        <f>B14</f>
        <v>111</v>
      </c>
      <c r="C86" s="478"/>
      <c r="D86" s="478"/>
      <c r="E86" s="478"/>
      <c r="F86" s="478"/>
      <c r="G86" s="478"/>
      <c r="H86" s="519"/>
      <c r="I86" s="519"/>
      <c r="J86" s="519"/>
      <c r="K86" s="519"/>
      <c r="L86" s="520"/>
      <c r="M86" s="521"/>
      <c r="N86" s="2983"/>
      <c r="O86" s="2983"/>
      <c r="P86" s="3012"/>
      <c r="Q86" s="2974"/>
      <c r="R86" s="2975"/>
      <c r="S86" s="2975"/>
      <c r="T86" s="2975"/>
      <c r="U86" s="2975"/>
      <c r="V86" s="2975"/>
      <c r="W86" s="2975"/>
      <c r="X86" s="2975"/>
      <c r="Y86" s="2975"/>
      <c r="Z86" s="2975"/>
      <c r="AA86" s="2975"/>
      <c r="AB86" s="2975"/>
      <c r="AC86" s="2975"/>
    </row>
    <row r="87" spans="1:29" s="428" customFormat="1" ht="15.75" thickBot="1">
      <c r="A87" s="523"/>
      <c r="B87" s="524"/>
      <c r="C87" s="525"/>
      <c r="D87" s="525"/>
      <c r="E87" s="525"/>
      <c r="F87" s="525"/>
      <c r="G87" s="525"/>
      <c r="H87" s="526"/>
      <c r="I87" s="526"/>
      <c r="J87" s="526"/>
      <c r="K87" s="526"/>
      <c r="L87" s="526"/>
      <c r="M87" s="527"/>
      <c r="N87" s="2983"/>
      <c r="O87" s="2983"/>
      <c r="P87" s="3007"/>
      <c r="Q87" s="2974"/>
      <c r="R87" s="2975"/>
      <c r="S87" s="2975"/>
      <c r="T87" s="2975"/>
      <c r="U87" s="2975"/>
      <c r="V87" s="2975"/>
      <c r="W87" s="2975"/>
      <c r="X87" s="2975"/>
      <c r="Y87" s="2975"/>
      <c r="Z87" s="2975"/>
      <c r="AA87" s="2975"/>
      <c r="AB87" s="2975"/>
      <c r="AC87" s="2975"/>
    </row>
    <row r="88" spans="1:29">
      <c r="A88" s="482" t="s">
        <v>2381</v>
      </c>
      <c r="B88" s="483" t="s">
        <v>2418</v>
      </c>
      <c r="C88" s="528" t="s">
        <v>2419</v>
      </c>
      <c r="D88" s="528" t="s">
        <v>2420</v>
      </c>
      <c r="E88" s="528" t="s">
        <v>2421</v>
      </c>
      <c r="F88" s="528" t="s">
        <v>2422</v>
      </c>
      <c r="G88" s="528" t="s">
        <v>2423</v>
      </c>
      <c r="H88" s="484"/>
      <c r="I88" s="484"/>
      <c r="J88" s="484"/>
      <c r="K88" s="529"/>
      <c r="L88" s="530"/>
      <c r="M88" s="531"/>
      <c r="N88" s="2981"/>
      <c r="O88" s="2981"/>
      <c r="P88" s="3008"/>
      <c r="Q88" s="2967"/>
      <c r="R88" s="2953"/>
      <c r="S88" s="2953"/>
      <c r="T88" s="2953"/>
      <c r="U88" s="2953"/>
      <c r="V88" s="2953"/>
      <c r="W88" s="2953"/>
      <c r="X88" s="2953"/>
      <c r="Y88" s="2953"/>
      <c r="Z88" s="2953"/>
      <c r="AA88" s="2953"/>
      <c r="AB88" s="2953"/>
      <c r="AC88" s="2953"/>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2"/>
      <c r="O89" s="2982"/>
      <c r="P89" s="3006"/>
      <c r="Q89" s="2967"/>
      <c r="R89" s="2953"/>
      <c r="S89" s="2953"/>
      <c r="T89" s="2953"/>
      <c r="U89" s="2953"/>
      <c r="V89" s="2953"/>
      <c r="W89" s="2953"/>
      <c r="X89" s="2953"/>
      <c r="Y89" s="2953"/>
      <c r="Z89" s="2953"/>
      <c r="AA89" s="2953"/>
      <c r="AB89" s="2953"/>
      <c r="AC89" s="2953"/>
    </row>
    <row r="90" spans="1:29" ht="15.75" thickTop="1">
      <c r="A90" s="489"/>
      <c r="B90" s="493" t="s">
        <v>2605</v>
      </c>
      <c r="C90" s="533" t="s">
        <v>2419</v>
      </c>
      <c r="D90" s="533" t="s">
        <v>2420</v>
      </c>
      <c r="E90" s="533" t="s">
        <v>2421</v>
      </c>
      <c r="F90" s="533" t="s">
        <v>2422</v>
      </c>
      <c r="G90" s="533" t="s">
        <v>2423</v>
      </c>
      <c r="H90" s="494"/>
      <c r="I90" s="494"/>
      <c r="J90" s="494"/>
      <c r="K90" s="495"/>
      <c r="L90" s="496"/>
      <c r="M90" s="497"/>
      <c r="N90" s="2981"/>
      <c r="O90" s="2981"/>
      <c r="P90" s="3006"/>
      <c r="Q90" s="2967"/>
      <c r="R90" s="2953"/>
      <c r="S90" s="2953"/>
      <c r="T90" s="2953"/>
      <c r="U90" s="2953"/>
      <c r="V90" s="2953"/>
      <c r="W90" s="2953"/>
      <c r="X90" s="2953"/>
      <c r="Y90" s="2953"/>
      <c r="Z90" s="2953"/>
      <c r="AA90" s="2953"/>
      <c r="AB90" s="2953"/>
      <c r="AC90" s="2953"/>
    </row>
    <row r="91" spans="1:29" ht="15.75" thickBot="1">
      <c r="A91" s="489"/>
      <c r="B91" s="498"/>
      <c r="C91" s="499">
        <v>100</v>
      </c>
      <c r="D91" s="499">
        <f>C91-$K17</f>
        <v>98</v>
      </c>
      <c r="E91" s="499">
        <f>D91-$K17</f>
        <v>96</v>
      </c>
      <c r="F91" s="499">
        <f>E91-$K17</f>
        <v>94</v>
      </c>
      <c r="G91" s="499">
        <f>F91-$K17</f>
        <v>92</v>
      </c>
      <c r="H91" s="499"/>
      <c r="I91" s="499"/>
      <c r="J91" s="499"/>
      <c r="K91" s="499"/>
      <c r="L91" s="499"/>
      <c r="M91" s="500"/>
      <c r="N91" s="2982"/>
      <c r="O91" s="2982"/>
      <c r="P91" s="3006"/>
      <c r="Q91" s="2967"/>
      <c r="R91" s="2953"/>
      <c r="S91" s="2953"/>
      <c r="T91" s="2953"/>
      <c r="U91" s="2953"/>
      <c r="V91" s="2953"/>
      <c r="W91" s="2953"/>
      <c r="X91" s="2953"/>
      <c r="Y91" s="2953"/>
      <c r="Z91" s="2953"/>
      <c r="AA91" s="2953"/>
      <c r="AB91" s="2953"/>
      <c r="AC91" s="2953"/>
    </row>
    <row r="92" spans="1:29" ht="15.75" thickTop="1">
      <c r="A92" s="489"/>
      <c r="B92" s="493" t="s">
        <v>2519</v>
      </c>
      <c r="C92" s="533" t="s">
        <v>2419</v>
      </c>
      <c r="D92" s="533" t="s">
        <v>2420</v>
      </c>
      <c r="E92" s="533" t="s">
        <v>2421</v>
      </c>
      <c r="F92" s="533" t="s">
        <v>2422</v>
      </c>
      <c r="G92" s="533" t="s">
        <v>2423</v>
      </c>
      <c r="H92" s="494"/>
      <c r="I92" s="494"/>
      <c r="J92" s="494"/>
      <c r="K92" s="495"/>
      <c r="L92" s="496"/>
      <c r="M92" s="497"/>
      <c r="N92" s="2981"/>
      <c r="O92" s="2981"/>
      <c r="P92" s="3006"/>
      <c r="Q92" s="2967"/>
      <c r="R92" s="2953"/>
      <c r="S92" s="2953"/>
      <c r="T92" s="2953"/>
      <c r="U92" s="2953"/>
      <c r="V92" s="2953"/>
      <c r="W92" s="2953"/>
      <c r="X92" s="2953"/>
      <c r="Y92" s="2953"/>
      <c r="Z92" s="2953"/>
      <c r="AA92" s="2953"/>
      <c r="AB92" s="2953"/>
      <c r="AC92" s="2953"/>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2"/>
      <c r="O93" s="2982"/>
      <c r="P93" s="3006"/>
      <c r="Q93" s="2967"/>
      <c r="R93" s="2953"/>
      <c r="S93" s="2953"/>
      <c r="T93" s="2953"/>
      <c r="U93" s="2953"/>
      <c r="V93" s="2953"/>
      <c r="W93" s="2953"/>
      <c r="X93" s="2953"/>
      <c r="Y93" s="2953"/>
      <c r="Z93" s="2953"/>
      <c r="AA93" s="2953"/>
      <c r="AB93" s="2953"/>
      <c r="AC93" s="2953"/>
    </row>
    <row r="94" spans="1:29" ht="15.75" thickTop="1">
      <c r="A94" s="489"/>
      <c r="B94" s="493" t="s">
        <v>2424</v>
      </c>
      <c r="C94" s="533" t="s">
        <v>2419</v>
      </c>
      <c r="D94" s="533" t="s">
        <v>2420</v>
      </c>
      <c r="E94" s="533" t="s">
        <v>2421</v>
      </c>
      <c r="F94" s="533" t="s">
        <v>2422</v>
      </c>
      <c r="G94" s="533" t="s">
        <v>2423</v>
      </c>
      <c r="H94" s="494"/>
      <c r="I94" s="494"/>
      <c r="J94" s="494"/>
      <c r="K94" s="495"/>
      <c r="L94" s="496"/>
      <c r="M94" s="497"/>
      <c r="N94" s="2981"/>
      <c r="O94" s="2981"/>
      <c r="P94" s="3006"/>
      <c r="Q94" s="2967"/>
      <c r="R94" s="2953"/>
      <c r="S94" s="2953"/>
      <c r="T94" s="2953"/>
      <c r="U94" s="2953"/>
      <c r="V94" s="2953"/>
      <c r="W94" s="2953"/>
      <c r="X94" s="2953"/>
      <c r="Y94" s="2953"/>
      <c r="Z94" s="2953"/>
      <c r="AA94" s="2953"/>
      <c r="AB94" s="2953"/>
      <c r="AC94" s="2953"/>
    </row>
    <row r="95" spans="1:29" ht="15.75" thickBot="1">
      <c r="A95" s="489"/>
      <c r="B95" s="498"/>
      <c r="C95" s="499">
        <v>100</v>
      </c>
      <c r="D95" s="499">
        <f>C95-$K21</f>
        <v>98</v>
      </c>
      <c r="E95" s="499">
        <f>D95-$K21</f>
        <v>96</v>
      </c>
      <c r="F95" s="499">
        <f>E95-$K21</f>
        <v>94</v>
      </c>
      <c r="G95" s="499">
        <f>F95-$K21</f>
        <v>92</v>
      </c>
      <c r="H95" s="499"/>
      <c r="I95" s="499"/>
      <c r="J95" s="499"/>
      <c r="K95" s="499"/>
      <c r="L95" s="499"/>
      <c r="M95" s="500"/>
      <c r="N95" s="2982"/>
      <c r="O95" s="2982"/>
      <c r="P95" s="3006"/>
      <c r="Q95" s="2967"/>
      <c r="R95" s="2953"/>
      <c r="S95" s="2953"/>
      <c r="T95" s="2953"/>
      <c r="U95" s="2953"/>
      <c r="V95" s="2953"/>
      <c r="W95" s="2953"/>
      <c r="X95" s="2953"/>
      <c r="Y95" s="2953"/>
      <c r="Z95" s="2953"/>
      <c r="AA95" s="2953"/>
      <c r="AB95" s="2953"/>
      <c r="AC95" s="2953"/>
    </row>
    <row r="96" spans="1:29" s="113" customFormat="1" ht="15.75" thickTop="1">
      <c r="A96" s="534"/>
      <c r="B96" s="493" t="s">
        <v>2606</v>
      </c>
      <c r="C96" s="533" t="s">
        <v>2419</v>
      </c>
      <c r="D96" s="533" t="s">
        <v>2420</v>
      </c>
      <c r="E96" s="533" t="s">
        <v>2421</v>
      </c>
      <c r="F96" s="533" t="s">
        <v>2422</v>
      </c>
      <c r="G96" s="533" t="s">
        <v>2423</v>
      </c>
      <c r="H96" s="533"/>
      <c r="I96" s="533"/>
      <c r="J96" s="533"/>
      <c r="K96" s="533"/>
      <c r="L96" s="652"/>
      <c r="M96" s="576"/>
      <c r="N96" s="2980"/>
      <c r="O96" s="2980"/>
      <c r="P96" s="3006"/>
      <c r="Q96" s="2967"/>
      <c r="R96" s="2887"/>
      <c r="S96" s="2887"/>
      <c r="T96" s="2887"/>
      <c r="U96" s="2887"/>
      <c r="V96" s="2887"/>
      <c r="W96" s="2887"/>
      <c r="X96" s="2887"/>
      <c r="Y96" s="2887"/>
      <c r="Z96" s="2887"/>
      <c r="AA96" s="2887"/>
      <c r="AB96" s="2887"/>
      <c r="AC96" s="2887"/>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2"/>
      <c r="O97" s="2982"/>
      <c r="P97" s="3006"/>
      <c r="Q97" s="2967"/>
      <c r="R97" s="2887"/>
      <c r="S97" s="2887"/>
      <c r="T97" s="2887"/>
      <c r="U97" s="2887"/>
      <c r="V97" s="2887"/>
      <c r="W97" s="2887"/>
      <c r="X97" s="2887"/>
      <c r="Y97" s="2887"/>
      <c r="Z97" s="2887"/>
      <c r="AA97" s="2887"/>
      <c r="AB97" s="2887"/>
      <c r="AC97" s="2887"/>
    </row>
    <row r="98" spans="1:29" s="113" customFormat="1" ht="27.75" thickTop="1">
      <c r="A98" s="534"/>
      <c r="B98" s="493" t="s">
        <v>2607</v>
      </c>
      <c r="C98" s="528" t="s">
        <v>2419</v>
      </c>
      <c r="D98" s="528" t="s">
        <v>2420</v>
      </c>
      <c r="E98" s="528" t="s">
        <v>2421</v>
      </c>
      <c r="F98" s="528" t="s">
        <v>2422</v>
      </c>
      <c r="G98" s="528" t="s">
        <v>2423</v>
      </c>
      <c r="H98" s="533"/>
      <c r="I98" s="533"/>
      <c r="J98" s="533"/>
      <c r="K98" s="533"/>
      <c r="L98" s="533"/>
      <c r="M98" s="576"/>
      <c r="N98" s="2980"/>
      <c r="O98" s="2980"/>
      <c r="P98" s="3006"/>
      <c r="Q98" s="2967"/>
      <c r="R98" s="2887"/>
      <c r="S98" s="2887"/>
      <c r="T98" s="2887"/>
      <c r="U98" s="2887"/>
      <c r="V98" s="2887"/>
      <c r="W98" s="2887"/>
      <c r="X98" s="2887"/>
      <c r="Y98" s="2887"/>
      <c r="Z98" s="2887"/>
      <c r="AA98" s="2887"/>
      <c r="AB98" s="2887"/>
      <c r="AC98" s="2887"/>
    </row>
    <row r="99" spans="1:29" s="113" customFormat="1" ht="15.75" thickBot="1">
      <c r="A99" s="534"/>
      <c r="B99" s="498"/>
      <c r="C99" s="499">
        <v>100</v>
      </c>
      <c r="D99" s="499">
        <f>C99-$K25</f>
        <v>100</v>
      </c>
      <c r="E99" s="499">
        <f>D99-$K25</f>
        <v>100</v>
      </c>
      <c r="F99" s="499">
        <f>E99-$K25</f>
        <v>100</v>
      </c>
      <c r="G99" s="499">
        <f>F99-$K25</f>
        <v>100</v>
      </c>
      <c r="H99" s="499"/>
      <c r="I99" s="499"/>
      <c r="J99" s="499"/>
      <c r="K99" s="499"/>
      <c r="L99" s="499"/>
      <c r="M99" s="500"/>
      <c r="N99" s="2982"/>
      <c r="O99" s="2982"/>
      <c r="P99" s="3006"/>
      <c r="Q99" s="2967"/>
      <c r="R99" s="2887"/>
      <c r="S99" s="2887"/>
      <c r="T99" s="2887"/>
      <c r="U99" s="2887"/>
      <c r="V99" s="2887"/>
      <c r="W99" s="2887"/>
      <c r="X99" s="2887"/>
      <c r="Y99" s="2887"/>
      <c r="Z99" s="2887"/>
      <c r="AA99" s="2887"/>
      <c r="AB99" s="2887"/>
      <c r="AC99" s="2887"/>
    </row>
    <row r="100" spans="1:29" s="428" customFormat="1" ht="15.75" thickTop="1">
      <c r="A100" s="508"/>
      <c r="B100" s="493" t="s">
        <v>2476</v>
      </c>
      <c r="C100" s="528" t="s">
        <v>2419</v>
      </c>
      <c r="D100" s="528" t="s">
        <v>2420</v>
      </c>
      <c r="E100" s="528" t="s">
        <v>2421</v>
      </c>
      <c r="F100" s="528" t="s">
        <v>2422</v>
      </c>
      <c r="G100" s="528" t="s">
        <v>2423</v>
      </c>
      <c r="H100" s="555"/>
      <c r="I100" s="555"/>
      <c r="J100" s="555"/>
      <c r="K100" s="555"/>
      <c r="L100" s="556"/>
      <c r="M100" s="557"/>
      <c r="N100" s="2983"/>
      <c r="O100" s="2983"/>
      <c r="P100" s="3007"/>
      <c r="Q100" s="2974"/>
      <c r="R100" s="2975"/>
      <c r="S100" s="2975"/>
      <c r="T100" s="2975"/>
      <c r="U100" s="2975"/>
      <c r="V100" s="2975"/>
      <c r="W100" s="2975"/>
      <c r="X100" s="2975"/>
      <c r="Y100" s="2975"/>
      <c r="Z100" s="2975"/>
      <c r="AA100" s="2975"/>
      <c r="AB100" s="2975"/>
      <c r="AC100" s="2975"/>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3"/>
      <c r="O101" s="2983"/>
      <c r="P101" s="3007"/>
      <c r="Q101" s="2974"/>
      <c r="R101" s="2975"/>
      <c r="S101" s="2975"/>
      <c r="T101" s="2975"/>
      <c r="U101" s="2975"/>
      <c r="V101" s="2975"/>
      <c r="W101" s="2975"/>
      <c r="X101" s="2975"/>
      <c r="Y101" s="2975"/>
      <c r="Z101" s="2975"/>
      <c r="AA101" s="2975"/>
      <c r="AB101" s="2975"/>
      <c r="AC101" s="2975"/>
    </row>
    <row r="102" spans="1:29" s="428" customFormat="1" ht="15.75" thickTop="1">
      <c r="A102" s="508"/>
      <c r="B102" s="501" t="s">
        <v>2477</v>
      </c>
      <c r="C102" s="614" t="s">
        <v>2497</v>
      </c>
      <c r="D102" s="614" t="s">
        <v>2498</v>
      </c>
      <c r="E102" s="614" t="s">
        <v>2499</v>
      </c>
      <c r="F102" s="614" t="s">
        <v>2500</v>
      </c>
      <c r="G102" s="614" t="s">
        <v>2501</v>
      </c>
      <c r="H102" s="555"/>
      <c r="I102" s="555"/>
      <c r="J102" s="555"/>
      <c r="K102" s="555"/>
      <c r="L102" s="555"/>
      <c r="M102" s="1291"/>
      <c r="N102" s="2983"/>
      <c r="O102" s="2983"/>
      <c r="P102" s="3007"/>
      <c r="Q102" s="2974"/>
      <c r="R102" s="2975"/>
      <c r="S102" s="2975"/>
      <c r="T102" s="2975"/>
      <c r="U102" s="2975"/>
      <c r="V102" s="2975"/>
      <c r="W102" s="2975"/>
      <c r="X102" s="2975"/>
      <c r="Y102" s="2975"/>
      <c r="Z102" s="2975"/>
      <c r="AA102" s="2975"/>
      <c r="AB102" s="2975"/>
      <c r="AC102" s="2975"/>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9"/>
      <c r="B104" s="493" t="str">
        <f>B31</f>
        <v>临街状况</v>
      </c>
      <c r="C104" s="494" t="s">
        <v>2608</v>
      </c>
      <c r="D104" s="494" t="s">
        <v>2609</v>
      </c>
      <c r="E104" s="494" t="s">
        <v>2610</v>
      </c>
      <c r="F104" s="494" t="s">
        <v>2611</v>
      </c>
      <c r="G104" s="494"/>
      <c r="H104" s="494"/>
      <c r="I104" s="494"/>
      <c r="J104" s="494"/>
      <c r="K104" s="495"/>
      <c r="L104" s="496"/>
      <c r="M104" s="497"/>
      <c r="N104" s="2981"/>
      <c r="O104" s="2981"/>
      <c r="P104" s="3006"/>
      <c r="Q104" s="2967"/>
      <c r="R104" s="2953"/>
      <c r="S104" s="2953"/>
      <c r="T104" s="2953"/>
      <c r="U104" s="2953"/>
      <c r="V104" s="2953"/>
      <c r="W104" s="2953"/>
      <c r="X104" s="2953"/>
      <c r="Y104" s="2953"/>
      <c r="Z104" s="2953"/>
      <c r="AA104" s="2953"/>
      <c r="AB104" s="2953"/>
      <c r="AC104" s="2953"/>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9"/>
      <c r="B106" s="493" t="s">
        <v>2513</v>
      </c>
      <c r="C106" s="509"/>
      <c r="D106" s="509"/>
      <c r="E106" s="509"/>
      <c r="F106" s="509"/>
      <c r="G106" s="509"/>
      <c r="H106" s="538"/>
      <c r="I106" s="538"/>
      <c r="J106" s="538"/>
      <c r="K106" s="539"/>
      <c r="L106" s="540"/>
      <c r="M106" s="541"/>
      <c r="N106" s="2981"/>
      <c r="O106" s="2981"/>
      <c r="P106" s="3006"/>
      <c r="Q106" s="2967"/>
      <c r="R106" s="2953"/>
      <c r="S106" s="2953"/>
      <c r="T106" s="2953"/>
      <c r="U106" s="2953"/>
      <c r="V106" s="2953"/>
      <c r="W106" s="2953"/>
      <c r="X106" s="2953"/>
      <c r="Y106" s="2953"/>
      <c r="Z106" s="2953"/>
      <c r="AA106" s="2953"/>
      <c r="AB106" s="2953"/>
      <c r="AC106" s="2953"/>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9"/>
      <c r="B108" s="493" t="s">
        <v>2571</v>
      </c>
      <c r="C108" s="538"/>
      <c r="D108" s="538"/>
      <c r="E108" s="538"/>
      <c r="F108" s="538"/>
      <c r="G108" s="538"/>
      <c r="H108" s="538"/>
      <c r="I108" s="538"/>
      <c r="J108" s="538"/>
      <c r="K108" s="539"/>
      <c r="L108" s="540"/>
      <c r="M108" s="541"/>
      <c r="N108" s="2981"/>
      <c r="O108" s="2981"/>
      <c r="P108" s="3006"/>
      <c r="Q108" s="2967"/>
      <c r="R108" s="2953"/>
      <c r="S108" s="2953"/>
      <c r="T108" s="2953"/>
      <c r="U108" s="2953"/>
      <c r="V108" s="2953"/>
      <c r="W108" s="2953"/>
      <c r="X108" s="2953"/>
      <c r="Y108" s="2953"/>
      <c r="Z108" s="2953"/>
      <c r="AA108" s="2953"/>
      <c r="AB108" s="2953"/>
      <c r="AC108" s="2953"/>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9"/>
      <c r="B110" s="501">
        <f>B35</f>
        <v>111</v>
      </c>
      <c r="C110" s="509"/>
      <c r="D110" s="509"/>
      <c r="E110" s="509"/>
      <c r="F110" s="509"/>
      <c r="G110" s="542"/>
      <c r="H110" s="542"/>
      <c r="I110" s="542"/>
      <c r="J110" s="542"/>
      <c r="K110" s="543"/>
      <c r="L110" s="544"/>
      <c r="M110" s="545"/>
      <c r="N110" s="2981"/>
      <c r="O110" s="2981"/>
      <c r="P110" s="3006"/>
      <c r="Q110" s="2967"/>
      <c r="R110" s="2953"/>
      <c r="S110" s="2953"/>
      <c r="T110" s="2953"/>
      <c r="U110" s="2953"/>
      <c r="V110" s="2953"/>
      <c r="W110" s="2953"/>
      <c r="X110" s="2953"/>
      <c r="Y110" s="2953"/>
      <c r="Z110" s="2953"/>
      <c r="AA110" s="2953"/>
      <c r="AB110" s="2953"/>
      <c r="AC110" s="2953"/>
    </row>
    <row r="111" spans="1:29" ht="15.75" thickBot="1">
      <c r="A111" s="489"/>
      <c r="B111" s="524"/>
      <c r="C111" s="515"/>
      <c r="D111" s="515"/>
      <c r="E111" s="515"/>
      <c r="F111" s="515"/>
      <c r="G111" s="546"/>
      <c r="H111" s="546"/>
      <c r="I111" s="546"/>
      <c r="J111" s="546"/>
      <c r="K111" s="546"/>
      <c r="L111" s="546"/>
      <c r="M111" s="547"/>
      <c r="N111" s="2982"/>
      <c r="O111" s="2982"/>
      <c r="P111" s="3006"/>
      <c r="Q111" s="2967"/>
      <c r="R111" s="2953"/>
      <c r="S111" s="2953"/>
      <c r="T111" s="2953"/>
      <c r="U111" s="2953"/>
      <c r="V111" s="2953"/>
      <c r="W111" s="2953"/>
      <c r="X111" s="2953"/>
      <c r="Y111" s="2953"/>
      <c r="Z111" s="2953"/>
      <c r="AA111" s="2953"/>
      <c r="AB111" s="2953"/>
      <c r="AC111" s="2953"/>
    </row>
    <row r="112" spans="1:29" ht="15" thickTop="1">
      <c r="A112" s="629"/>
      <c r="B112" s="493">
        <f>B36</f>
        <v>111</v>
      </c>
      <c r="C112" s="478"/>
      <c r="D112" s="478"/>
      <c r="E112" s="478"/>
      <c r="F112" s="478"/>
      <c r="G112" s="538"/>
      <c r="H112" s="538"/>
      <c r="I112" s="538"/>
      <c r="J112" s="538"/>
      <c r="K112" s="539"/>
      <c r="L112" s="540"/>
      <c r="M112" s="541"/>
      <c r="N112" s="2981"/>
      <c r="O112" s="2981"/>
      <c r="P112" s="3006"/>
      <c r="Q112" s="2967"/>
      <c r="R112" s="2953"/>
      <c r="S112" s="2953"/>
      <c r="T112" s="2953"/>
      <c r="U112" s="2953"/>
      <c r="V112" s="2953"/>
      <c r="W112" s="2953"/>
      <c r="X112" s="2953"/>
      <c r="Y112" s="2953"/>
      <c r="Z112" s="2953"/>
      <c r="AA112" s="2953"/>
      <c r="AB112" s="2953"/>
      <c r="AC112" s="2953"/>
    </row>
    <row r="113" spans="1:29" ht="15.75" thickBot="1">
      <c r="A113" s="489"/>
      <c r="B113" s="498"/>
      <c r="C113" s="525"/>
      <c r="D113" s="525"/>
      <c r="E113" s="525"/>
      <c r="F113" s="525"/>
      <c r="G113" s="491"/>
      <c r="H113" s="491"/>
      <c r="I113" s="491"/>
      <c r="J113" s="491"/>
      <c r="K113" s="491"/>
      <c r="L113" s="491"/>
      <c r="M113" s="492"/>
      <c r="N113" s="2982"/>
      <c r="O113" s="2982"/>
      <c r="P113" s="3006"/>
      <c r="Q113" s="2967"/>
      <c r="R113" s="2953"/>
      <c r="S113" s="2953"/>
      <c r="T113" s="2953"/>
      <c r="U113" s="2953"/>
      <c r="V113" s="2953"/>
      <c r="W113" s="2953"/>
      <c r="X113" s="2953"/>
      <c r="Y113" s="2953"/>
      <c r="Z113" s="2953"/>
      <c r="AA113" s="2953"/>
      <c r="AB113" s="2953"/>
      <c r="AC113" s="2953"/>
    </row>
    <row r="114" spans="1:29" s="428" customFormat="1" ht="15" thickTop="1">
      <c r="A114" s="548"/>
      <c r="B114" s="549">
        <f>B37</f>
        <v>111</v>
      </c>
      <c r="C114" s="550"/>
      <c r="D114" s="550"/>
      <c r="E114" s="550"/>
      <c r="F114" s="550"/>
      <c r="G114" s="550"/>
      <c r="H114" s="550"/>
      <c r="I114" s="550"/>
      <c r="J114" s="551"/>
      <c r="K114" s="551"/>
      <c r="L114" s="552"/>
      <c r="M114" s="553"/>
      <c r="N114" s="2983"/>
      <c r="O114" s="2983"/>
      <c r="P114" s="3007"/>
      <c r="Q114" s="2974"/>
      <c r="R114" s="2975"/>
      <c r="S114" s="2975"/>
      <c r="T114" s="2975"/>
      <c r="U114" s="2975"/>
      <c r="V114" s="2975"/>
      <c r="W114" s="2975"/>
      <c r="X114" s="2975"/>
      <c r="Y114" s="2975"/>
      <c r="Z114" s="2975"/>
      <c r="AA114" s="2975"/>
      <c r="AB114" s="2975"/>
      <c r="AC114" s="2975"/>
    </row>
    <row r="115" spans="1:29" s="428" customFormat="1" ht="15.75" thickBot="1">
      <c r="A115" s="508"/>
      <c r="B115" s="501"/>
      <c r="C115" s="467"/>
      <c r="D115" s="631"/>
      <c r="E115" s="631"/>
      <c r="F115" s="631"/>
      <c r="G115" s="631"/>
      <c r="H115" s="631"/>
      <c r="I115" s="631"/>
      <c r="J115" s="631"/>
      <c r="K115" s="631"/>
      <c r="L115" s="631"/>
      <c r="M115" s="653"/>
      <c r="N115" s="2982"/>
      <c r="O115" s="2982"/>
      <c r="P115" s="3007"/>
      <c r="Q115" s="2974"/>
      <c r="R115" s="2975"/>
      <c r="S115" s="2975"/>
      <c r="T115" s="2975"/>
      <c r="U115" s="2975"/>
      <c r="V115" s="2975"/>
      <c r="W115" s="2975"/>
      <c r="X115" s="2975"/>
      <c r="Y115" s="2975"/>
      <c r="Z115" s="2975"/>
      <c r="AA115" s="2975"/>
      <c r="AB115" s="2975"/>
      <c r="AC115" s="2975"/>
    </row>
    <row r="116" spans="1:29" ht="28.5">
      <c r="A116" s="482" t="s">
        <v>2385</v>
      </c>
      <c r="B116" s="483" t="s">
        <v>2612</v>
      </c>
      <c r="C116" s="484" t="str">
        <f>C117&amp;"(含)"&amp;"-"&amp;D117</f>
        <v>0(含)-5000</v>
      </c>
      <c r="D116" s="484" t="str">
        <f t="shared" ref="D116:M116" si="26">D117&amp;"(含)"&amp;"-"&amp;E117</f>
        <v>5000(含)-10000</v>
      </c>
      <c r="E116" s="484" t="str">
        <f t="shared" si="26"/>
        <v>10000(含)-150000</v>
      </c>
      <c r="F116" s="484" t="str">
        <f t="shared" si="26"/>
        <v>150000(含)-</v>
      </c>
      <c r="G116" s="484" t="str">
        <f t="shared" si="26"/>
        <v>(含)-</v>
      </c>
      <c r="H116" s="484" t="str">
        <f t="shared" si="26"/>
        <v>(含)-</v>
      </c>
      <c r="I116" s="484" t="str">
        <f t="shared" si="26"/>
        <v>(含)-</v>
      </c>
      <c r="J116" s="484" t="str">
        <f t="shared" si="26"/>
        <v>(含)-</v>
      </c>
      <c r="K116" s="484" t="str">
        <f t="shared" si="26"/>
        <v>(含)-</v>
      </c>
      <c r="L116" s="484" t="str">
        <f t="shared" si="26"/>
        <v>(含)-</v>
      </c>
      <c r="M116" s="484"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9"/>
      <c r="B117" s="501"/>
      <c r="C117" s="550">
        <v>0</v>
      </c>
      <c r="D117" s="550">
        <v>5000</v>
      </c>
      <c r="E117" s="550">
        <v>10000</v>
      </c>
      <c r="F117" s="550">
        <v>150000</v>
      </c>
      <c r="G117" s="550"/>
      <c r="H117" s="550"/>
      <c r="I117" s="550"/>
      <c r="J117" s="551"/>
      <c r="K117" s="551"/>
      <c r="L117" s="552"/>
      <c r="M117" s="553"/>
      <c r="N117" s="2981"/>
      <c r="O117" s="2981"/>
      <c r="P117" s="3006"/>
      <c r="Q117" s="2967"/>
      <c r="R117" s="2953"/>
      <c r="S117" s="2953"/>
      <c r="T117" s="2953"/>
      <c r="U117" s="2953"/>
      <c r="V117" s="2953"/>
      <c r="W117" s="2953"/>
      <c r="X117" s="2953"/>
      <c r="Y117" s="2953"/>
      <c r="Z117" s="2953"/>
      <c r="AA117" s="2953"/>
      <c r="AB117" s="2953"/>
      <c r="AC117" s="2953"/>
    </row>
    <row r="118" spans="1:29" ht="15.75" thickBot="1">
      <c r="A118" s="489"/>
      <c r="B118" s="498"/>
      <c r="C118" s="525">
        <v>100</v>
      </c>
      <c r="D118" s="546">
        <v>101</v>
      </c>
      <c r="E118" s="546">
        <v>102</v>
      </c>
      <c r="F118" s="546">
        <v>103</v>
      </c>
      <c r="G118" s="546"/>
      <c r="H118" s="546"/>
      <c r="I118" s="546"/>
      <c r="J118" s="546"/>
      <c r="K118" s="546"/>
      <c r="L118" s="546"/>
      <c r="M118" s="547"/>
      <c r="N118" s="2982"/>
      <c r="O118" s="2982"/>
      <c r="P118" s="3006"/>
      <c r="Q118" s="2967"/>
      <c r="R118" s="2953"/>
      <c r="S118" s="2953"/>
      <c r="T118" s="2953"/>
      <c r="U118" s="2953"/>
      <c r="V118" s="2953"/>
      <c r="W118" s="2953"/>
      <c r="X118" s="2953"/>
      <c r="Y118" s="2953"/>
      <c r="Z118" s="2953"/>
      <c r="AA118" s="2953"/>
      <c r="AB118" s="2953"/>
      <c r="AC118" s="2953"/>
    </row>
    <row r="119" spans="1:29" ht="15" thickTop="1">
      <c r="A119" s="554"/>
      <c r="B119" s="493" t="s">
        <v>2613</v>
      </c>
      <c r="C119" s="538"/>
      <c r="D119" s="538"/>
      <c r="E119" s="538"/>
      <c r="F119" s="538"/>
      <c r="G119" s="538"/>
      <c r="H119" s="538"/>
      <c r="I119" s="538"/>
      <c r="J119" s="538"/>
      <c r="K119" s="539"/>
      <c r="L119" s="540"/>
      <c r="M119" s="541"/>
      <c r="N119" s="2981"/>
      <c r="O119" s="2981"/>
      <c r="P119" s="3006"/>
      <c r="Q119" s="2967"/>
      <c r="R119" s="2953"/>
      <c r="S119" s="2953"/>
      <c r="T119" s="2953"/>
      <c r="U119" s="2953"/>
      <c r="V119" s="2953"/>
      <c r="W119" s="2953"/>
      <c r="X119" s="2953"/>
      <c r="Y119" s="2953"/>
      <c r="Z119" s="2953"/>
      <c r="AA119" s="2953"/>
      <c r="AB119" s="2953"/>
      <c r="AC119" s="2953"/>
    </row>
    <row r="120" spans="1:29" ht="15.75" thickBot="1">
      <c r="A120" s="489"/>
      <c r="B120" s="498"/>
      <c r="C120" s="499">
        <v>100</v>
      </c>
      <c r="D120" s="499">
        <f t="shared" ref="D120:M120" si="27">C120-$K39</f>
        <v>100</v>
      </c>
      <c r="E120" s="499">
        <f t="shared" si="27"/>
        <v>100</v>
      </c>
      <c r="F120" s="499">
        <f t="shared" si="27"/>
        <v>100</v>
      </c>
      <c r="G120" s="499">
        <f t="shared" si="27"/>
        <v>100</v>
      </c>
      <c r="H120" s="499">
        <f t="shared" si="27"/>
        <v>100</v>
      </c>
      <c r="I120" s="499">
        <f t="shared" si="27"/>
        <v>100</v>
      </c>
      <c r="J120" s="499">
        <f t="shared" si="27"/>
        <v>100</v>
      </c>
      <c r="K120" s="499">
        <f t="shared" si="27"/>
        <v>100</v>
      </c>
      <c r="L120" s="499">
        <f t="shared" si="27"/>
        <v>100</v>
      </c>
      <c r="M120" s="500">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4"/>
      <c r="B121" s="493" t="s">
        <v>2614</v>
      </c>
      <c r="C121" s="509"/>
      <c r="D121" s="509"/>
      <c r="E121" s="509"/>
      <c r="F121" s="538"/>
      <c r="G121" s="538"/>
      <c r="H121" s="538"/>
      <c r="I121" s="538"/>
      <c r="J121" s="538"/>
      <c r="K121" s="539"/>
      <c r="L121" s="540"/>
      <c r="M121" s="541"/>
      <c r="N121" s="2981"/>
      <c r="O121" s="2981"/>
      <c r="P121" s="3006"/>
      <c r="Q121" s="2967"/>
      <c r="R121" s="2953"/>
      <c r="S121" s="2953"/>
      <c r="T121" s="2953"/>
      <c r="U121" s="2953"/>
      <c r="V121" s="2953"/>
      <c r="W121" s="2953"/>
      <c r="X121" s="2953"/>
      <c r="Y121" s="2953"/>
      <c r="Z121" s="2953"/>
      <c r="AA121" s="2953"/>
      <c r="AB121" s="2953"/>
      <c r="AC121" s="2953"/>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82"/>
      <c r="O122" s="2982"/>
      <c r="P122" s="3006"/>
      <c r="Q122" s="2967"/>
      <c r="R122" s="2953"/>
      <c r="S122" s="2953"/>
      <c r="T122" s="2953"/>
      <c r="U122" s="2953"/>
      <c r="V122" s="2953"/>
      <c r="W122" s="2953"/>
      <c r="X122" s="2953"/>
      <c r="Y122" s="2953"/>
      <c r="Z122" s="2953"/>
      <c r="AA122" s="2953"/>
      <c r="AB122" s="2953"/>
      <c r="AC122" s="2953"/>
    </row>
    <row r="123" spans="1:29" s="428" customFormat="1" ht="15" thickTop="1">
      <c r="A123" s="548"/>
      <c r="B123" s="493" t="s">
        <v>2615</v>
      </c>
      <c r="C123" s="509"/>
      <c r="D123" s="509"/>
      <c r="E123" s="509"/>
      <c r="F123" s="509"/>
      <c r="G123" s="509"/>
      <c r="H123" s="538"/>
      <c r="I123" s="538"/>
      <c r="J123" s="538"/>
      <c r="K123" s="539"/>
      <c r="L123" s="540"/>
      <c r="M123" s="541"/>
      <c r="N123" s="2983"/>
      <c r="O123" s="2983"/>
      <c r="P123" s="3007"/>
      <c r="Q123" s="2974"/>
      <c r="R123" s="2975"/>
      <c r="S123" s="2975"/>
      <c r="T123" s="2975"/>
      <c r="U123" s="2975"/>
      <c r="V123" s="2975"/>
      <c r="W123" s="2975"/>
      <c r="X123" s="2975"/>
      <c r="Y123" s="2975"/>
      <c r="Z123" s="2975"/>
      <c r="AA123" s="2975"/>
      <c r="AB123" s="2975"/>
      <c r="AC123" s="2975"/>
    </row>
    <row r="124" spans="1:29" s="428" customFormat="1" ht="15.75" thickBot="1">
      <c r="A124" s="508"/>
      <c r="B124" s="498"/>
      <c r="C124" s="499">
        <v>100</v>
      </c>
      <c r="D124" s="499">
        <f>C124-$K41</f>
        <v>99</v>
      </c>
      <c r="E124" s="499">
        <f t="shared" ref="E124:M124" si="29">D124-$K41</f>
        <v>98</v>
      </c>
      <c r="F124" s="499">
        <f t="shared" si="29"/>
        <v>97</v>
      </c>
      <c r="G124" s="499">
        <f t="shared" si="29"/>
        <v>96</v>
      </c>
      <c r="H124" s="499">
        <f t="shared" si="29"/>
        <v>95</v>
      </c>
      <c r="I124" s="499">
        <f t="shared" si="29"/>
        <v>94</v>
      </c>
      <c r="J124" s="499">
        <f t="shared" si="29"/>
        <v>93</v>
      </c>
      <c r="K124" s="499">
        <f t="shared" si="29"/>
        <v>92</v>
      </c>
      <c r="L124" s="499">
        <f t="shared" si="29"/>
        <v>91</v>
      </c>
      <c r="M124" s="500">
        <f t="shared" si="29"/>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4"/>
      <c r="B125" s="493" t="s">
        <v>2616</v>
      </c>
      <c r="C125" s="509"/>
      <c r="D125" s="509"/>
      <c r="E125" s="538"/>
      <c r="F125" s="538"/>
      <c r="G125" s="538"/>
      <c r="H125" s="538"/>
      <c r="I125" s="538"/>
      <c r="J125" s="538"/>
      <c r="K125" s="539"/>
      <c r="L125" s="540"/>
      <c r="M125" s="541"/>
      <c r="N125" s="2981"/>
      <c r="O125" s="2981"/>
      <c r="P125" s="3006"/>
      <c r="Q125" s="2967"/>
      <c r="R125" s="2953"/>
      <c r="S125" s="2953"/>
      <c r="T125" s="2953"/>
      <c r="U125" s="2953"/>
      <c r="V125" s="2953"/>
      <c r="W125" s="2953"/>
      <c r="X125" s="2953"/>
      <c r="Y125" s="2953"/>
      <c r="Z125" s="2953"/>
      <c r="AA125" s="2953"/>
      <c r="AB125" s="2953"/>
      <c r="AC125" s="2953"/>
    </row>
    <row r="126" spans="1:29" ht="15.75" thickBot="1">
      <c r="A126" s="489"/>
      <c r="B126" s="498"/>
      <c r="C126" s="499">
        <v>100</v>
      </c>
      <c r="D126" s="499">
        <f t="shared" ref="D126:M126" si="30">C126-$K42</f>
        <v>98</v>
      </c>
      <c r="E126" s="499">
        <f t="shared" si="30"/>
        <v>96</v>
      </c>
      <c r="F126" s="499">
        <f t="shared" si="30"/>
        <v>94</v>
      </c>
      <c r="G126" s="499">
        <f t="shared" si="30"/>
        <v>92</v>
      </c>
      <c r="H126" s="499">
        <f t="shared" si="30"/>
        <v>90</v>
      </c>
      <c r="I126" s="499">
        <f t="shared" si="30"/>
        <v>88</v>
      </c>
      <c r="J126" s="499">
        <f t="shared" si="30"/>
        <v>86</v>
      </c>
      <c r="K126" s="499">
        <f t="shared" si="30"/>
        <v>84</v>
      </c>
      <c r="L126" s="499">
        <f t="shared" si="30"/>
        <v>82</v>
      </c>
      <c r="M126" s="500">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4"/>
      <c r="B127" s="493">
        <f>B43</f>
        <v>111</v>
      </c>
      <c r="C127" s="509"/>
      <c r="D127" s="509"/>
      <c r="E127" s="509"/>
      <c r="F127" s="509"/>
      <c r="G127" s="509"/>
      <c r="H127" s="538"/>
      <c r="I127" s="538"/>
      <c r="J127" s="538"/>
      <c r="K127" s="539"/>
      <c r="L127" s="540"/>
      <c r="M127" s="541"/>
      <c r="N127" s="2981"/>
      <c r="O127" s="2981"/>
      <c r="P127" s="3006"/>
      <c r="Q127" s="2967"/>
      <c r="R127" s="2953"/>
      <c r="S127" s="2953"/>
      <c r="T127" s="2953"/>
      <c r="U127" s="2953"/>
      <c r="V127" s="2953"/>
      <c r="W127" s="2953"/>
      <c r="X127" s="2953"/>
      <c r="Y127" s="2953"/>
      <c r="Z127" s="2953"/>
      <c r="AA127" s="2953"/>
      <c r="AB127" s="2953"/>
      <c r="AC127" s="2953"/>
    </row>
    <row r="128" spans="1:29" ht="15.75" thickBot="1">
      <c r="A128" s="489"/>
      <c r="B128" s="498"/>
      <c r="C128" s="515"/>
      <c r="D128" s="515"/>
      <c r="E128" s="515"/>
      <c r="F128" s="515"/>
      <c r="G128" s="491"/>
      <c r="H128" s="491"/>
      <c r="I128" s="491"/>
      <c r="J128" s="491"/>
      <c r="K128" s="491"/>
      <c r="L128" s="491"/>
      <c r="M128" s="492"/>
      <c r="N128" s="2982"/>
      <c r="O128" s="2982"/>
      <c r="P128" s="3006"/>
      <c r="Q128" s="2967"/>
      <c r="R128" s="2953"/>
      <c r="S128" s="2953"/>
      <c r="T128" s="2953"/>
      <c r="U128" s="2953"/>
      <c r="V128" s="2953"/>
      <c r="W128" s="2953"/>
      <c r="X128" s="2953"/>
      <c r="Y128" s="2953"/>
      <c r="Z128" s="2953"/>
      <c r="AA128" s="2953"/>
      <c r="AB128" s="2953"/>
      <c r="AC128" s="2953"/>
    </row>
    <row r="129" spans="1:29" ht="15" thickTop="1">
      <c r="A129" s="554"/>
      <c r="B129" s="493">
        <f>B44</f>
        <v>111</v>
      </c>
      <c r="C129" s="478"/>
      <c r="D129" s="478"/>
      <c r="E129" s="478"/>
      <c r="F129" s="478"/>
      <c r="G129" s="538"/>
      <c r="H129" s="538"/>
      <c r="I129" s="538"/>
      <c r="J129" s="538"/>
      <c r="K129" s="539"/>
      <c r="L129" s="540"/>
      <c r="M129" s="541"/>
      <c r="N129" s="2981"/>
      <c r="O129" s="2981"/>
      <c r="P129" s="3006"/>
      <c r="Q129" s="2967"/>
      <c r="R129" s="2953"/>
      <c r="S129" s="2953"/>
      <c r="T129" s="2953"/>
      <c r="U129" s="2953"/>
      <c r="V129" s="2953"/>
      <c r="W129" s="2953"/>
      <c r="X129" s="2953"/>
      <c r="Y129" s="2953"/>
      <c r="Z129" s="2953"/>
      <c r="AA129" s="2953"/>
      <c r="AB129" s="2953"/>
      <c r="AC129" s="2953"/>
    </row>
    <row r="130" spans="1:29" ht="15.75" thickBot="1">
      <c r="A130" s="489"/>
      <c r="B130" s="498"/>
      <c r="C130" s="525"/>
      <c r="D130" s="525"/>
      <c r="E130" s="525"/>
      <c r="F130" s="525"/>
      <c r="G130" s="491"/>
      <c r="H130" s="491"/>
      <c r="I130" s="491"/>
      <c r="J130" s="491"/>
      <c r="K130" s="491"/>
      <c r="L130" s="491"/>
      <c r="M130" s="492"/>
      <c r="N130" s="2982"/>
      <c r="O130" s="2982"/>
      <c r="P130" s="3006"/>
      <c r="Q130" s="2967"/>
      <c r="R130" s="2953"/>
      <c r="S130" s="2953"/>
      <c r="T130" s="2953"/>
      <c r="U130" s="2953"/>
      <c r="V130" s="2953"/>
      <c r="W130" s="2953"/>
      <c r="X130" s="2953"/>
      <c r="Y130" s="2953"/>
      <c r="Z130" s="2953"/>
      <c r="AA130" s="2953"/>
      <c r="AB130" s="2953"/>
      <c r="AC130" s="2953"/>
    </row>
    <row r="131" spans="1:29" s="428" customFormat="1" ht="15" thickTop="1">
      <c r="A131" s="548"/>
      <c r="B131" s="493">
        <f>B45</f>
        <v>111</v>
      </c>
      <c r="C131" s="478"/>
      <c r="D131" s="478"/>
      <c r="E131" s="478"/>
      <c r="F131" s="478"/>
      <c r="G131" s="510"/>
      <c r="H131" s="510"/>
      <c r="I131" s="510"/>
      <c r="J131" s="510"/>
      <c r="K131" s="510"/>
      <c r="L131" s="511"/>
      <c r="M131" s="512"/>
      <c r="N131" s="2983"/>
      <c r="O131" s="2983"/>
      <c r="P131" s="3007"/>
      <c r="Q131" s="2974"/>
      <c r="R131" s="2975"/>
      <c r="S131" s="2975"/>
      <c r="T131" s="2975"/>
      <c r="U131" s="2975"/>
      <c r="V131" s="2975"/>
      <c r="W131" s="2975"/>
      <c r="X131" s="2975"/>
      <c r="Y131" s="2975"/>
      <c r="Z131" s="2975"/>
      <c r="AA131" s="2975"/>
      <c r="AB131" s="2975"/>
      <c r="AC131" s="2975"/>
    </row>
    <row r="132" spans="1:29" s="428" customFormat="1" ht="15.75" thickBot="1">
      <c r="A132" s="523"/>
      <c r="B132" s="654"/>
      <c r="C132" s="525"/>
      <c r="D132" s="525"/>
      <c r="E132" s="525"/>
      <c r="F132" s="525"/>
      <c r="G132" s="546"/>
      <c r="H132" s="546"/>
      <c r="I132" s="546"/>
      <c r="J132" s="546"/>
      <c r="K132" s="546"/>
      <c r="L132" s="546"/>
      <c r="M132" s="547"/>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6" priority="18" stopIfTrue="1" operator="containsText" text="超过">
      <formula>NOT(ISERROR(SEARCH("超过",F51)))</formula>
    </cfRule>
  </conditionalFormatting>
  <conditionalFormatting sqref="J53">
    <cfRule type="containsText" dxfId="115" priority="17" stopIfTrue="1" operator="containsText" text="超过">
      <formula>NOT(ISERROR(SEARCH("超过",J53)))</formula>
    </cfRule>
  </conditionalFormatting>
  <conditionalFormatting sqref="H53">
    <cfRule type="containsText" dxfId="114" priority="16" stopIfTrue="1" operator="containsText" text="超过">
      <formula>NOT(ISERROR(SEARCH("超过",H53)))</formula>
    </cfRule>
  </conditionalFormatting>
  <conditionalFormatting sqref="F53">
    <cfRule type="containsText" dxfId="113" priority="15" stopIfTrue="1" operator="containsText" text="超过">
      <formula>NOT(ISERROR(SEARCH("超过",F53)))</formula>
    </cfRule>
  </conditionalFormatting>
  <conditionalFormatting sqref="F52 H52 J52">
    <cfRule type="containsText" dxfId="112" priority="14" stopIfTrue="1" operator="containsText" text="超过">
      <formula>NOT(ISERROR(SEARCH("超过",F52)))</formula>
    </cfRule>
  </conditionalFormatting>
  <conditionalFormatting sqref="E51">
    <cfRule type="expression" dxfId="111" priority="13" stopIfTrue="1">
      <formula>$F$51="超过30%"</formula>
    </cfRule>
  </conditionalFormatting>
  <conditionalFormatting sqref="G53">
    <cfRule type="expression" dxfId="110" priority="12" stopIfTrue="1">
      <formula>$H$53="超过30%"</formula>
    </cfRule>
  </conditionalFormatting>
  <conditionalFormatting sqref="E52">
    <cfRule type="expression" dxfId="109" priority="11" stopIfTrue="1">
      <formula>$F$52="超过20%"</formula>
    </cfRule>
  </conditionalFormatting>
  <conditionalFormatting sqref="E53">
    <cfRule type="expression" dxfId="108" priority="10" stopIfTrue="1">
      <formula>$F$53="超过30%"</formula>
    </cfRule>
  </conditionalFormatting>
  <conditionalFormatting sqref="G51">
    <cfRule type="expression" dxfId="107" priority="9" stopIfTrue="1">
      <formula>$H$53+$H$51="超过30%"</formula>
    </cfRule>
  </conditionalFormatting>
  <conditionalFormatting sqref="G52">
    <cfRule type="expression" dxfId="106" priority="8" stopIfTrue="1">
      <formula>$H$52="超过20%"</formula>
    </cfRule>
  </conditionalFormatting>
  <conditionalFormatting sqref="I51">
    <cfRule type="expression" dxfId="105" priority="7" stopIfTrue="1">
      <formula>$J$51="超过30%"</formula>
    </cfRule>
  </conditionalFormatting>
  <conditionalFormatting sqref="I52">
    <cfRule type="expression" dxfId="104" priority="6" stopIfTrue="1">
      <formula>$J$52="超过20%"</formula>
    </cfRule>
  </conditionalFormatting>
  <conditionalFormatting sqref="I53">
    <cfRule type="expression" dxfId="103" priority="5" stopIfTrue="1">
      <formula>$J$53="超过30%"</formula>
    </cfRule>
  </conditionalFormatting>
  <conditionalFormatting sqref="F47">
    <cfRule type="expression" dxfId="102" priority="4">
      <formula>$D$47="简单平均"</formula>
    </cfRule>
  </conditionalFormatting>
  <conditionalFormatting sqref="H47">
    <cfRule type="expression" dxfId="101" priority="3">
      <formula>$D$47="简单平均"</formula>
    </cfRule>
  </conditionalFormatting>
  <conditionalFormatting sqref="J47">
    <cfRule type="expression" dxfId="100" priority="2">
      <formula>$D$47="简单平均"</formula>
    </cfRule>
  </conditionalFormatting>
  <conditionalFormatting sqref="F7:F45 H7:H45 J7:J45">
    <cfRule type="cellIs" dxfId="9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2" t="s">
        <v>1044</v>
      </c>
      <c r="B1" s="3383"/>
      <c r="C1" s="3384"/>
      <c r="D1" s="3385">
        <f>SUM(I10,I15,I20,I21,I23)</f>
        <v>0</v>
      </c>
      <c r="E1" s="3385"/>
      <c r="F1" s="3385"/>
      <c r="G1" s="3385"/>
      <c r="H1" s="3385"/>
      <c r="I1" s="3386"/>
    </row>
    <row r="2" spans="1:9">
      <c r="A2" s="3387" t="s">
        <v>1045</v>
      </c>
      <c r="B2" s="3388" t="s">
        <v>1046</v>
      </c>
      <c r="C2" s="3388"/>
      <c r="D2" s="1208" t="s">
        <v>1047</v>
      </c>
      <c r="E2" s="1208" t="s">
        <v>1048</v>
      </c>
      <c r="F2" s="1208" t="s">
        <v>1049</v>
      </c>
      <c r="G2" s="1208" t="s">
        <v>1050</v>
      </c>
      <c r="H2" s="1208" t="s">
        <v>1051</v>
      </c>
      <c r="I2" s="1209" t="s">
        <v>1052</v>
      </c>
    </row>
    <row r="3" spans="1:9">
      <c r="A3" s="3387"/>
      <c r="B3" s="3388" t="s">
        <v>1053</v>
      </c>
      <c r="C3" s="3388"/>
      <c r="D3" s="1210"/>
      <c r="E3" s="1208"/>
      <c r="F3" s="1211"/>
      <c r="G3" s="1211"/>
      <c r="H3" s="1212"/>
      <c r="I3" s="1213">
        <f>ROUND(D3*E3*F3*G3*H3/10000,0)</f>
        <v>0</v>
      </c>
    </row>
    <row r="4" spans="1:9">
      <c r="A4" s="3387"/>
      <c r="B4" s="3388" t="s">
        <v>1054</v>
      </c>
      <c r="C4" s="3388"/>
      <c r="D4" s="1210"/>
      <c r="E4" s="1208"/>
      <c r="F4" s="1211"/>
      <c r="G4" s="1211"/>
      <c r="H4" s="1212"/>
      <c r="I4" s="1213">
        <f t="shared" ref="I4:I9" si="0">ROUND(D4*E4*F4*G4*H4/10000,0)</f>
        <v>0</v>
      </c>
    </row>
    <row r="5" spans="1:9">
      <c r="A5" s="3387"/>
      <c r="B5" s="3388" t="s">
        <v>1055</v>
      </c>
      <c r="C5" s="3388"/>
      <c r="D5" s="1210"/>
      <c r="E5" s="1208"/>
      <c r="F5" s="1211"/>
      <c r="G5" s="1211"/>
      <c r="H5" s="1212"/>
      <c r="I5" s="1213">
        <f t="shared" si="0"/>
        <v>0</v>
      </c>
    </row>
    <row r="6" spans="1:9">
      <c r="A6" s="3387"/>
      <c r="B6" s="3388" t="s">
        <v>1056</v>
      </c>
      <c r="C6" s="3388"/>
      <c r="D6" s="1210"/>
      <c r="E6" s="1208"/>
      <c r="F6" s="1211"/>
      <c r="G6" s="1211"/>
      <c r="H6" s="1212"/>
      <c r="I6" s="1213">
        <f t="shared" si="0"/>
        <v>0</v>
      </c>
    </row>
    <row r="7" spans="1:9">
      <c r="A7" s="3387"/>
      <c r="B7" s="3388" t="s">
        <v>1057</v>
      </c>
      <c r="C7" s="3388"/>
      <c r="D7" s="1210"/>
      <c r="E7" s="1208"/>
      <c r="F7" s="1211"/>
      <c r="G7" s="1211"/>
      <c r="H7" s="1212"/>
      <c r="I7" s="1213">
        <f t="shared" si="0"/>
        <v>0</v>
      </c>
    </row>
    <row r="8" spans="1:9">
      <c r="A8" s="3387"/>
      <c r="B8" s="3388" t="s">
        <v>1058</v>
      </c>
      <c r="C8" s="3388"/>
      <c r="D8" s="1210"/>
      <c r="E8" s="1208"/>
      <c r="F8" s="1211"/>
      <c r="G8" s="1211"/>
      <c r="H8" s="1212"/>
      <c r="I8" s="1213">
        <f t="shared" si="0"/>
        <v>0</v>
      </c>
    </row>
    <row r="9" spans="1:9">
      <c r="A9" s="3387"/>
      <c r="B9" s="3388" t="s">
        <v>1059</v>
      </c>
      <c r="C9" s="3388"/>
      <c r="D9" s="1210"/>
      <c r="E9" s="1208"/>
      <c r="F9" s="1211"/>
      <c r="G9" s="1211"/>
      <c r="H9" s="1212"/>
      <c r="I9" s="1213">
        <f t="shared" si="0"/>
        <v>0</v>
      </c>
    </row>
    <row r="10" spans="1:9">
      <c r="A10" s="3387"/>
      <c r="B10" s="3389" t="s">
        <v>1060</v>
      </c>
      <c r="C10" s="3389"/>
      <c r="D10" s="1214"/>
      <c r="E10" s="1214" t="e">
        <f>ROUND(D1*10000/D10/H9,0)</f>
        <v>#DIV/0!</v>
      </c>
      <c r="F10" s="1215"/>
      <c r="G10" s="1215"/>
      <c r="H10" s="1216"/>
      <c r="I10" s="1217">
        <f>SUM(I3:I9)</f>
        <v>0</v>
      </c>
    </row>
    <row r="11" spans="1:9" ht="14.25">
      <c r="A11" s="3387" t="s">
        <v>1061</v>
      </c>
      <c r="B11" s="3388" t="s">
        <v>1062</v>
      </c>
      <c r="C11" s="3388"/>
      <c r="D11" s="1210" t="s">
        <v>1063</v>
      </c>
      <c r="E11" s="1210" t="s">
        <v>1064</v>
      </c>
      <c r="F11" s="1211" t="s">
        <v>1065</v>
      </c>
      <c r="G11" s="1211" t="s">
        <v>1051</v>
      </c>
      <c r="H11" s="1218" t="s">
        <v>1066</v>
      </c>
      <c r="I11" s="1209" t="s">
        <v>1052</v>
      </c>
    </row>
    <row r="12" spans="1:9">
      <c r="A12" s="3387"/>
      <c r="B12" s="3388" t="s">
        <v>1067</v>
      </c>
      <c r="C12" s="3388"/>
      <c r="D12" s="1210"/>
      <c r="E12" s="1210"/>
      <c r="F12" s="1211"/>
      <c r="G12" s="1212"/>
      <c r="H12" s="1219"/>
      <c r="I12" s="1209">
        <f>ROUND(D12*E12*F12*G12/10000,0)</f>
        <v>0</v>
      </c>
    </row>
    <row r="13" spans="1:9">
      <c r="A13" s="3387"/>
      <c r="B13" s="3388" t="s">
        <v>1068</v>
      </c>
      <c r="C13" s="3388"/>
      <c r="D13" s="1210"/>
      <c r="E13" s="1210"/>
      <c r="F13" s="1211"/>
      <c r="G13" s="1212"/>
      <c r="H13" s="1219"/>
      <c r="I13" s="1209">
        <f>ROUND(D13*E13*F13*G13/10000,0)</f>
        <v>0</v>
      </c>
    </row>
    <row r="14" spans="1:9">
      <c r="A14" s="3387"/>
      <c r="B14" s="3388" t="s">
        <v>1069</v>
      </c>
      <c r="C14" s="3388"/>
      <c r="D14" s="1210"/>
      <c r="E14" s="1210"/>
      <c r="F14" s="1211"/>
      <c r="G14" s="1212"/>
      <c r="H14" s="1219"/>
      <c r="I14" s="1209">
        <f>ROUND(D14*E14*F14*G14/10000,0)</f>
        <v>0</v>
      </c>
    </row>
    <row r="15" spans="1:9">
      <c r="A15" s="3387"/>
      <c r="B15" s="3389" t="s">
        <v>1060</v>
      </c>
      <c r="C15" s="3389"/>
      <c r="D15" s="1214"/>
      <c r="E15" s="1214">
        <f>SUM(E12:E14)</f>
        <v>0</v>
      </c>
      <c r="F15" s="1215"/>
      <c r="G15" s="1212"/>
      <c r="H15" s="1219"/>
      <c r="I15" s="1220">
        <f>SUM(I12:I14)</f>
        <v>0</v>
      </c>
    </row>
    <row r="16" spans="1:9" ht="24">
      <c r="A16" s="3387" t="s">
        <v>1070</v>
      </c>
      <c r="B16" s="3388" t="s">
        <v>1071</v>
      </c>
      <c r="C16" s="3388"/>
      <c r="D16" s="1210" t="s">
        <v>1047</v>
      </c>
      <c r="E16" s="1221" t="s">
        <v>1072</v>
      </c>
      <c r="F16" s="1211" t="s">
        <v>1073</v>
      </c>
      <c r="G16" s="1212" t="s">
        <v>1051</v>
      </c>
      <c r="H16" s="1218" t="s">
        <v>1066</v>
      </c>
      <c r="I16" s="1209" t="s">
        <v>1052</v>
      </c>
    </row>
    <row r="17" spans="1:9" ht="14.25">
      <c r="A17" s="3387"/>
      <c r="B17" s="3388" t="s">
        <v>1074</v>
      </c>
      <c r="C17" s="3388"/>
      <c r="D17" s="1210"/>
      <c r="E17" s="1210"/>
      <c r="F17" s="1211"/>
      <c r="G17" s="1212"/>
      <c r="H17" s="1222"/>
      <c r="I17" s="1223">
        <f>ROUND(D17*E17*F17*G17/10000,0)</f>
        <v>0</v>
      </c>
    </row>
    <row r="18" spans="1:9" ht="14.25">
      <c r="A18" s="3387"/>
      <c r="B18" s="3388" t="s">
        <v>1075</v>
      </c>
      <c r="C18" s="3388"/>
      <c r="D18" s="1210"/>
      <c r="E18" s="1210"/>
      <c r="F18" s="1211"/>
      <c r="G18" s="1212"/>
      <c r="H18" s="1222"/>
      <c r="I18" s="1223">
        <f>ROUND(D18*E18*F18*G18/10000,0)</f>
        <v>0</v>
      </c>
    </row>
    <row r="19" spans="1:9" ht="14.25">
      <c r="A19" s="3387"/>
      <c r="B19" s="3388" t="s">
        <v>1076</v>
      </c>
      <c r="C19" s="3388"/>
      <c r="D19" s="1210"/>
      <c r="E19" s="1210"/>
      <c r="F19" s="1211"/>
      <c r="G19" s="1212"/>
      <c r="H19" s="1222"/>
      <c r="I19" s="1223">
        <f>ROUND(D19*E19*F19*G19/10000,0)</f>
        <v>0</v>
      </c>
    </row>
    <row r="20" spans="1:9">
      <c r="A20" s="3387"/>
      <c r="B20" s="3389" t="s">
        <v>1060</v>
      </c>
      <c r="C20" s="3389"/>
      <c r="D20" s="1214">
        <f>SUM(D17:D19)</f>
        <v>0</v>
      </c>
      <c r="E20" s="1214"/>
      <c r="F20" s="1215"/>
      <c r="G20" s="1212"/>
      <c r="H20" s="1219"/>
      <c r="I20" s="1220">
        <f>SUM(I17:I19)</f>
        <v>0</v>
      </c>
    </row>
    <row r="21" spans="1:9">
      <c r="A21" s="3387" t="s">
        <v>1077</v>
      </c>
      <c r="B21" s="3391"/>
      <c r="C21" s="3391"/>
      <c r="D21" s="3391"/>
      <c r="E21" s="3391"/>
      <c r="F21" s="3391"/>
      <c r="G21" s="3391"/>
      <c r="H21" s="1501">
        <v>0.1</v>
      </c>
      <c r="I21" s="1217">
        <f>ROUND(I10*H21,0)</f>
        <v>0</v>
      </c>
    </row>
    <row r="22" spans="1:9" ht="14.25">
      <c r="A22" s="3392" t="s">
        <v>1078</v>
      </c>
      <c r="B22" s="3393"/>
      <c r="C22" s="3394"/>
      <c r="D22" s="1224" t="s">
        <v>1079</v>
      </c>
      <c r="E22" s="1224" t="s">
        <v>1080</v>
      </c>
      <c r="F22" s="1225" t="s">
        <v>1081</v>
      </c>
      <c r="G22" s="1225" t="s">
        <v>1082</v>
      </c>
      <c r="H22" s="1218" t="s">
        <v>1083</v>
      </c>
      <c r="I22" s="1209" t="s">
        <v>1084</v>
      </c>
    </row>
    <row r="23" spans="1:9" ht="14.25" thickBot="1">
      <c r="A23" s="3395"/>
      <c r="B23" s="3396"/>
      <c r="C23" s="3397"/>
      <c r="D23" s="1226"/>
      <c r="E23" s="1226"/>
      <c r="F23" s="1226"/>
      <c r="G23" s="1227"/>
      <c r="H23" s="1228"/>
      <c r="I23" s="1229">
        <f>ROUND(E23*D23*F23*(1-G23)/10000,0)</f>
        <v>0</v>
      </c>
    </row>
    <row r="26" spans="1:9">
      <c r="A26" s="1230" t="s">
        <v>1085</v>
      </c>
      <c r="B26" s="1230"/>
      <c r="C26" s="1230"/>
      <c r="D26" s="1230"/>
      <c r="E26" s="3398">
        <f>C27-C30-C31-C32</f>
        <v>0</v>
      </c>
      <c r="F26" s="3398"/>
      <c r="G26" s="3398"/>
      <c r="H26" s="1498" t="s">
        <v>1306</v>
      </c>
    </row>
    <row r="27" spans="1:9">
      <c r="A27" s="1231">
        <v>1</v>
      </c>
      <c r="B27" s="1232" t="s">
        <v>1086</v>
      </c>
      <c r="C27" s="1232">
        <f>C28+C29</f>
        <v>0</v>
      </c>
      <c r="D27" s="1232"/>
      <c r="E27" s="3399"/>
      <c r="F27" s="3399"/>
      <c r="G27" s="3399"/>
    </row>
    <row r="28" spans="1:9">
      <c r="A28" s="1233" t="s">
        <v>1087</v>
      </c>
      <c r="B28" s="1232" t="s">
        <v>1088</v>
      </c>
      <c r="C28" s="1232"/>
      <c r="D28" s="1232"/>
      <c r="E28" s="3399"/>
      <c r="F28" s="3399"/>
      <c r="G28" s="339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90"/>
      <c r="F32" s="3390"/>
      <c r="G32" s="3390"/>
    </row>
    <row r="33" spans="1:7" hidden="1">
      <c r="A33" s="3400" t="s">
        <v>1097</v>
      </c>
      <c r="B33" s="3401"/>
      <c r="C33" s="3401"/>
      <c r="D33" s="3402"/>
      <c r="E33" s="3398"/>
      <c r="F33" s="3398"/>
      <c r="G33" s="3398"/>
    </row>
    <row r="34" spans="1:7" hidden="1">
      <c r="A34" s="1235">
        <v>1</v>
      </c>
      <c r="B34" s="1232" t="s">
        <v>1098</v>
      </c>
      <c r="C34" s="1232"/>
      <c r="D34" s="1232"/>
      <c r="E34" s="3399"/>
      <c r="F34" s="3399"/>
      <c r="G34" s="3399"/>
    </row>
    <row r="35" spans="1:7" hidden="1">
      <c r="A35" s="1235">
        <v>2</v>
      </c>
      <c r="B35" s="1232" t="s">
        <v>1099</v>
      </c>
      <c r="C35" s="1232"/>
      <c r="D35" s="1232"/>
      <c r="E35" s="3399"/>
      <c r="F35" s="3399"/>
      <c r="G35" s="3399"/>
    </row>
    <row r="36" spans="1:7" hidden="1">
      <c r="A36" s="1235">
        <v>3</v>
      </c>
      <c r="B36" s="1232" t="s">
        <v>1100</v>
      </c>
      <c r="C36" s="1232"/>
      <c r="D36" s="1232"/>
      <c r="E36" s="3399"/>
      <c r="F36" s="3399"/>
      <c r="G36" s="3399"/>
    </row>
    <row r="37" spans="1:7" hidden="1">
      <c r="A37" s="1235">
        <v>4</v>
      </c>
      <c r="B37" s="1232" t="s">
        <v>1101</v>
      </c>
      <c r="C37" s="1232"/>
      <c r="D37" s="1232"/>
      <c r="E37" s="3399"/>
      <c r="F37" s="3399"/>
      <c r="G37" s="3399"/>
    </row>
    <row r="38" spans="1:7" hidden="1">
      <c r="A38" s="3400" t="s">
        <v>1102</v>
      </c>
      <c r="B38" s="3401"/>
      <c r="C38" s="3401"/>
      <c r="D38" s="3402"/>
      <c r="E38" s="3398"/>
      <c r="F38" s="3398"/>
      <c r="G38" s="33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1"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1" customFormat="1" ht="28.5" customHeight="1" thickBot="1">
      <c r="A3" s="207" t="s">
        <v>1360</v>
      </c>
      <c r="B3" s="357" t="e">
        <f ca="1">IF(C2="——",C49,ROUND(B2*10000/D3,0))</f>
        <v>#DIV/0!</v>
      </c>
      <c r="C3" s="358" t="s">
        <v>2356</v>
      </c>
      <c r="D3" s="357">
        <f>IF(D1="",'数据-汇总表'!E3,SUMIF('数据-汇总表'!$C19:$C33,D1,'数据-汇总表'!$E19:$E33))</f>
        <v>23006.27</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9" t="s">
        <v>2357</v>
      </c>
      <c r="B4" s="360"/>
      <c r="C4" s="3324" t="s">
        <v>2358</v>
      </c>
      <c r="D4" s="3325"/>
      <c r="E4" s="3326" t="s">
        <v>2359</v>
      </c>
      <c r="F4" s="3327"/>
      <c r="G4" s="3324" t="s">
        <v>2360</v>
      </c>
      <c r="H4" s="3325"/>
      <c r="I4" s="3324" t="s">
        <v>2361</v>
      </c>
      <c r="J4" s="3325"/>
      <c r="K4" s="2074" t="s">
        <v>2362</v>
      </c>
      <c r="L4" s="2943"/>
      <c r="M4" s="2944"/>
      <c r="N4" s="2944"/>
      <c r="O4" s="2944"/>
      <c r="P4" s="3328" t="s">
        <v>2363</v>
      </c>
      <c r="Q4" s="3329"/>
      <c r="R4" s="3310" t="s">
        <v>2359</v>
      </c>
      <c r="S4" s="3311"/>
      <c r="T4" s="3310" t="s">
        <v>2360</v>
      </c>
      <c r="U4" s="3311"/>
      <c r="V4" s="3307" t="s">
        <v>2361</v>
      </c>
      <c r="W4" s="3307"/>
      <c r="X4" s="1538"/>
      <c r="Y4" s="3310" t="s">
        <v>2363</v>
      </c>
      <c r="Z4" s="3311"/>
      <c r="AA4" s="3304" t="s">
        <v>2359</v>
      </c>
      <c r="AB4" s="3304" t="s">
        <v>2360</v>
      </c>
      <c r="AC4" s="3304" t="s">
        <v>2361</v>
      </c>
    </row>
    <row r="5" spans="1:29" ht="15">
      <c r="A5" s="362"/>
      <c r="B5" s="363"/>
      <c r="C5" s="3316" t="s">
        <v>2364</v>
      </c>
      <c r="D5" s="3317"/>
      <c r="E5" s="3314" t="s">
        <v>2365</v>
      </c>
      <c r="F5" s="3315"/>
      <c r="G5" s="3316" t="s">
        <v>2366</v>
      </c>
      <c r="H5" s="3317"/>
      <c r="I5" s="3316" t="s">
        <v>2367</v>
      </c>
      <c r="J5" s="3317"/>
      <c r="K5" s="2075"/>
      <c r="L5" s="2943"/>
      <c r="M5" s="2944"/>
      <c r="N5" s="2944"/>
      <c r="O5" s="2944"/>
      <c r="P5" s="3330"/>
      <c r="Q5" s="3331"/>
      <c r="R5" s="3312"/>
      <c r="S5" s="3313"/>
      <c r="T5" s="3312"/>
      <c r="U5" s="3313"/>
      <c r="V5" s="3307"/>
      <c r="W5" s="3307"/>
      <c r="X5" s="1538"/>
      <c r="Y5" s="3312"/>
      <c r="Z5" s="3313"/>
      <c r="AA5" s="3305"/>
      <c r="AB5" s="3305"/>
      <c r="AC5" s="3305"/>
    </row>
    <row r="6" spans="1:29" ht="15.75" thickBot="1">
      <c r="A6" s="364"/>
      <c r="B6" s="365"/>
      <c r="C6" s="3318" t="s">
        <v>2368</v>
      </c>
      <c r="D6" s="3319"/>
      <c r="E6" s="3370" t="s">
        <v>2368</v>
      </c>
      <c r="F6" s="3321"/>
      <c r="G6" s="3318" t="s">
        <v>2368</v>
      </c>
      <c r="H6" s="3319"/>
      <c r="I6" s="3318" t="s">
        <v>2368</v>
      </c>
      <c r="J6" s="3319"/>
      <c r="K6" s="2075" t="s">
        <v>2369</v>
      </c>
      <c r="L6" s="2943"/>
      <c r="M6" s="2944"/>
      <c r="N6" s="2944"/>
      <c r="O6" s="2944"/>
      <c r="P6" s="3332"/>
      <c r="Q6" s="3333"/>
      <c r="R6" s="3312"/>
      <c r="S6" s="3313"/>
      <c r="T6" s="3334"/>
      <c r="U6" s="3335"/>
      <c r="V6" s="3307"/>
      <c r="W6" s="3307"/>
      <c r="X6" s="1538"/>
      <c r="Y6" s="3334"/>
      <c r="Z6" s="3335"/>
      <c r="AA6" s="3306"/>
      <c r="AB6" s="3306"/>
      <c r="AC6" s="3306"/>
    </row>
    <row r="7" spans="1:29" s="113" customFormat="1" ht="15.75" thickBot="1">
      <c r="A7" s="366" t="s">
        <v>2370</v>
      </c>
      <c r="B7" s="367"/>
      <c r="C7" s="368">
        <f>'数据-取费表'!B2</f>
        <v>44131</v>
      </c>
      <c r="D7" s="369">
        <v>100</v>
      </c>
      <c r="E7" s="370"/>
      <c r="F7" s="371">
        <f>SUMIF(58:58,YEAR(E7)&amp;"-"&amp;MONTH(E7),59:59)</f>
        <v>0</v>
      </c>
      <c r="G7" s="370"/>
      <c r="H7" s="369">
        <f>SUMIF(58:58,YEAR(G7)&amp;"-"&amp;MONTH(G7),59:59)</f>
        <v>0</v>
      </c>
      <c r="I7" s="370"/>
      <c r="J7" s="369">
        <f>SUMIF(58:58,YEAR(I7)&amp;"-"&amp;MONTH(I7),59:59)</f>
        <v>0</v>
      </c>
      <c r="K7" s="2076"/>
      <c r="L7" s="2945"/>
      <c r="M7" s="2946"/>
      <c r="N7" s="2946"/>
      <c r="O7" s="2946"/>
      <c r="P7" s="3308" t="s">
        <v>2371</v>
      </c>
      <c r="Q7" s="3336"/>
      <c r="R7" s="707" t="s">
        <v>23</v>
      </c>
      <c r="S7" s="708">
        <f t="shared" ref="S7:S15" si="0">F7</f>
        <v>0</v>
      </c>
      <c r="T7" s="707" t="s">
        <v>23</v>
      </c>
      <c r="U7" s="708">
        <f t="shared" ref="U7:U15" si="1">H7</f>
        <v>0</v>
      </c>
      <c r="V7" s="707" t="s">
        <v>23</v>
      </c>
      <c r="W7" s="708">
        <f t="shared" ref="W7:W15" si="2">J7</f>
        <v>0</v>
      </c>
      <c r="X7" s="709"/>
      <c r="Y7" s="3308" t="s">
        <v>2371</v>
      </c>
      <c r="Z7" s="3309"/>
      <c r="AA7" s="710" t="e">
        <f>D7/F7</f>
        <v>#DIV/0!</v>
      </c>
      <c r="AB7" s="710" t="e">
        <f>D7/H7</f>
        <v>#DIV/0!</v>
      </c>
      <c r="AC7" s="710" t="e">
        <f>D7/J7</f>
        <v>#DIV/0!</v>
      </c>
    </row>
    <row r="8" spans="1:29" s="113" customFormat="1" ht="15.75" thickBot="1">
      <c r="A8" s="366" t="s">
        <v>2372</v>
      </c>
      <c r="B8" s="367"/>
      <c r="C8" s="372" t="s">
        <v>2373</v>
      </c>
      <c r="D8" s="369">
        <v>100</v>
      </c>
      <c r="E8" s="2077"/>
      <c r="F8" s="371">
        <f>SUMIF(61:61,E8,62:62)-SUMIF(61:61,C8,62:62)+100</f>
        <v>0</v>
      </c>
      <c r="G8" s="372"/>
      <c r="H8" s="369">
        <f>SUMIF(61:61,G8,62:62)-SUMIF(61:61,C8,62:62)+100</f>
        <v>0</v>
      </c>
      <c r="I8" s="2077"/>
      <c r="J8" s="369">
        <f>SUMIF(61:61,I8,62:62)-SUMIF(61:61,C8,62:62)+100</f>
        <v>0</v>
      </c>
      <c r="K8" s="2076"/>
      <c r="L8" s="2945"/>
      <c r="M8" s="2946"/>
      <c r="N8" s="2946"/>
      <c r="O8" s="2946"/>
      <c r="P8" s="3308" t="s">
        <v>2374</v>
      </c>
      <c r="Q8" s="3309"/>
      <c r="R8" s="707" t="s">
        <v>23</v>
      </c>
      <c r="S8" s="708">
        <f t="shared" si="0"/>
        <v>0</v>
      </c>
      <c r="T8" s="707" t="s">
        <v>23</v>
      </c>
      <c r="U8" s="708">
        <f t="shared" si="1"/>
        <v>0</v>
      </c>
      <c r="V8" s="707" t="s">
        <v>23</v>
      </c>
      <c r="W8" s="708">
        <f t="shared" si="2"/>
        <v>0</v>
      </c>
      <c r="X8" s="709"/>
      <c r="Y8" s="3308" t="s">
        <v>2374</v>
      </c>
      <c r="Z8" s="3309"/>
      <c r="AA8" s="710" t="e">
        <f t="shared" ref="AA8:AA19" si="3">D8/F8</f>
        <v>#DIV/0!</v>
      </c>
      <c r="AB8" s="710" t="e">
        <f t="shared" ref="AB8:AB19" si="4">D8/H8</f>
        <v>#DIV/0!</v>
      </c>
      <c r="AC8" s="710" t="e">
        <f t="shared" ref="AC8:AC19" si="5">D8/J8</f>
        <v>#DIV/0!</v>
      </c>
    </row>
    <row r="9" spans="1:29" s="113" customFormat="1">
      <c r="A9" s="373" t="s">
        <v>2375</v>
      </c>
      <c r="B9" s="67" t="s">
        <v>2376</v>
      </c>
      <c r="C9" s="374"/>
      <c r="D9" s="129">
        <v>100</v>
      </c>
      <c r="E9" s="375"/>
      <c r="F9" s="376">
        <f>SUMIF(63:63,E9,64:64)-SUMIF(63:63,C9,64:64)+100</f>
        <v>100</v>
      </c>
      <c r="G9" s="377"/>
      <c r="H9" s="129">
        <f>SUMIF(63:63,G9,64:64)-SUMIF(63:63,C9,64:64)+100</f>
        <v>100</v>
      </c>
      <c r="I9" s="377"/>
      <c r="J9" s="129">
        <f>SUMIF(63:63,I9,64:64)-SUMIF(63:63,C9,64:64)+100</f>
        <v>100</v>
      </c>
      <c r="K9" s="2076"/>
      <c r="L9" s="2945"/>
      <c r="M9" s="2946"/>
      <c r="N9" s="2946"/>
      <c r="O9" s="2946"/>
      <c r="P9" s="3323"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710">
        <f t="shared" si="5"/>
        <v>1</v>
      </c>
    </row>
    <row r="10" spans="1:29" s="384" customFormat="1" ht="27">
      <c r="A10" s="378"/>
      <c r="B10" s="379" t="s">
        <v>2379</v>
      </c>
      <c r="C10" s="380"/>
      <c r="D10" s="130">
        <v>100</v>
      </c>
      <c r="E10" s="381"/>
      <c r="F10" s="382">
        <f>SUMIF(65:65,E10,66:66)-SUMIF(65:65,C10,66:66)+100</f>
        <v>100</v>
      </c>
      <c r="G10" s="380"/>
      <c r="H10" s="130">
        <f>SUMIF(65:65,G10,66:66)-SUMIF(65:65,C10,66:66)+100</f>
        <v>100</v>
      </c>
      <c r="I10" s="380"/>
      <c r="J10" s="130">
        <f>SUMIF(65:65,I10,66:66)-SUMIF(65:65,C10,66:66)+100</f>
        <v>100</v>
      </c>
      <c r="K10" s="383"/>
      <c r="L10" s="2947"/>
      <c r="M10" s="2948"/>
      <c r="N10" s="2948"/>
      <c r="O10" s="2948"/>
      <c r="P10" s="3323"/>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710">
        <f t="shared" si="5"/>
        <v>1</v>
      </c>
    </row>
    <row r="11" spans="1:29" ht="15">
      <c r="A11" s="385"/>
      <c r="B11" s="379" t="s">
        <v>2380</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9"/>
      <c r="M11" s="2944"/>
      <c r="N11" s="2944"/>
      <c r="O11" s="2944"/>
      <c r="P11" s="3323"/>
      <c r="Q11" s="1526" t="str">
        <f t="shared" si="6"/>
        <v>容积率</v>
      </c>
      <c r="R11" s="707" t="s">
        <v>21</v>
      </c>
      <c r="S11" s="708" t="e">
        <f t="shared" si="0"/>
        <v>#N/A</v>
      </c>
      <c r="T11" s="707" t="s">
        <v>21</v>
      </c>
      <c r="U11" s="708" t="e">
        <f t="shared" si="1"/>
        <v>#N/A</v>
      </c>
      <c r="V11" s="707" t="s">
        <v>21</v>
      </c>
      <c r="W11" s="708" t="e">
        <f t="shared" si="2"/>
        <v>#N/A</v>
      </c>
      <c r="X11" s="709"/>
      <c r="Y11" s="3280"/>
      <c r="Z11" s="55" t="str">
        <f t="shared" si="7"/>
        <v>容积率</v>
      </c>
      <c r="AA11" s="710" t="e">
        <f t="shared" si="3"/>
        <v>#N/A</v>
      </c>
      <c r="AB11" s="710" t="e">
        <f t="shared" si="4"/>
        <v>#N/A</v>
      </c>
      <c r="AC11" s="710" t="e">
        <f t="shared" si="5"/>
        <v>#N/A</v>
      </c>
    </row>
    <row r="12" spans="1:29" s="113" customFormat="1" ht="15">
      <c r="A12" s="388"/>
      <c r="B12" s="2078">
        <v>111</v>
      </c>
      <c r="C12" s="389"/>
      <c r="D12" s="390">
        <v>100</v>
      </c>
      <c r="E12" s="389"/>
      <c r="F12" s="382">
        <f>SUMIF(70:70,E12,71:71)-SUMIF(70:70,C12,71:71)+100</f>
        <v>100</v>
      </c>
      <c r="G12" s="389"/>
      <c r="H12" s="130">
        <f>SUMIF(70:70,G12,71:71)-SUMIF(70:70,C12,71:71)+100</f>
        <v>100</v>
      </c>
      <c r="I12" s="389"/>
      <c r="J12" s="130">
        <f>SUMIF(70:70,I12,71:71)-SUMIF(70:70,C12,71:71)+100</f>
        <v>100</v>
      </c>
      <c r="K12" s="2079"/>
      <c r="L12" s="2945"/>
      <c r="M12" s="2946"/>
      <c r="N12" s="2946"/>
      <c r="O12" s="2946"/>
      <c r="P12" s="3323"/>
      <c r="Q12" s="1526">
        <f t="shared" si="6"/>
        <v>111</v>
      </c>
      <c r="R12" s="707" t="s">
        <v>21</v>
      </c>
      <c r="S12" s="708">
        <f t="shared" si="0"/>
        <v>100</v>
      </c>
      <c r="T12" s="707" t="s">
        <v>21</v>
      </c>
      <c r="U12" s="708">
        <f t="shared" si="1"/>
        <v>100</v>
      </c>
      <c r="V12" s="707" t="s">
        <v>21</v>
      </c>
      <c r="W12" s="708">
        <f t="shared" si="2"/>
        <v>100</v>
      </c>
      <c r="X12" s="709"/>
      <c r="Y12" s="3280"/>
      <c r="Z12" s="55">
        <f t="shared" si="7"/>
        <v>111</v>
      </c>
      <c r="AA12" s="710">
        <f>D12/F12</f>
        <v>1</v>
      </c>
      <c r="AB12" s="710">
        <f>D12/H12</f>
        <v>1</v>
      </c>
      <c r="AC12" s="710">
        <f>D12/J12</f>
        <v>1</v>
      </c>
    </row>
    <row r="13" spans="1:29" ht="15">
      <c r="A13" s="385"/>
      <c r="B13" s="2078">
        <v>111</v>
      </c>
      <c r="C13" s="391"/>
      <c r="D13" s="392">
        <v>100</v>
      </c>
      <c r="E13" s="391"/>
      <c r="F13" s="382">
        <f>SUMIF(72:72,E13,73:73)-SUMIF(72:72,C13,73:73)+100</f>
        <v>100</v>
      </c>
      <c r="G13" s="391"/>
      <c r="H13" s="392">
        <f>SUMIF(72:72,G13,73:73)-SUMIF(72:72,C13,73:73)+100</f>
        <v>100</v>
      </c>
      <c r="I13" s="391"/>
      <c r="J13" s="392">
        <f>SUMIF(72:72,I13,73:73)-SUMIF(72:72,C13,73:73)+100</f>
        <v>100</v>
      </c>
      <c r="K13" s="2079"/>
      <c r="L13" s="2950"/>
      <c r="M13" s="2944"/>
      <c r="N13" s="2944"/>
      <c r="O13" s="2944"/>
      <c r="P13" s="3323"/>
      <c r="Q13" s="1526">
        <f t="shared" si="6"/>
        <v>111</v>
      </c>
      <c r="R13" s="707" t="s">
        <v>21</v>
      </c>
      <c r="S13" s="708">
        <f t="shared" si="0"/>
        <v>100</v>
      </c>
      <c r="T13" s="707" t="s">
        <v>21</v>
      </c>
      <c r="U13" s="708">
        <f t="shared" si="1"/>
        <v>100</v>
      </c>
      <c r="V13" s="707" t="s">
        <v>21</v>
      </c>
      <c r="W13" s="708">
        <f t="shared" si="2"/>
        <v>100</v>
      </c>
      <c r="X13" s="709"/>
      <c r="Y13" s="3280"/>
      <c r="Z13" s="55">
        <f t="shared" si="7"/>
        <v>111</v>
      </c>
      <c r="AA13" s="710">
        <f t="shared" si="3"/>
        <v>1</v>
      </c>
      <c r="AB13" s="710">
        <f t="shared" si="4"/>
        <v>1</v>
      </c>
      <c r="AC13" s="710">
        <f t="shared" si="5"/>
        <v>1</v>
      </c>
    </row>
    <row r="14" spans="1:29" ht="15.75" thickBot="1">
      <c r="A14" s="393"/>
      <c r="B14" s="2080">
        <v>111</v>
      </c>
      <c r="C14" s="394"/>
      <c r="D14" s="395">
        <v>100</v>
      </c>
      <c r="E14" s="394"/>
      <c r="F14" s="396">
        <f>SUMIF(74:74,E14,75:75)-SUMIF(74:74,C14,75:75)+100</f>
        <v>100</v>
      </c>
      <c r="G14" s="394"/>
      <c r="H14" s="395">
        <f>SUMIF(74:74,G14,75:75)-SUMIF(74:74,C14,75:75)+100</f>
        <v>100</v>
      </c>
      <c r="I14" s="394"/>
      <c r="J14" s="395">
        <f>SUMIF(74:74,I14,75:75)-SUMIF(74:74,C14,75:75)+100</f>
        <v>100</v>
      </c>
      <c r="K14" s="2079"/>
      <c r="L14" s="2950"/>
      <c r="M14" s="2944"/>
      <c r="N14" s="2944"/>
      <c r="O14" s="2944"/>
      <c r="P14" s="3323"/>
      <c r="Q14" s="1526">
        <f t="shared" si="6"/>
        <v>111</v>
      </c>
      <c r="R14" s="707" t="s">
        <v>21</v>
      </c>
      <c r="S14" s="708">
        <f t="shared" si="0"/>
        <v>100</v>
      </c>
      <c r="T14" s="707" t="s">
        <v>21</v>
      </c>
      <c r="U14" s="708">
        <f t="shared" si="1"/>
        <v>100</v>
      </c>
      <c r="V14" s="707" t="s">
        <v>21</v>
      </c>
      <c r="W14" s="708">
        <f t="shared" si="2"/>
        <v>100</v>
      </c>
      <c r="X14" s="709"/>
      <c r="Y14" s="3280"/>
      <c r="Z14" s="55">
        <f t="shared" si="7"/>
        <v>111</v>
      </c>
      <c r="AA14" s="710">
        <f t="shared" si="3"/>
        <v>1</v>
      </c>
      <c r="AB14" s="710">
        <f t="shared" si="4"/>
        <v>1</v>
      </c>
      <c r="AC14" s="710">
        <f t="shared" si="5"/>
        <v>1</v>
      </c>
    </row>
    <row r="15" spans="1:29" ht="99.75">
      <c r="A15" s="397" t="s">
        <v>2381</v>
      </c>
      <c r="B15" s="65" t="s">
        <v>1944</v>
      </c>
      <c r="C15" s="2081"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50"/>
      <c r="M15" s="2944"/>
      <c r="N15" s="2944"/>
      <c r="O15" s="2944"/>
      <c r="P15" s="3337" t="s">
        <v>2382</v>
      </c>
      <c r="Q15" s="1535" t="str">
        <f t="shared" si="6"/>
        <v>居住社区成熟度</v>
      </c>
      <c r="R15" s="711" t="s">
        <v>21</v>
      </c>
      <c r="S15" s="712">
        <f t="shared" si="0"/>
        <v>100</v>
      </c>
      <c r="T15" s="711" t="s">
        <v>21</v>
      </c>
      <c r="U15" s="712">
        <f t="shared" si="1"/>
        <v>100</v>
      </c>
      <c r="V15" s="711" t="s">
        <v>21</v>
      </c>
      <c r="W15" s="712">
        <f t="shared" si="2"/>
        <v>100</v>
      </c>
      <c r="X15" s="1538"/>
      <c r="Y15" s="3339" t="s">
        <v>2382</v>
      </c>
      <c r="Z15" s="1539" t="str">
        <f t="shared" si="7"/>
        <v>居住社区成熟度</v>
      </c>
      <c r="AA15" s="1536">
        <f t="shared" si="3"/>
        <v>1</v>
      </c>
      <c r="AB15" s="1536">
        <f t="shared" si="4"/>
        <v>1</v>
      </c>
      <c r="AC15" s="1536">
        <f t="shared" si="5"/>
        <v>1</v>
      </c>
    </row>
    <row r="16" spans="1:29" ht="15">
      <c r="A16" s="385"/>
      <c r="B16" s="403"/>
      <c r="C16" s="404"/>
      <c r="D16" s="405"/>
      <c r="E16" s="2082"/>
      <c r="F16" s="405"/>
      <c r="G16" s="2083"/>
      <c r="H16" s="407"/>
      <c r="I16" s="2083"/>
      <c r="J16" s="405"/>
      <c r="K16" s="2084"/>
      <c r="L16" s="2950"/>
      <c r="M16" s="2944"/>
      <c r="N16" s="2944"/>
      <c r="O16" s="2944"/>
      <c r="P16" s="3338"/>
      <c r="Q16" s="1535"/>
      <c r="R16" s="711"/>
      <c r="S16" s="712"/>
      <c r="T16" s="711"/>
      <c r="U16" s="712"/>
      <c r="V16" s="711"/>
      <c r="W16" s="712"/>
      <c r="X16" s="1538"/>
      <c r="Y16" s="3340"/>
      <c r="Z16" s="1539"/>
      <c r="AA16" s="1536">
        <v>1</v>
      </c>
      <c r="AB16" s="1536">
        <v>1</v>
      </c>
      <c r="AC16" s="1536">
        <v>1</v>
      </c>
    </row>
    <row r="17" spans="1:29" ht="85.5">
      <c r="A17" s="385"/>
      <c r="B17" s="408" t="s">
        <v>1946</v>
      </c>
      <c r="C17" s="2085"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50"/>
      <c r="M17" s="2944"/>
      <c r="N17" s="2944"/>
      <c r="O17" s="2944"/>
      <c r="P17" s="3338"/>
      <c r="Q17" s="1535" t="str">
        <f>B17</f>
        <v>交通便捷度</v>
      </c>
      <c r="R17" s="711" t="s">
        <v>21</v>
      </c>
      <c r="S17" s="712">
        <f>F17</f>
        <v>100</v>
      </c>
      <c r="T17" s="711" t="s">
        <v>21</v>
      </c>
      <c r="U17" s="712">
        <f>H17</f>
        <v>100</v>
      </c>
      <c r="V17" s="711" t="s">
        <v>21</v>
      </c>
      <c r="W17" s="712">
        <f>J17</f>
        <v>100</v>
      </c>
      <c r="X17" s="1538"/>
      <c r="Y17" s="3340"/>
      <c r="Z17" s="1539" t="str">
        <f>Q17</f>
        <v>交通便捷度</v>
      </c>
      <c r="AA17" s="1536">
        <f t="shared" si="3"/>
        <v>1</v>
      </c>
      <c r="AB17" s="1536">
        <f t="shared" si="4"/>
        <v>1</v>
      </c>
      <c r="AC17" s="1536">
        <f t="shared" si="5"/>
        <v>1</v>
      </c>
    </row>
    <row r="18" spans="1:29" ht="15">
      <c r="A18" s="385"/>
      <c r="B18" s="413"/>
      <c r="C18" s="2086"/>
      <c r="D18" s="407"/>
      <c r="E18" s="2087"/>
      <c r="F18" s="407"/>
      <c r="G18" s="2088"/>
      <c r="H18" s="405"/>
      <c r="I18" s="2088"/>
      <c r="J18" s="405"/>
      <c r="K18" s="2084"/>
      <c r="L18" s="2950"/>
      <c r="M18" s="2944"/>
      <c r="N18" s="2944"/>
      <c r="O18" s="2944"/>
      <c r="P18" s="3338"/>
      <c r="Q18" s="1535"/>
      <c r="R18" s="711"/>
      <c r="S18" s="712"/>
      <c r="T18" s="711"/>
      <c r="U18" s="712"/>
      <c r="V18" s="711"/>
      <c r="W18" s="712"/>
      <c r="X18" s="1538"/>
      <c r="Y18" s="3340"/>
      <c r="Z18" s="1539"/>
      <c r="AA18" s="1536">
        <v>1</v>
      </c>
      <c r="AB18" s="1536">
        <v>1</v>
      </c>
      <c r="AC18" s="1536">
        <v>1</v>
      </c>
    </row>
    <row r="19" spans="1:29" ht="42.75">
      <c r="A19" s="385"/>
      <c r="B19" s="408" t="s">
        <v>1945</v>
      </c>
      <c r="C19" s="2085"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50"/>
      <c r="M19" s="2944"/>
      <c r="N19" s="2944"/>
      <c r="O19" s="2944"/>
      <c r="P19" s="3338"/>
      <c r="Q19" s="1535" t="str">
        <f>B19</f>
        <v>公共配套设施</v>
      </c>
      <c r="R19" s="711" t="s">
        <v>21</v>
      </c>
      <c r="S19" s="712">
        <f>F19</f>
        <v>100</v>
      </c>
      <c r="T19" s="711" t="s">
        <v>21</v>
      </c>
      <c r="U19" s="712">
        <f>H19</f>
        <v>100</v>
      </c>
      <c r="V19" s="711" t="s">
        <v>21</v>
      </c>
      <c r="W19" s="712">
        <f>J19</f>
        <v>100</v>
      </c>
      <c r="X19" s="1538"/>
      <c r="Y19" s="3340"/>
      <c r="Z19" s="1539" t="str">
        <f>Q19</f>
        <v>公共配套设施</v>
      </c>
      <c r="AA19" s="1536">
        <f t="shared" si="3"/>
        <v>1</v>
      </c>
      <c r="AB19" s="1536">
        <f t="shared" si="4"/>
        <v>1</v>
      </c>
      <c r="AC19" s="1536">
        <f t="shared" si="5"/>
        <v>1</v>
      </c>
    </row>
    <row r="20" spans="1:29" ht="15">
      <c r="A20" s="385"/>
      <c r="B20" s="413"/>
      <c r="C20" s="404"/>
      <c r="D20" s="405"/>
      <c r="E20" s="2082"/>
      <c r="F20" s="405"/>
      <c r="G20" s="2083"/>
      <c r="H20" s="405"/>
      <c r="I20" s="2083"/>
      <c r="J20" s="405"/>
      <c r="K20" s="2084"/>
      <c r="L20" s="2950"/>
      <c r="M20" s="2944"/>
      <c r="N20" s="2944"/>
      <c r="O20" s="2944"/>
      <c r="P20" s="3338"/>
      <c r="Q20" s="1535"/>
      <c r="R20" s="711"/>
      <c r="S20" s="712"/>
      <c r="T20" s="711"/>
      <c r="U20" s="712"/>
      <c r="V20" s="711"/>
      <c r="W20" s="712"/>
      <c r="X20" s="1538"/>
      <c r="Y20" s="3340"/>
      <c r="Z20" s="1539"/>
      <c r="AA20" s="1536">
        <v>1</v>
      </c>
      <c r="AB20" s="1536">
        <v>1</v>
      </c>
      <c r="AC20" s="1536">
        <v>1</v>
      </c>
    </row>
    <row r="21" spans="1:29" ht="28.5">
      <c r="A21" s="385"/>
      <c r="B21" s="1290" t="s">
        <v>1947</v>
      </c>
      <c r="C21" s="2085"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50"/>
      <c r="M21" s="2944"/>
      <c r="N21" s="2944"/>
      <c r="O21" s="2944"/>
      <c r="P21" s="3338"/>
      <c r="Q21" s="1535" t="str">
        <f>B21</f>
        <v>基础设施水平</v>
      </c>
      <c r="R21" s="711" t="s">
        <v>17</v>
      </c>
      <c r="S21" s="712">
        <f>F21</f>
        <v>100</v>
      </c>
      <c r="T21" s="711" t="s">
        <v>17</v>
      </c>
      <c r="U21" s="712">
        <f>H21</f>
        <v>100</v>
      </c>
      <c r="V21" s="711" t="s">
        <v>17</v>
      </c>
      <c r="W21" s="712">
        <f>J21</f>
        <v>100</v>
      </c>
      <c r="X21" s="1538"/>
      <c r="Y21" s="3340"/>
      <c r="Z21" s="1539" t="str">
        <f>Q21</f>
        <v>基础设施水平</v>
      </c>
      <c r="AA21" s="1536">
        <f t="shared" ref="AA21" si="8">D21/F21</f>
        <v>1</v>
      </c>
      <c r="AB21" s="1536">
        <f t="shared" ref="AB21" si="9">D21/H21</f>
        <v>1</v>
      </c>
      <c r="AC21" s="1536">
        <f t="shared" ref="AC21" si="10">D21/J21</f>
        <v>1</v>
      </c>
    </row>
    <row r="22" spans="1:29" ht="15">
      <c r="A22" s="385"/>
      <c r="B22" s="1290"/>
      <c r="C22" s="2086"/>
      <c r="D22" s="405"/>
      <c r="E22" s="404"/>
      <c r="F22" s="405"/>
      <c r="G22" s="2089"/>
      <c r="H22" s="405"/>
      <c r="I22" s="404"/>
      <c r="J22" s="405"/>
      <c r="K22" s="2090"/>
      <c r="L22" s="2950"/>
      <c r="M22" s="2944"/>
      <c r="N22" s="2944"/>
      <c r="O22" s="2944"/>
      <c r="P22" s="3338"/>
      <c r="Q22" s="1535"/>
      <c r="R22" s="711"/>
      <c r="S22" s="712"/>
      <c r="T22" s="711"/>
      <c r="U22" s="712"/>
      <c r="V22" s="711"/>
      <c r="W22" s="712"/>
      <c r="X22" s="1538"/>
      <c r="Y22" s="3340"/>
      <c r="Z22" s="1539"/>
      <c r="AA22" s="1536">
        <v>1</v>
      </c>
      <c r="AB22" s="1536">
        <v>1</v>
      </c>
      <c r="AC22" s="1536">
        <v>1</v>
      </c>
    </row>
    <row r="23" spans="1:29" ht="57">
      <c r="A23" s="385"/>
      <c r="B23" s="408" t="s">
        <v>1948</v>
      </c>
      <c r="C23" s="2085"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50"/>
      <c r="M23" s="2944"/>
      <c r="N23" s="2944"/>
      <c r="O23" s="2944"/>
      <c r="P23" s="3338"/>
      <c r="Q23" s="1535" t="str">
        <f>B23</f>
        <v>自然及人文环境</v>
      </c>
      <c r="R23" s="711" t="s">
        <v>21</v>
      </c>
      <c r="S23" s="712">
        <f>F23</f>
        <v>100</v>
      </c>
      <c r="T23" s="711" t="s">
        <v>21</v>
      </c>
      <c r="U23" s="712">
        <f>H23</f>
        <v>100</v>
      </c>
      <c r="V23" s="711" t="s">
        <v>21</v>
      </c>
      <c r="W23" s="712">
        <f>J23</f>
        <v>100</v>
      </c>
      <c r="X23" s="1538"/>
      <c r="Y23" s="3340"/>
      <c r="Z23" s="1539" t="str">
        <f>Q23</f>
        <v>自然及人文环境</v>
      </c>
      <c r="AA23" s="1536">
        <f>D23/F23</f>
        <v>1</v>
      </c>
      <c r="AB23" s="1536">
        <f>D23/H23</f>
        <v>1</v>
      </c>
      <c r="AC23" s="1536">
        <f>D23/J23</f>
        <v>1</v>
      </c>
    </row>
    <row r="24" spans="1:29" ht="15">
      <c r="A24" s="385"/>
      <c r="B24" s="413"/>
      <c r="C24" s="404"/>
      <c r="D24" s="405"/>
      <c r="E24" s="2082"/>
      <c r="F24" s="405"/>
      <c r="G24" s="2083"/>
      <c r="H24" s="405"/>
      <c r="I24" s="2083"/>
      <c r="J24" s="405"/>
      <c r="K24" s="2084"/>
      <c r="L24" s="2950"/>
      <c r="M24" s="2944"/>
      <c r="N24" s="2944"/>
      <c r="O24" s="2944"/>
      <c r="P24" s="3338"/>
      <c r="Q24" s="1535"/>
      <c r="R24" s="711"/>
      <c r="S24" s="712"/>
      <c r="T24" s="711"/>
      <c r="U24" s="712"/>
      <c r="V24" s="711"/>
      <c r="W24" s="712"/>
      <c r="X24" s="1538"/>
      <c r="Y24" s="3340"/>
      <c r="Z24" s="1539"/>
      <c r="AA24" s="1536">
        <v>1</v>
      </c>
      <c r="AB24" s="1536">
        <v>1</v>
      </c>
      <c r="AC24" s="1536">
        <v>1</v>
      </c>
    </row>
    <row r="25" spans="1:29" ht="15">
      <c r="A25" s="385"/>
      <c r="B25" s="379" t="s">
        <v>2383</v>
      </c>
      <c r="C25" s="417"/>
      <c r="D25" s="392">
        <v>100</v>
      </c>
      <c r="E25" s="2091"/>
      <c r="F25" s="392">
        <f>SUMIF(86:86,E25,87:87)-SUMIF(86:86,C25,87:87)+100</f>
        <v>100</v>
      </c>
      <c r="G25" s="2092"/>
      <c r="H25" s="392">
        <f>SUMIF(86:86,G25,87:87)-SUMIF(86:86,C25,87:87)+100</f>
        <v>100</v>
      </c>
      <c r="I25" s="2092"/>
      <c r="J25" s="392">
        <f>SUMIF(86:86,I25,87:87)-SUMIF(86:86,C25,87:87)+100</f>
        <v>100</v>
      </c>
      <c r="K25" s="383"/>
      <c r="L25" s="2950"/>
      <c r="M25" s="2944"/>
      <c r="N25" s="2944"/>
      <c r="O25" s="2944"/>
      <c r="P25" s="3338"/>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340"/>
      <c r="Z25" s="1539" t="str">
        <f>Q25</f>
        <v>楼层-1</v>
      </c>
      <c r="AA25" s="1536">
        <f t="shared" ref="AA25:AA46" si="15">D25/F25</f>
        <v>1</v>
      </c>
      <c r="AB25" s="1536">
        <f t="shared" ref="AB25:AB46" si="16">D25/H25</f>
        <v>1</v>
      </c>
      <c r="AC25" s="1536">
        <f t="shared" ref="AC25:AC46" si="17">D25/J25</f>
        <v>1</v>
      </c>
    </row>
    <row r="26" spans="1:29" ht="15">
      <c r="A26" s="385"/>
      <c r="B26" s="379" t="s">
        <v>2384</v>
      </c>
      <c r="C26" s="417"/>
      <c r="D26" s="392">
        <v>100</v>
      </c>
      <c r="E26" s="2091"/>
      <c r="F26" s="392">
        <f>SUMIF(88:88,E26,89:89)-SUMIF(88:88,C26,89:89)+100</f>
        <v>100</v>
      </c>
      <c r="G26" s="2092"/>
      <c r="H26" s="392">
        <f>SUMIF(88:88,G26,89:89)-SUMIF(88:88,C26,89:89)+100</f>
        <v>100</v>
      </c>
      <c r="I26" s="2092"/>
      <c r="J26" s="392">
        <f>SUMIF(88:88,I26,89:89)-SUMIF(88:88,C26,89:89)+100</f>
        <v>100</v>
      </c>
      <c r="K26" s="383"/>
      <c r="L26" s="2950"/>
      <c r="M26" s="2944"/>
      <c r="N26" s="2944"/>
      <c r="O26" s="2944"/>
      <c r="P26" s="3338"/>
      <c r="Q26" s="1535" t="str">
        <f t="shared" si="11"/>
        <v>朝向</v>
      </c>
      <c r="R26" s="711" t="s">
        <v>21</v>
      </c>
      <c r="S26" s="712">
        <f t="shared" si="12"/>
        <v>100</v>
      </c>
      <c r="T26" s="711" t="s">
        <v>21</v>
      </c>
      <c r="U26" s="712">
        <f t="shared" si="13"/>
        <v>100</v>
      </c>
      <c r="V26" s="711" t="s">
        <v>21</v>
      </c>
      <c r="W26" s="712">
        <f t="shared" si="14"/>
        <v>100</v>
      </c>
      <c r="X26" s="1538"/>
      <c r="Y26" s="3340"/>
      <c r="Z26" s="1539" t="str">
        <f>Q26</f>
        <v>朝向</v>
      </c>
      <c r="AA26" s="1536">
        <f t="shared" si="15"/>
        <v>1</v>
      </c>
      <c r="AB26" s="1536">
        <f t="shared" si="16"/>
        <v>1</v>
      </c>
      <c r="AC26" s="1536">
        <f t="shared" si="17"/>
        <v>1</v>
      </c>
    </row>
    <row r="27" spans="1:29" s="113" customFormat="1" ht="15">
      <c r="A27" s="388"/>
      <c r="B27" s="1292">
        <v>111</v>
      </c>
      <c r="C27" s="389"/>
      <c r="D27" s="419">
        <v>100</v>
      </c>
      <c r="E27" s="422"/>
      <c r="F27" s="419">
        <f>SUMIF(90:90,E27,91:91)-SUMIF(90:90,C27,91:91)+100</f>
        <v>100</v>
      </c>
      <c r="G27" s="420"/>
      <c r="H27" s="419">
        <f>SUMIF(90:90,G27,91:91)-SUMIF(90:90,C27,91:91)+100</f>
        <v>100</v>
      </c>
      <c r="I27" s="420"/>
      <c r="J27" s="419">
        <f>SUMIF(90:90,I27,91:91)-SUMIF(90:90,C27,91:91)+100</f>
        <v>100</v>
      </c>
      <c r="K27" s="2079"/>
      <c r="L27" s="2945"/>
      <c r="M27" s="2946"/>
      <c r="N27" s="2946"/>
      <c r="O27" s="2946"/>
      <c r="P27" s="3338"/>
      <c r="Q27" s="1526">
        <f t="shared" si="11"/>
        <v>111</v>
      </c>
      <c r="R27" s="707" t="s">
        <v>21</v>
      </c>
      <c r="S27" s="708">
        <f t="shared" si="12"/>
        <v>100</v>
      </c>
      <c r="T27" s="707" t="s">
        <v>21</v>
      </c>
      <c r="U27" s="708">
        <f t="shared" si="13"/>
        <v>100</v>
      </c>
      <c r="V27" s="707" t="s">
        <v>21</v>
      </c>
      <c r="W27" s="708">
        <f t="shared" si="14"/>
        <v>100</v>
      </c>
      <c r="X27" s="709"/>
      <c r="Y27" s="3340"/>
      <c r="Z27" s="55">
        <f>Q27</f>
        <v>111</v>
      </c>
      <c r="AA27" s="1536">
        <f t="shared" si="15"/>
        <v>1</v>
      </c>
      <c r="AB27" s="1536">
        <f t="shared" si="16"/>
        <v>1</v>
      </c>
      <c r="AC27" s="1536">
        <f t="shared" si="17"/>
        <v>1</v>
      </c>
    </row>
    <row r="28" spans="1:29" ht="15">
      <c r="A28" s="385"/>
      <c r="B28" s="1292">
        <v>111</v>
      </c>
      <c r="C28" s="391"/>
      <c r="D28" s="392">
        <v>100</v>
      </c>
      <c r="E28" s="391"/>
      <c r="F28" s="392">
        <f>SUMIF(92:92,E28,93:93)-SUMIF(92:92,C28,93:93)+100</f>
        <v>100</v>
      </c>
      <c r="G28" s="2093"/>
      <c r="H28" s="392">
        <f>SUMIF(92:92,G28,93:93)-SUMIF(92:92,C28,93:93)+100</f>
        <v>100</v>
      </c>
      <c r="I28" s="391"/>
      <c r="J28" s="392">
        <f>SUMIF(92:92,I28,93:93)-SUMIF(92:92,C28,93:93)+100</f>
        <v>100</v>
      </c>
      <c r="K28" s="2079"/>
      <c r="L28" s="2950"/>
      <c r="M28" s="2944"/>
      <c r="N28" s="2944"/>
      <c r="O28" s="2944"/>
      <c r="P28" s="3338"/>
      <c r="Q28" s="1535">
        <f t="shared" si="11"/>
        <v>111</v>
      </c>
      <c r="R28" s="711" t="s">
        <v>21</v>
      </c>
      <c r="S28" s="712">
        <f t="shared" si="12"/>
        <v>100</v>
      </c>
      <c r="T28" s="711" t="s">
        <v>21</v>
      </c>
      <c r="U28" s="712">
        <f t="shared" si="13"/>
        <v>100</v>
      </c>
      <c r="V28" s="711" t="s">
        <v>21</v>
      </c>
      <c r="W28" s="712">
        <f t="shared" si="14"/>
        <v>100</v>
      </c>
      <c r="X28" s="1538"/>
      <c r="Y28" s="3340"/>
      <c r="Z28" s="1539">
        <f t="shared" ref="Z28:Z46" si="18">Q28</f>
        <v>111</v>
      </c>
      <c r="AA28" s="1536">
        <f t="shared" si="15"/>
        <v>1</v>
      </c>
      <c r="AB28" s="1536">
        <f t="shared" si="16"/>
        <v>1</v>
      </c>
      <c r="AC28" s="1536">
        <f t="shared" si="17"/>
        <v>1</v>
      </c>
    </row>
    <row r="29" spans="1:29" ht="15">
      <c r="A29" s="385"/>
      <c r="B29" s="1292">
        <v>111</v>
      </c>
      <c r="C29" s="391"/>
      <c r="D29" s="392">
        <v>100</v>
      </c>
      <c r="E29" s="391"/>
      <c r="F29" s="392">
        <f>SUMIF(94:94,E29,95:95)-SUMIF(94:94,C29,95:95)+100</f>
        <v>100</v>
      </c>
      <c r="G29" s="2093"/>
      <c r="H29" s="392">
        <f>SUMIF(94:94,G29,95:95)-SUMIF(94:94,C29,95:95)+100</f>
        <v>100</v>
      </c>
      <c r="I29" s="391"/>
      <c r="J29" s="392">
        <f>SUMIF(94:94,I29,95:95)-SUMIF(94:94,C29,95:95)+100</f>
        <v>100</v>
      </c>
      <c r="K29" s="2079"/>
      <c r="L29" s="2950"/>
      <c r="M29" s="2944"/>
      <c r="N29" s="2944"/>
      <c r="O29" s="2944"/>
      <c r="P29" s="3338"/>
      <c r="Q29" s="1535">
        <f t="shared" si="11"/>
        <v>111</v>
      </c>
      <c r="R29" s="711" t="s">
        <v>21</v>
      </c>
      <c r="S29" s="712">
        <f t="shared" si="12"/>
        <v>100</v>
      </c>
      <c r="T29" s="711" t="s">
        <v>21</v>
      </c>
      <c r="U29" s="712">
        <f t="shared" si="13"/>
        <v>100</v>
      </c>
      <c r="V29" s="711" t="s">
        <v>21</v>
      </c>
      <c r="W29" s="712">
        <f t="shared" si="14"/>
        <v>100</v>
      </c>
      <c r="X29" s="1538"/>
      <c r="Y29" s="3340"/>
      <c r="Z29" s="1539">
        <f t="shared" si="18"/>
        <v>111</v>
      </c>
      <c r="AA29" s="1536">
        <f t="shared" si="15"/>
        <v>1</v>
      </c>
      <c r="AB29" s="1536">
        <f t="shared" si="16"/>
        <v>1</v>
      </c>
      <c r="AC29" s="1536">
        <f t="shared" si="17"/>
        <v>1</v>
      </c>
    </row>
    <row r="30" spans="1:29" ht="15">
      <c r="A30" s="385"/>
      <c r="B30" s="1292">
        <v>111</v>
      </c>
      <c r="C30" s="391"/>
      <c r="D30" s="392">
        <v>100</v>
      </c>
      <c r="E30" s="391"/>
      <c r="F30" s="392">
        <f>SUMIF(96:96,E30,97:97)-SUMIF(96:96,C30,97:97)+100</f>
        <v>100</v>
      </c>
      <c r="G30" s="2093"/>
      <c r="H30" s="392">
        <f>SUMIF(96:96,G30,97:97)-SUMIF(96:96,C30,97:97)+100</f>
        <v>100</v>
      </c>
      <c r="I30" s="391"/>
      <c r="J30" s="392">
        <f>SUMIF(96:96,I30,97:97)-SUMIF(96:96,C30,97:97)+100</f>
        <v>100</v>
      </c>
      <c r="K30" s="2079"/>
      <c r="L30" s="2950"/>
      <c r="M30" s="2944"/>
      <c r="N30" s="2944"/>
      <c r="O30" s="2944"/>
      <c r="P30" s="3338"/>
      <c r="Q30" s="1535">
        <f t="shared" si="11"/>
        <v>111</v>
      </c>
      <c r="R30" s="711" t="s">
        <v>21</v>
      </c>
      <c r="S30" s="712">
        <f t="shared" si="12"/>
        <v>100</v>
      </c>
      <c r="T30" s="711" t="s">
        <v>21</v>
      </c>
      <c r="U30" s="712">
        <f t="shared" si="13"/>
        <v>100</v>
      </c>
      <c r="V30" s="711" t="s">
        <v>21</v>
      </c>
      <c r="W30" s="712">
        <f t="shared" si="14"/>
        <v>100</v>
      </c>
      <c r="X30" s="1538"/>
      <c r="Y30" s="3340"/>
      <c r="Z30" s="1539">
        <f t="shared" si="18"/>
        <v>111</v>
      </c>
      <c r="AA30" s="1536">
        <f t="shared" si="15"/>
        <v>1</v>
      </c>
      <c r="AB30" s="1536">
        <f t="shared" si="16"/>
        <v>1</v>
      </c>
      <c r="AC30" s="1536">
        <f t="shared" si="17"/>
        <v>1</v>
      </c>
    </row>
    <row r="31" spans="1:29" ht="15.75" thickBot="1">
      <c r="A31" s="393"/>
      <c r="B31" s="1292">
        <v>111</v>
      </c>
      <c r="C31" s="394"/>
      <c r="D31" s="395">
        <v>100</v>
      </c>
      <c r="E31" s="394"/>
      <c r="F31" s="395">
        <f>SUMIF(98:98,E31,99:99)-SUMIF(98:98,C31,99:99)+100</f>
        <v>100</v>
      </c>
      <c r="G31" s="2094"/>
      <c r="H31" s="395">
        <f>SUMIF(98:98,G31,99:99)-SUMIF(98:98,C31,99:99)+100</f>
        <v>100</v>
      </c>
      <c r="I31" s="394"/>
      <c r="J31" s="395">
        <f>SUMIF(98:98,I31,99:99)-SUMIF(98:98,C31,99:99)+100</f>
        <v>100</v>
      </c>
      <c r="K31" s="2079"/>
      <c r="L31" s="2950"/>
      <c r="M31" s="2944"/>
      <c r="N31" s="2944"/>
      <c r="O31" s="2944"/>
      <c r="P31" s="3338"/>
      <c r="Q31" s="1535">
        <f t="shared" si="11"/>
        <v>111</v>
      </c>
      <c r="R31" s="711" t="s">
        <v>21</v>
      </c>
      <c r="S31" s="712">
        <f t="shared" si="12"/>
        <v>100</v>
      </c>
      <c r="T31" s="711" t="s">
        <v>21</v>
      </c>
      <c r="U31" s="712">
        <f t="shared" si="13"/>
        <v>100</v>
      </c>
      <c r="V31" s="711" t="s">
        <v>21</v>
      </c>
      <c r="W31" s="712">
        <f t="shared" si="14"/>
        <v>100</v>
      </c>
      <c r="X31" s="1538"/>
      <c r="Y31" s="3340"/>
      <c r="Z31" s="1539">
        <f t="shared" si="18"/>
        <v>111</v>
      </c>
      <c r="AA31" s="1536">
        <f t="shared" si="15"/>
        <v>1</v>
      </c>
      <c r="AB31" s="1536">
        <f t="shared" si="16"/>
        <v>1</v>
      </c>
      <c r="AC31" s="1536">
        <f t="shared" si="17"/>
        <v>1</v>
      </c>
    </row>
    <row r="32" spans="1:29" ht="15">
      <c r="A32" s="397" t="s">
        <v>2385</v>
      </c>
      <c r="B32" s="67" t="s">
        <v>2386</v>
      </c>
      <c r="C32" s="2095"/>
      <c r="D32" s="424">
        <v>100</v>
      </c>
      <c r="E32" s="2096"/>
      <c r="F32" s="418">
        <f>SUMIF(100:100,E32,101:101)-SUMIF(100:100,C32,101:101)+100</f>
        <v>100</v>
      </c>
      <c r="G32" s="2095"/>
      <c r="H32" s="424">
        <f>SUMIF(100:100,G32,101:101)-SUMIF(100:100,C32,101:101)+100</f>
        <v>100</v>
      </c>
      <c r="I32" s="2096"/>
      <c r="J32" s="392">
        <f>SUMIF(100:100,I32,101:101)-SUMIF(100:100,C32,101:101)+100</f>
        <v>100</v>
      </c>
      <c r="K32" s="383"/>
      <c r="L32" s="2950"/>
      <c r="M32" s="2944"/>
      <c r="N32" s="2944"/>
      <c r="O32" s="2944"/>
      <c r="P32" s="3341" t="s">
        <v>2387</v>
      </c>
      <c r="Q32" s="1535" t="str">
        <f t="shared" si="11"/>
        <v>建筑类型</v>
      </c>
      <c r="R32" s="711" t="s">
        <v>21</v>
      </c>
      <c r="S32" s="712">
        <f t="shared" si="12"/>
        <v>100</v>
      </c>
      <c r="T32" s="711" t="s">
        <v>21</v>
      </c>
      <c r="U32" s="712">
        <f t="shared" si="13"/>
        <v>100</v>
      </c>
      <c r="V32" s="711" t="s">
        <v>21</v>
      </c>
      <c r="W32" s="712">
        <f t="shared" si="14"/>
        <v>100</v>
      </c>
      <c r="X32" s="1538"/>
      <c r="Y32" s="3344" t="s">
        <v>2387</v>
      </c>
      <c r="Z32" s="1539" t="str">
        <f t="shared" si="18"/>
        <v>建筑类型</v>
      </c>
      <c r="AA32" s="1536">
        <f t="shared" si="15"/>
        <v>1</v>
      </c>
      <c r="AB32" s="1536">
        <f t="shared" si="16"/>
        <v>1</v>
      </c>
      <c r="AC32" s="1536">
        <f t="shared" si="17"/>
        <v>1</v>
      </c>
    </row>
    <row r="33" spans="1:29" s="428" customFormat="1" ht="15">
      <c r="A33" s="425"/>
      <c r="B33" s="379" t="s">
        <v>2388</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9"/>
      <c r="L33" s="2949"/>
      <c r="M33" s="2951"/>
      <c r="N33" s="2951"/>
      <c r="O33" s="2951"/>
      <c r="P33" s="3342"/>
      <c r="Q33" s="713" t="str">
        <f t="shared" si="11"/>
        <v>项目建筑规模</v>
      </c>
      <c r="R33" s="714" t="s">
        <v>21</v>
      </c>
      <c r="S33" s="715" t="e">
        <f t="shared" si="12"/>
        <v>#N/A</v>
      </c>
      <c r="T33" s="714" t="s">
        <v>21</v>
      </c>
      <c r="U33" s="715" t="e">
        <f t="shared" si="13"/>
        <v>#N/A</v>
      </c>
      <c r="V33" s="714" t="s">
        <v>21</v>
      </c>
      <c r="W33" s="715" t="e">
        <f t="shared" si="14"/>
        <v>#N/A</v>
      </c>
      <c r="X33" s="716"/>
      <c r="Y33" s="3344"/>
      <c r="Z33" s="717" t="str">
        <f t="shared" si="18"/>
        <v>项目建筑规模</v>
      </c>
      <c r="AA33" s="1536" t="e">
        <f t="shared" si="15"/>
        <v>#N/A</v>
      </c>
      <c r="AB33" s="1536" t="e">
        <f t="shared" si="16"/>
        <v>#N/A</v>
      </c>
      <c r="AC33" s="1536" t="e">
        <f t="shared" si="17"/>
        <v>#N/A</v>
      </c>
    </row>
    <row r="34" spans="1:29" ht="15">
      <c r="A34" s="429"/>
      <c r="B34" s="379" t="s">
        <v>2389</v>
      </c>
      <c r="C34" s="2097"/>
      <c r="D34" s="392">
        <v>100</v>
      </c>
      <c r="E34" s="2098"/>
      <c r="F34" s="418">
        <f>SUMIF(105:105,E34,106:106)-SUMIF(105:105,C34,106:106)+100</f>
        <v>100</v>
      </c>
      <c r="G34" s="2097"/>
      <c r="H34" s="392">
        <f>SUMIF(105:105,G34,106:106)-SUMIF(105:105,C34,106:106)+100</f>
        <v>100</v>
      </c>
      <c r="I34" s="2098"/>
      <c r="J34" s="392">
        <f>SUMIF(105:105,I34,106:106)-SUMIF(105:105,C34,106:106)+100</f>
        <v>100</v>
      </c>
      <c r="K34" s="383"/>
      <c r="L34" s="2950"/>
      <c r="M34" s="2944"/>
      <c r="N34" s="2944"/>
      <c r="O34" s="2944"/>
      <c r="P34" s="3342"/>
      <c r="Q34" s="1535" t="str">
        <f t="shared" si="11"/>
        <v>建筑结构</v>
      </c>
      <c r="R34" s="711" t="s">
        <v>21</v>
      </c>
      <c r="S34" s="712">
        <f t="shared" si="12"/>
        <v>100</v>
      </c>
      <c r="T34" s="711" t="s">
        <v>21</v>
      </c>
      <c r="U34" s="712">
        <f t="shared" si="13"/>
        <v>100</v>
      </c>
      <c r="V34" s="711" t="s">
        <v>21</v>
      </c>
      <c r="W34" s="712">
        <f t="shared" si="14"/>
        <v>100</v>
      </c>
      <c r="X34" s="1538"/>
      <c r="Y34" s="3344"/>
      <c r="Z34" s="1539" t="str">
        <f t="shared" si="18"/>
        <v>建筑结构</v>
      </c>
      <c r="AA34" s="1536">
        <f t="shared" si="15"/>
        <v>1</v>
      </c>
      <c r="AB34" s="1536">
        <f t="shared" si="16"/>
        <v>1</v>
      </c>
      <c r="AC34" s="1536">
        <f t="shared" si="17"/>
        <v>1</v>
      </c>
    </row>
    <row r="35" spans="1:29" ht="15">
      <c r="A35" s="429"/>
      <c r="B35" s="379" t="s">
        <v>2390</v>
      </c>
      <c r="C35" s="2091"/>
      <c r="D35" s="392">
        <v>100</v>
      </c>
      <c r="E35" s="2092"/>
      <c r="F35" s="418">
        <f>SUMIF(107:107,E35,108:108)-SUMIF(107:107,C35,108:108)+100</f>
        <v>100</v>
      </c>
      <c r="G35" s="2091"/>
      <c r="H35" s="392">
        <f>SUMIF(107:107,G35,108:108)-SUMIF(107:107,C35,108:108)+100</f>
        <v>100</v>
      </c>
      <c r="I35" s="2092"/>
      <c r="J35" s="392">
        <f>SUMIF(107:107,I35,108:108)-SUMIF(107:107,C35,108:108)+100</f>
        <v>100</v>
      </c>
      <c r="K35" s="383"/>
      <c r="L35" s="2950"/>
      <c r="M35" s="2944"/>
      <c r="N35" s="2944"/>
      <c r="O35" s="2944"/>
      <c r="P35" s="3342"/>
      <c r="Q35" s="1535" t="str">
        <f t="shared" si="11"/>
        <v>建筑品质</v>
      </c>
      <c r="R35" s="711" t="s">
        <v>21</v>
      </c>
      <c r="S35" s="712">
        <f t="shared" si="12"/>
        <v>100</v>
      </c>
      <c r="T35" s="711" t="s">
        <v>21</v>
      </c>
      <c r="U35" s="712">
        <f t="shared" si="13"/>
        <v>100</v>
      </c>
      <c r="V35" s="711" t="s">
        <v>21</v>
      </c>
      <c r="W35" s="712">
        <f t="shared" si="14"/>
        <v>100</v>
      </c>
      <c r="X35" s="1538"/>
      <c r="Y35" s="3344"/>
      <c r="Z35" s="1539" t="str">
        <f t="shared" si="18"/>
        <v>建筑品质</v>
      </c>
      <c r="AA35" s="1536">
        <f t="shared" si="15"/>
        <v>1</v>
      </c>
      <c r="AB35" s="1536">
        <f t="shared" si="16"/>
        <v>1</v>
      </c>
      <c r="AC35" s="1536">
        <f t="shared" si="17"/>
        <v>1</v>
      </c>
    </row>
    <row r="36" spans="1:29" ht="15">
      <c r="A36" s="429"/>
      <c r="B36" s="379" t="s">
        <v>2391</v>
      </c>
      <c r="C36" s="2091"/>
      <c r="D36" s="392">
        <v>100</v>
      </c>
      <c r="E36" s="2092"/>
      <c r="F36" s="418">
        <f>SUMIF(109:109,E36,110:110)-SUMIF(109:109,C36,110:110)+100</f>
        <v>100</v>
      </c>
      <c r="G36" s="2091"/>
      <c r="H36" s="392">
        <f>SUMIF(109:109,G36,110:110)-SUMIF(109:109,C36,110:110)+100</f>
        <v>100</v>
      </c>
      <c r="I36" s="2092"/>
      <c r="J36" s="392">
        <f>SUMIF(109:109,I36,110:110)-SUMIF(109:109,C36,110:110)+100</f>
        <v>100</v>
      </c>
      <c r="K36" s="383"/>
      <c r="L36" s="2950"/>
      <c r="M36" s="2944"/>
      <c r="N36" s="2944"/>
      <c r="O36" s="2944"/>
      <c r="P36" s="3342"/>
      <c r="Q36" s="1535" t="str">
        <f t="shared" si="11"/>
        <v>公共部分装修</v>
      </c>
      <c r="R36" s="711" t="s">
        <v>21</v>
      </c>
      <c r="S36" s="712">
        <f t="shared" si="12"/>
        <v>100</v>
      </c>
      <c r="T36" s="711" t="s">
        <v>21</v>
      </c>
      <c r="U36" s="712">
        <f t="shared" si="13"/>
        <v>100</v>
      </c>
      <c r="V36" s="711" t="s">
        <v>21</v>
      </c>
      <c r="W36" s="712">
        <f t="shared" si="14"/>
        <v>100</v>
      </c>
      <c r="X36" s="1538"/>
      <c r="Y36" s="3344"/>
      <c r="Z36" s="1539" t="str">
        <f t="shared" si="18"/>
        <v>公共部分装修</v>
      </c>
      <c r="AA36" s="1536">
        <f t="shared" si="15"/>
        <v>1</v>
      </c>
      <c r="AB36" s="1536">
        <f t="shared" si="16"/>
        <v>1</v>
      </c>
      <c r="AC36" s="1536">
        <f t="shared" si="17"/>
        <v>1</v>
      </c>
    </row>
    <row r="37" spans="1:29" s="113" customFormat="1" ht="15">
      <c r="A37" s="430"/>
      <c r="B37" s="379" t="s">
        <v>2392</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5"/>
      <c r="M37" s="2946"/>
      <c r="N37" s="2946"/>
      <c r="O37" s="2946"/>
      <c r="P37" s="3342"/>
      <c r="Q37" s="1526" t="str">
        <f t="shared" si="11"/>
        <v>成新度</v>
      </c>
      <c r="R37" s="707" t="s">
        <v>21</v>
      </c>
      <c r="S37" s="708" t="e">
        <f t="shared" si="12"/>
        <v>#N/A</v>
      </c>
      <c r="T37" s="707" t="s">
        <v>21</v>
      </c>
      <c r="U37" s="708" t="e">
        <f t="shared" si="13"/>
        <v>#N/A</v>
      </c>
      <c r="V37" s="707" t="s">
        <v>21</v>
      </c>
      <c r="W37" s="708" t="e">
        <f t="shared" si="14"/>
        <v>#N/A</v>
      </c>
      <c r="X37" s="709"/>
      <c r="Y37" s="3344"/>
      <c r="Z37" s="55" t="str">
        <f t="shared" si="18"/>
        <v>成新度</v>
      </c>
      <c r="AA37" s="710" t="e">
        <f t="shared" si="15"/>
        <v>#N/A</v>
      </c>
      <c r="AB37" s="710" t="e">
        <f t="shared" si="16"/>
        <v>#N/A</v>
      </c>
      <c r="AC37" s="710" t="e">
        <f t="shared" si="17"/>
        <v>#N/A</v>
      </c>
    </row>
    <row r="38" spans="1:29" ht="15">
      <c r="A38" s="429"/>
      <c r="B38" s="379" t="s">
        <v>2393</v>
      </c>
      <c r="C38" s="2091"/>
      <c r="D38" s="392">
        <v>100</v>
      </c>
      <c r="E38" s="2092"/>
      <c r="F38" s="418">
        <f>SUMIF(114:114,E38,115:115)-SUMIF(114:114,C38,115:115)+100</f>
        <v>100</v>
      </c>
      <c r="G38" s="2091"/>
      <c r="H38" s="392">
        <f>SUMIF(114:114,G38,115:115)-SUMIF(114:114,C38,115:115)+100</f>
        <v>100</v>
      </c>
      <c r="I38" s="2092"/>
      <c r="J38" s="392">
        <f>SUMIF(114:114,I38,115:115)-SUMIF(114:114,C38,115:115)+100</f>
        <v>100</v>
      </c>
      <c r="K38" s="383"/>
      <c r="L38" s="2950"/>
      <c r="M38" s="2944"/>
      <c r="N38" s="2944"/>
      <c r="O38" s="2944"/>
      <c r="P38" s="3342" t="s">
        <v>2387</v>
      </c>
      <c r="Q38" s="1535" t="str">
        <f t="shared" si="11"/>
        <v>物业管理</v>
      </c>
      <c r="R38" s="711" t="s">
        <v>21</v>
      </c>
      <c r="S38" s="712">
        <f t="shared" si="12"/>
        <v>100</v>
      </c>
      <c r="T38" s="711" t="s">
        <v>21</v>
      </c>
      <c r="U38" s="712">
        <f t="shared" si="13"/>
        <v>100</v>
      </c>
      <c r="V38" s="711" t="s">
        <v>21</v>
      </c>
      <c r="W38" s="712">
        <f t="shared" si="14"/>
        <v>100</v>
      </c>
      <c r="X38" s="1538"/>
      <c r="Y38" s="3344" t="s">
        <v>2387</v>
      </c>
      <c r="Z38" s="1539" t="str">
        <f t="shared" si="18"/>
        <v>物业管理</v>
      </c>
      <c r="AA38" s="1536">
        <f t="shared" si="15"/>
        <v>1</v>
      </c>
      <c r="AB38" s="1536">
        <f t="shared" si="16"/>
        <v>1</v>
      </c>
      <c r="AC38" s="1536">
        <f t="shared" si="17"/>
        <v>1</v>
      </c>
    </row>
    <row r="39" spans="1:29" ht="15">
      <c r="A39" s="429"/>
      <c r="B39" s="379" t="s">
        <v>2394</v>
      </c>
      <c r="C39" s="2091"/>
      <c r="D39" s="392">
        <v>100</v>
      </c>
      <c r="E39" s="2092"/>
      <c r="F39" s="418">
        <f>SUMIF(116:116,E39,117:117)-SUMIF(116:116,C39,117:117)+100</f>
        <v>100</v>
      </c>
      <c r="G39" s="2091"/>
      <c r="H39" s="392">
        <f>SUMIF(116:116,G39,117:117)-SUMIF(116:116,C39,117:117)+100</f>
        <v>100</v>
      </c>
      <c r="I39" s="2092"/>
      <c r="J39" s="392">
        <f>SUMIF(116:116,I39,117:117)-SUMIF(116:116,C39,117:117)+100</f>
        <v>100</v>
      </c>
      <c r="K39" s="383"/>
      <c r="L39" s="2950"/>
      <c r="M39" s="2944"/>
      <c r="N39" s="2944"/>
      <c r="O39" s="2944"/>
      <c r="P39" s="3342"/>
      <c r="Q39" s="1535" t="str">
        <f t="shared" si="11"/>
        <v>市政基础设施</v>
      </c>
      <c r="R39" s="711" t="s">
        <v>21</v>
      </c>
      <c r="S39" s="712">
        <f t="shared" si="12"/>
        <v>100</v>
      </c>
      <c r="T39" s="711" t="s">
        <v>21</v>
      </c>
      <c r="U39" s="712">
        <f t="shared" si="13"/>
        <v>100</v>
      </c>
      <c r="V39" s="711" t="s">
        <v>21</v>
      </c>
      <c r="W39" s="712">
        <f t="shared" si="14"/>
        <v>100</v>
      </c>
      <c r="X39" s="1538"/>
      <c r="Y39" s="3344"/>
      <c r="Z39" s="1539" t="str">
        <f t="shared" si="18"/>
        <v>市政基础设施</v>
      </c>
      <c r="AA39" s="1536">
        <f t="shared" si="15"/>
        <v>1</v>
      </c>
      <c r="AB39" s="1536">
        <f t="shared" si="16"/>
        <v>1</v>
      </c>
      <c r="AC39" s="1536">
        <f t="shared" si="17"/>
        <v>1</v>
      </c>
    </row>
    <row r="40" spans="1:29" ht="15">
      <c r="A40" s="429"/>
      <c r="B40" s="379" t="s">
        <v>2395</v>
      </c>
      <c r="C40" s="2091"/>
      <c r="D40" s="392">
        <v>100</v>
      </c>
      <c r="E40" s="2092"/>
      <c r="F40" s="418">
        <f>SUMIF(118:118,E40,119:119)-SUMIF(118:118,C40,119:119)+100</f>
        <v>100</v>
      </c>
      <c r="G40" s="2091"/>
      <c r="H40" s="392">
        <f>SUMIF(118:118,G40,119:119)-SUMIF(118:118,C40,119:119)+100</f>
        <v>100</v>
      </c>
      <c r="I40" s="2092"/>
      <c r="J40" s="392">
        <f>SUMIF(118:118,I40,119:119)-SUMIF(118:118,C40,119:119)+100</f>
        <v>100</v>
      </c>
      <c r="K40" s="383"/>
      <c r="L40" s="2950"/>
      <c r="M40" s="2944"/>
      <c r="N40" s="2944"/>
      <c r="O40" s="2944"/>
      <c r="P40" s="3342"/>
      <c r="Q40" s="1535" t="str">
        <f t="shared" si="11"/>
        <v>房型</v>
      </c>
      <c r="R40" s="711" t="s">
        <v>21</v>
      </c>
      <c r="S40" s="712">
        <f t="shared" si="12"/>
        <v>100</v>
      </c>
      <c r="T40" s="711" t="s">
        <v>21</v>
      </c>
      <c r="U40" s="712">
        <f t="shared" si="13"/>
        <v>100</v>
      </c>
      <c r="V40" s="711" t="s">
        <v>21</v>
      </c>
      <c r="W40" s="712">
        <f t="shared" si="14"/>
        <v>100</v>
      </c>
      <c r="X40" s="1538"/>
      <c r="Y40" s="3344"/>
      <c r="Z40" s="1539" t="str">
        <f t="shared" si="18"/>
        <v>房型</v>
      </c>
      <c r="AA40" s="1536">
        <f t="shared" si="15"/>
        <v>1</v>
      </c>
      <c r="AB40" s="1536">
        <f t="shared" si="16"/>
        <v>1</v>
      </c>
      <c r="AC40" s="1536">
        <f t="shared" si="17"/>
        <v>1</v>
      </c>
    </row>
    <row r="41" spans="1:29" s="428" customFormat="1" ht="28.5">
      <c r="A41" s="425"/>
      <c r="B41" s="379" t="s">
        <v>2396</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9"/>
      <c r="L41" s="2949"/>
      <c r="M41" s="2951"/>
      <c r="N41" s="2951"/>
      <c r="O41" s="2951"/>
      <c r="P41" s="3342"/>
      <c r="Q41" s="713" t="str">
        <f t="shared" si="11"/>
        <v>单套/主力户型建筑面积</v>
      </c>
      <c r="R41" s="714" t="s">
        <v>21</v>
      </c>
      <c r="S41" s="715">
        <f t="shared" si="12"/>
        <v>100</v>
      </c>
      <c r="T41" s="714" t="s">
        <v>21</v>
      </c>
      <c r="U41" s="715">
        <f t="shared" si="13"/>
        <v>100</v>
      </c>
      <c r="V41" s="714" t="s">
        <v>21</v>
      </c>
      <c r="W41" s="715">
        <f t="shared" si="14"/>
        <v>100</v>
      </c>
      <c r="X41" s="716"/>
      <c r="Y41" s="3344"/>
      <c r="Z41" s="717" t="str">
        <f t="shared" si="18"/>
        <v>单套/主力户型建筑面积</v>
      </c>
      <c r="AA41" s="1536">
        <f t="shared" si="15"/>
        <v>1</v>
      </c>
      <c r="AB41" s="1536">
        <f t="shared" si="16"/>
        <v>1</v>
      </c>
      <c r="AC41" s="1536">
        <f t="shared" si="17"/>
        <v>1</v>
      </c>
    </row>
    <row r="42" spans="1:29" ht="15">
      <c r="A42" s="429"/>
      <c r="B42" s="379" t="s">
        <v>2397</v>
      </c>
      <c r="C42" s="2091"/>
      <c r="D42" s="392">
        <v>100</v>
      </c>
      <c r="E42" s="2092"/>
      <c r="F42" s="418">
        <f>SUMIF(122:122,E42,123:123)-SUMIF(122:122,C42,123:123)+100</f>
        <v>100</v>
      </c>
      <c r="G42" s="2091"/>
      <c r="H42" s="392">
        <f>SUMIF(122:122,G42,123:123)-SUMIF(122:122,C42,123:123)+100</f>
        <v>100</v>
      </c>
      <c r="I42" s="2092"/>
      <c r="J42" s="392">
        <f>SUMIF(122:122,I42,123:123)-SUMIF(122:122,C42,123:123)+100</f>
        <v>100</v>
      </c>
      <c r="K42" s="383"/>
      <c r="L42" s="2950"/>
      <c r="M42" s="2944"/>
      <c r="N42" s="2944"/>
      <c r="O42" s="2944"/>
      <c r="P42" s="3342"/>
      <c r="Q42" s="1535" t="str">
        <f t="shared" si="11"/>
        <v>内部装修</v>
      </c>
      <c r="R42" s="711" t="s">
        <v>21</v>
      </c>
      <c r="S42" s="712">
        <f t="shared" si="12"/>
        <v>100</v>
      </c>
      <c r="T42" s="711" t="s">
        <v>21</v>
      </c>
      <c r="U42" s="712">
        <f t="shared" si="13"/>
        <v>100</v>
      </c>
      <c r="V42" s="711" t="s">
        <v>21</v>
      </c>
      <c r="W42" s="712">
        <f t="shared" si="14"/>
        <v>100</v>
      </c>
      <c r="X42" s="1538"/>
      <c r="Y42" s="3344"/>
      <c r="Z42" s="1539" t="str">
        <f t="shared" si="18"/>
        <v>内部装修</v>
      </c>
      <c r="AA42" s="1536">
        <f t="shared" si="15"/>
        <v>1</v>
      </c>
      <c r="AB42" s="1536">
        <f t="shared" si="16"/>
        <v>1</v>
      </c>
      <c r="AC42" s="1536">
        <f t="shared" si="17"/>
        <v>1</v>
      </c>
    </row>
    <row r="43" spans="1:29" ht="15">
      <c r="A43" s="429"/>
      <c r="B43" s="379" t="s">
        <v>2398</v>
      </c>
      <c r="C43" s="2091"/>
      <c r="D43" s="392">
        <v>100</v>
      </c>
      <c r="E43" s="2092"/>
      <c r="F43" s="418">
        <f>SUMIF(124:124,E43,125:125)-SUMIF(124:124,C43,125:125)+100</f>
        <v>100</v>
      </c>
      <c r="G43" s="2091"/>
      <c r="H43" s="392">
        <f>SUMIF(124:124,G43,125:125)-SUMIF(124:124,C43,125:125)+100</f>
        <v>100</v>
      </c>
      <c r="I43" s="2092"/>
      <c r="J43" s="392">
        <f>SUMIF(124:124,I43,125:125)-SUMIF(124:124,C43,125:125)+100</f>
        <v>100</v>
      </c>
      <c r="K43" s="383"/>
      <c r="L43" s="2950"/>
      <c r="M43" s="2944"/>
      <c r="N43" s="2944"/>
      <c r="O43" s="2944"/>
      <c r="P43" s="3342"/>
      <c r="Q43" s="1535" t="str">
        <f t="shared" si="11"/>
        <v>内部装修维护情况</v>
      </c>
      <c r="R43" s="711" t="s">
        <v>21</v>
      </c>
      <c r="S43" s="712">
        <f t="shared" si="12"/>
        <v>100</v>
      </c>
      <c r="T43" s="711" t="s">
        <v>21</v>
      </c>
      <c r="U43" s="712">
        <f t="shared" si="13"/>
        <v>100</v>
      </c>
      <c r="V43" s="711" t="s">
        <v>21</v>
      </c>
      <c r="W43" s="712">
        <f t="shared" si="14"/>
        <v>100</v>
      </c>
      <c r="X43" s="1538"/>
      <c r="Y43" s="3344"/>
      <c r="Z43" s="1539" t="str">
        <f t="shared" si="18"/>
        <v>内部装修维护情况</v>
      </c>
      <c r="AA43" s="1536">
        <f t="shared" si="15"/>
        <v>1</v>
      </c>
      <c r="AB43" s="1536">
        <f t="shared" si="16"/>
        <v>1</v>
      </c>
      <c r="AC43" s="1536">
        <f t="shared" si="17"/>
        <v>1</v>
      </c>
    </row>
    <row r="44" spans="1:29" s="113" customFormat="1" ht="15">
      <c r="A44" s="430"/>
      <c r="B44" s="129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9"/>
      <c r="L44" s="2945"/>
      <c r="M44" s="2946"/>
      <c r="N44" s="2946"/>
      <c r="O44" s="2946"/>
      <c r="P44" s="3342"/>
      <c r="Q44" s="1526">
        <f t="shared" si="11"/>
        <v>111</v>
      </c>
      <c r="R44" s="707" t="s">
        <v>21</v>
      </c>
      <c r="S44" s="708">
        <f t="shared" si="12"/>
        <v>100</v>
      </c>
      <c r="T44" s="707" t="s">
        <v>21</v>
      </c>
      <c r="U44" s="708">
        <f t="shared" si="13"/>
        <v>100</v>
      </c>
      <c r="V44" s="707" t="s">
        <v>21</v>
      </c>
      <c r="W44" s="708">
        <f t="shared" si="14"/>
        <v>100</v>
      </c>
      <c r="X44" s="709"/>
      <c r="Y44" s="3344"/>
      <c r="Z44" s="55">
        <f t="shared" si="18"/>
        <v>111</v>
      </c>
      <c r="AA44" s="710">
        <f t="shared" si="15"/>
        <v>1</v>
      </c>
      <c r="AB44" s="710">
        <f t="shared" si="16"/>
        <v>1</v>
      </c>
      <c r="AC44" s="710">
        <f t="shared" si="17"/>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9"/>
      <c r="L45" s="2950"/>
      <c r="M45" s="2944"/>
      <c r="N45" s="2944"/>
      <c r="O45" s="2944"/>
      <c r="P45" s="3342"/>
      <c r="Q45" s="1535">
        <f t="shared" si="11"/>
        <v>111</v>
      </c>
      <c r="R45" s="711" t="s">
        <v>21</v>
      </c>
      <c r="S45" s="712">
        <f t="shared" si="12"/>
        <v>100</v>
      </c>
      <c r="T45" s="711" t="s">
        <v>21</v>
      </c>
      <c r="U45" s="712">
        <f t="shared" si="13"/>
        <v>100</v>
      </c>
      <c r="V45" s="711" t="s">
        <v>21</v>
      </c>
      <c r="W45" s="712">
        <f t="shared" si="14"/>
        <v>100</v>
      </c>
      <c r="X45" s="1538"/>
      <c r="Y45" s="3344"/>
      <c r="Z45" s="1539">
        <f t="shared" si="18"/>
        <v>111</v>
      </c>
      <c r="AA45" s="1536">
        <f t="shared" si="15"/>
        <v>1</v>
      </c>
      <c r="AB45" s="1536">
        <f t="shared" si="16"/>
        <v>1</v>
      </c>
      <c r="AC45" s="1536">
        <f t="shared" si="17"/>
        <v>1</v>
      </c>
    </row>
    <row r="46" spans="1:29" ht="15.75" thickBot="1">
      <c r="A46" s="435"/>
      <c r="B46" s="2080">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9"/>
      <c r="L46" s="2950"/>
      <c r="M46" s="2944"/>
      <c r="N46" s="2944"/>
      <c r="O46" s="2944"/>
      <c r="P46" s="3343"/>
      <c r="Q46" s="1535">
        <f t="shared" si="11"/>
        <v>111</v>
      </c>
      <c r="R46" s="711" t="s">
        <v>20</v>
      </c>
      <c r="S46" s="712">
        <f t="shared" si="12"/>
        <v>100</v>
      </c>
      <c r="T46" s="711" t="s">
        <v>20</v>
      </c>
      <c r="U46" s="712">
        <f t="shared" si="13"/>
        <v>100</v>
      </c>
      <c r="V46" s="711" t="s">
        <v>20</v>
      </c>
      <c r="W46" s="712">
        <f t="shared" si="14"/>
        <v>100</v>
      </c>
      <c r="X46" s="1538"/>
      <c r="Y46" s="3345"/>
      <c r="Z46" s="1539">
        <f t="shared" si="18"/>
        <v>111</v>
      </c>
      <c r="AA46" s="1536">
        <f t="shared" si="15"/>
        <v>1</v>
      </c>
      <c r="AB46" s="1536">
        <f t="shared" si="16"/>
        <v>1</v>
      </c>
      <c r="AC46" s="1536">
        <f t="shared" si="17"/>
        <v>1</v>
      </c>
    </row>
    <row r="47" spans="1:29" ht="15">
      <c r="A47" s="436" t="s">
        <v>2399</v>
      </c>
      <c r="B47" s="437"/>
      <c r="C47" s="1313" t="s">
        <v>19</v>
      </c>
      <c r="D47" s="1314"/>
      <c r="E47" s="1315"/>
      <c r="F47" s="1316"/>
      <c r="G47" s="1317"/>
      <c r="H47" s="1318"/>
      <c r="I47" s="1315"/>
      <c r="J47" s="1318"/>
      <c r="K47" s="2099"/>
      <c r="L47" s="2952"/>
      <c r="M47" s="2953"/>
      <c r="N47" s="2944"/>
      <c r="O47" s="2953"/>
      <c r="P47" s="3346" t="str">
        <f>A47</f>
        <v>成交单价（元/平方米）</v>
      </c>
      <c r="Q47" s="3346"/>
      <c r="R47" s="3347">
        <f>E47</f>
        <v>0</v>
      </c>
      <c r="S47" s="3347"/>
      <c r="T47" s="3347">
        <f>G47</f>
        <v>0</v>
      </c>
      <c r="U47" s="3347"/>
      <c r="V47" s="3347">
        <f>I47</f>
        <v>0</v>
      </c>
      <c r="W47" s="3347"/>
      <c r="X47" s="696"/>
      <c r="Y47" s="718"/>
      <c r="Z47" s="696"/>
      <c r="AA47" s="696"/>
      <c r="AB47" s="696"/>
      <c r="AC47" s="696"/>
    </row>
    <row r="48" spans="1:29" ht="15.75" thickBot="1">
      <c r="A48" s="443" t="s">
        <v>2400</v>
      </c>
      <c r="B48" s="444"/>
      <c r="C48" s="1319" t="e">
        <f>R49</f>
        <v>#DIV/0!</v>
      </c>
      <c r="D48" s="2537" t="s">
        <v>2881</v>
      </c>
      <c r="E48" s="1320" t="e">
        <f>R48</f>
        <v>#DIV/0!</v>
      </c>
      <c r="F48" s="2538"/>
      <c r="G48" s="1319" t="e">
        <f>T48</f>
        <v>#DIV/0!</v>
      </c>
      <c r="H48" s="2538"/>
      <c r="I48" s="1320" t="e">
        <f>V48</f>
        <v>#DIV/0!</v>
      </c>
      <c r="J48" s="2538"/>
      <c r="K48" s="2539">
        <f>F48+H48+J48</f>
        <v>0</v>
      </c>
      <c r="L48" s="2952"/>
      <c r="M48" s="2953"/>
      <c r="N48" s="2953"/>
      <c r="O48" s="2953"/>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6"/>
      <c r="Y48" s="696"/>
      <c r="Z48" s="696"/>
      <c r="AA48" s="696"/>
      <c r="AB48" s="696"/>
      <c r="AC48" s="696"/>
    </row>
    <row r="49" spans="1:29" ht="15.75" thickBot="1">
      <c r="A49" s="447" t="s">
        <v>2401</v>
      </c>
      <c r="B49" s="448"/>
      <c r="C49" s="1321" t="e">
        <f>R49</f>
        <v>#DIV/0!</v>
      </c>
      <c r="D49" s="1322"/>
      <c r="E49" s="1322"/>
      <c r="F49" s="1322"/>
      <c r="G49" s="1322"/>
      <c r="H49" s="1322"/>
      <c r="I49" s="1322"/>
      <c r="J49" s="1322"/>
      <c r="K49" s="2100"/>
      <c r="L49" s="2952"/>
      <c r="M49" s="2953"/>
      <c r="N49" s="2953"/>
      <c r="O49" s="2953"/>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2" t="s">
        <v>2402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8"/>
      <c r="L52" s="2954"/>
      <c r="M52" s="2953"/>
      <c r="N52" s="2953"/>
      <c r="O52" s="2953"/>
    </row>
    <row r="53" spans="1:29" ht="13.5" customHeight="1">
      <c r="A53" s="2953"/>
      <c r="B53" s="2953"/>
      <c r="C53" s="452" t="s">
        <v>2403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8"/>
      <c r="L53" s="2954"/>
      <c r="M53" s="2953"/>
      <c r="N53" s="2953"/>
      <c r="O53" s="2953"/>
    </row>
    <row r="54" spans="1:29" s="457" customFormat="1" ht="13.5" customHeight="1">
      <c r="A54" s="2956"/>
      <c r="B54" s="2956"/>
      <c r="C54" s="452" t="s">
        <v>2404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1"/>
      <c r="L54" s="2955"/>
      <c r="M54" s="2956"/>
      <c r="N54" s="2956"/>
      <c r="O54" s="2956"/>
      <c r="P54" s="2102"/>
    </row>
    <row r="55" spans="1:29" s="457"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9"/>
    </row>
    <row r="58" spans="1:29" s="463" customFormat="1" ht="15">
      <c r="A58" s="460" t="s">
        <v>2406</v>
      </c>
      <c r="B58" s="461"/>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3" customFormat="1" ht="15">
      <c r="A59" s="464"/>
      <c r="B59" s="2104"/>
      <c r="C59" s="1342">
        <v>100</v>
      </c>
      <c r="D59" s="466"/>
      <c r="E59" s="467"/>
      <c r="F59" s="467"/>
      <c r="G59" s="467"/>
      <c r="H59" s="467"/>
      <c r="I59" s="467"/>
      <c r="J59" s="467"/>
      <c r="K59" s="467"/>
      <c r="L59" s="467"/>
      <c r="M59" s="468"/>
      <c r="N59" s="467"/>
      <c r="O59" s="468"/>
      <c r="P59" s="2105"/>
    </row>
    <row r="60" spans="1:29" s="113" customFormat="1" ht="15.75" thickBot="1">
      <c r="A60" s="470" t="s">
        <v>2407</v>
      </c>
      <c r="B60" s="471"/>
      <c r="C60" s="472"/>
      <c r="D60" s="473"/>
      <c r="E60" s="473"/>
      <c r="F60" s="473"/>
      <c r="G60" s="473"/>
      <c r="H60" s="473"/>
      <c r="I60" s="473"/>
      <c r="J60" s="473"/>
      <c r="K60" s="473"/>
      <c r="L60" s="473"/>
      <c r="M60" s="474"/>
      <c r="N60" s="473"/>
      <c r="O60" s="474"/>
      <c r="P60" s="2105"/>
      <c r="Q60" s="459"/>
    </row>
    <row r="61" spans="1:29" s="113" customFormat="1" ht="15">
      <c r="A61" s="476" t="s">
        <v>2408</v>
      </c>
      <c r="B61" s="465"/>
      <c r="C61" s="477" t="s">
        <v>2409</v>
      </c>
      <c r="D61" s="478"/>
      <c r="E61" s="478"/>
      <c r="F61" s="478"/>
      <c r="G61" s="478"/>
      <c r="H61" s="478"/>
      <c r="I61" s="478"/>
      <c r="J61" s="478"/>
      <c r="K61" s="478"/>
      <c r="L61" s="479"/>
      <c r="M61" s="480"/>
      <c r="N61" s="1060"/>
      <c r="O61" s="1060"/>
      <c r="P61" s="2106"/>
      <c r="Q61" s="459"/>
    </row>
    <row r="62" spans="1:29" s="113" customFormat="1" ht="15.75" thickBot="1">
      <c r="A62" s="476"/>
      <c r="B62" s="465"/>
      <c r="C62" s="466">
        <v>100</v>
      </c>
      <c r="D62" s="467"/>
      <c r="E62" s="467"/>
      <c r="F62" s="467"/>
      <c r="G62" s="467"/>
      <c r="H62" s="467"/>
      <c r="I62" s="467"/>
      <c r="J62" s="467"/>
      <c r="K62" s="467"/>
      <c r="L62" s="467"/>
      <c r="M62" s="469"/>
      <c r="N62" s="1060"/>
      <c r="O62" s="1060"/>
      <c r="P62" s="2105"/>
      <c r="Q62" s="459"/>
    </row>
    <row r="63" spans="1:29">
      <c r="A63" s="482" t="s">
        <v>2410</v>
      </c>
      <c r="B63" s="483" t="s">
        <v>2376</v>
      </c>
      <c r="C63" s="484">
        <f>C9</f>
        <v>0</v>
      </c>
      <c r="D63" s="485"/>
      <c r="E63" s="485"/>
      <c r="F63" s="485"/>
      <c r="G63" s="485"/>
      <c r="H63" s="485"/>
      <c r="I63" s="485"/>
      <c r="J63" s="485"/>
      <c r="K63" s="486"/>
      <c r="L63" s="487"/>
      <c r="M63" s="488"/>
      <c r="N63" s="1061"/>
      <c r="O63" s="1061"/>
      <c r="P63" s="2107"/>
      <c r="Q63" s="459"/>
    </row>
    <row r="64" spans="1:29" ht="15.75" thickBot="1">
      <c r="A64" s="489"/>
      <c r="B64" s="490"/>
      <c r="C64" s="491">
        <v>100</v>
      </c>
      <c r="D64" s="491"/>
      <c r="E64" s="491"/>
      <c r="F64" s="491"/>
      <c r="G64" s="491"/>
      <c r="H64" s="491"/>
      <c r="I64" s="491"/>
      <c r="J64" s="491"/>
      <c r="K64" s="491"/>
      <c r="L64" s="491"/>
      <c r="M64" s="492"/>
      <c r="N64" s="1062"/>
      <c r="O64" s="1062"/>
      <c r="P64" s="2107"/>
      <c r="Q64" s="459"/>
    </row>
    <row r="65" spans="1:17" ht="27.75" thickTop="1">
      <c r="A65" s="489"/>
      <c r="B65" s="493" t="s">
        <v>2379</v>
      </c>
      <c r="C65" s="494" t="s">
        <v>2411</v>
      </c>
      <c r="D65" s="494" t="s">
        <v>2412</v>
      </c>
      <c r="E65" s="494" t="s">
        <v>2413</v>
      </c>
      <c r="F65" s="494" t="s">
        <v>2414</v>
      </c>
      <c r="G65" s="494" t="s">
        <v>2415</v>
      </c>
      <c r="H65" s="494" t="s">
        <v>2416</v>
      </c>
      <c r="I65" s="494" t="s">
        <v>2417</v>
      </c>
      <c r="J65" s="494"/>
      <c r="K65" s="495"/>
      <c r="L65" s="496"/>
      <c r="M65" s="497"/>
      <c r="N65" s="1061"/>
      <c r="O65" s="1061"/>
      <c r="P65" s="2107"/>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107"/>
      <c r="Q66" s="459"/>
    </row>
    <row r="67" spans="1:17" ht="15.75" thickTop="1">
      <c r="A67" s="489"/>
      <c r="B67" s="501" t="s">
        <v>2380</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107"/>
      <c r="Q67" s="459"/>
    </row>
    <row r="68" spans="1:17" ht="15">
      <c r="A68" s="489"/>
      <c r="B68" s="503"/>
      <c r="C68" s="504"/>
      <c r="D68" s="504"/>
      <c r="E68" s="504"/>
      <c r="F68" s="504"/>
      <c r="G68" s="504"/>
      <c r="H68" s="504"/>
      <c r="I68" s="504"/>
      <c r="J68" s="504"/>
      <c r="K68" s="505"/>
      <c r="L68" s="506"/>
      <c r="M68" s="507"/>
      <c r="N68" s="1061"/>
      <c r="O68" s="1061"/>
      <c r="P68" s="2107"/>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107"/>
      <c r="Q69" s="459"/>
    </row>
    <row r="70" spans="1:17" s="428" customFormat="1" ht="15.75" thickTop="1">
      <c r="A70" s="508"/>
      <c r="B70" s="493">
        <f>B12</f>
        <v>111</v>
      </c>
      <c r="C70" s="509"/>
      <c r="D70" s="509"/>
      <c r="E70" s="509"/>
      <c r="F70" s="509"/>
      <c r="G70" s="509"/>
      <c r="H70" s="510"/>
      <c r="I70" s="510"/>
      <c r="J70" s="510"/>
      <c r="K70" s="510"/>
      <c r="L70" s="511"/>
      <c r="M70" s="512"/>
      <c r="N70" s="1063"/>
      <c r="O70" s="1063"/>
      <c r="P70" s="2108"/>
      <c r="Q70" s="514"/>
    </row>
    <row r="71" spans="1:17" s="428" customFormat="1" ht="15.75" thickBot="1">
      <c r="A71" s="508"/>
      <c r="B71" s="498"/>
      <c r="C71" s="515"/>
      <c r="D71" s="491"/>
      <c r="E71" s="491"/>
      <c r="F71" s="491"/>
      <c r="G71" s="491"/>
      <c r="H71" s="491"/>
      <c r="I71" s="491"/>
      <c r="J71" s="491"/>
      <c r="K71" s="491"/>
      <c r="L71" s="491"/>
      <c r="M71" s="492"/>
      <c r="N71" s="1062"/>
      <c r="O71" s="1062"/>
      <c r="P71" s="2108"/>
      <c r="Q71" s="514"/>
    </row>
    <row r="72" spans="1:17" s="428" customFormat="1" ht="15.75" thickTop="1">
      <c r="A72" s="508"/>
      <c r="B72" s="493">
        <f>B13</f>
        <v>111</v>
      </c>
      <c r="C72" s="509"/>
      <c r="D72" s="509"/>
      <c r="E72" s="509"/>
      <c r="F72" s="509"/>
      <c r="G72" s="509"/>
      <c r="H72" s="510"/>
      <c r="I72" s="510"/>
      <c r="J72" s="510"/>
      <c r="K72" s="510"/>
      <c r="L72" s="511"/>
      <c r="M72" s="512"/>
      <c r="N72" s="1063"/>
      <c r="O72" s="1063"/>
      <c r="P72" s="2109"/>
      <c r="Q72" s="516"/>
    </row>
    <row r="73" spans="1:17" s="428" customFormat="1" ht="15.75" thickBot="1">
      <c r="A73" s="508"/>
      <c r="B73" s="498"/>
      <c r="C73" s="515"/>
      <c r="D73" s="515"/>
      <c r="E73" s="515"/>
      <c r="F73" s="515"/>
      <c r="G73" s="515"/>
      <c r="H73" s="517"/>
      <c r="I73" s="517"/>
      <c r="J73" s="517"/>
      <c r="K73" s="517"/>
      <c r="L73" s="517"/>
      <c r="M73" s="518"/>
      <c r="N73" s="1063"/>
      <c r="O73" s="1063"/>
      <c r="P73" s="2108"/>
      <c r="Q73" s="514"/>
    </row>
    <row r="74" spans="1:17" s="428" customFormat="1" ht="15.75" thickTop="1">
      <c r="A74" s="508"/>
      <c r="B74" s="501">
        <f>B14</f>
        <v>111</v>
      </c>
      <c r="C74" s="509"/>
      <c r="D74" s="509"/>
      <c r="E74" s="509"/>
      <c r="F74" s="509"/>
      <c r="G74" s="478"/>
      <c r="H74" s="519"/>
      <c r="I74" s="519"/>
      <c r="J74" s="519"/>
      <c r="K74" s="519"/>
      <c r="L74" s="520"/>
      <c r="M74" s="521"/>
      <c r="N74" s="1063"/>
      <c r="O74" s="1063"/>
      <c r="P74" s="2110"/>
      <c r="Q74" s="514"/>
    </row>
    <row r="75" spans="1:17" s="428" customFormat="1" ht="15.75" thickBot="1">
      <c r="A75" s="523"/>
      <c r="B75" s="524"/>
      <c r="C75" s="525"/>
      <c r="D75" s="525"/>
      <c r="E75" s="525"/>
      <c r="F75" s="525"/>
      <c r="G75" s="525"/>
      <c r="H75" s="526"/>
      <c r="I75" s="526"/>
      <c r="J75" s="526"/>
      <c r="K75" s="526"/>
      <c r="L75" s="526"/>
      <c r="M75" s="527"/>
      <c r="N75" s="1063"/>
      <c r="O75" s="1063"/>
      <c r="P75" s="2108"/>
      <c r="Q75" s="514"/>
    </row>
    <row r="76" spans="1:17">
      <c r="A76" s="482" t="s">
        <v>2381</v>
      </c>
      <c r="B76" s="483" t="s">
        <v>2418</v>
      </c>
      <c r="C76" s="528" t="s">
        <v>2419</v>
      </c>
      <c r="D76" s="528" t="s">
        <v>2420</v>
      </c>
      <c r="E76" s="528" t="s">
        <v>2421</v>
      </c>
      <c r="F76" s="528" t="s">
        <v>2422</v>
      </c>
      <c r="G76" s="528" t="s">
        <v>2423</v>
      </c>
      <c r="H76" s="484"/>
      <c r="I76" s="484"/>
      <c r="J76" s="484"/>
      <c r="K76" s="529"/>
      <c r="L76" s="530"/>
      <c r="M76" s="531"/>
      <c r="N76" s="1061"/>
      <c r="O76" s="1061"/>
      <c r="P76" s="2111"/>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107"/>
      <c r="Q77" s="459"/>
    </row>
    <row r="78" spans="1:17" ht="15.75" thickTop="1">
      <c r="A78" s="489"/>
      <c r="B78" s="493" t="s">
        <v>2424</v>
      </c>
      <c r="C78" s="533" t="s">
        <v>2419</v>
      </c>
      <c r="D78" s="533" t="s">
        <v>2420</v>
      </c>
      <c r="E78" s="533" t="s">
        <v>2421</v>
      </c>
      <c r="F78" s="533" t="s">
        <v>2422</v>
      </c>
      <c r="G78" s="533" t="s">
        <v>2423</v>
      </c>
      <c r="H78" s="494"/>
      <c r="I78" s="494"/>
      <c r="J78" s="494"/>
      <c r="K78" s="495"/>
      <c r="L78" s="496"/>
      <c r="M78" s="497"/>
      <c r="N78" s="1061"/>
      <c r="O78" s="1061"/>
      <c r="P78" s="2107"/>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107"/>
      <c r="Q79" s="459"/>
    </row>
    <row r="80" spans="1:17" ht="15.75" thickTop="1">
      <c r="A80" s="489"/>
      <c r="B80" s="493" t="s">
        <v>2425</v>
      </c>
      <c r="C80" s="533" t="s">
        <v>2419</v>
      </c>
      <c r="D80" s="533" t="s">
        <v>2420</v>
      </c>
      <c r="E80" s="533" t="s">
        <v>2421</v>
      </c>
      <c r="F80" s="533" t="s">
        <v>2422</v>
      </c>
      <c r="G80" s="533" t="s">
        <v>2423</v>
      </c>
      <c r="H80" s="494"/>
      <c r="I80" s="494"/>
      <c r="J80" s="494"/>
      <c r="K80" s="495"/>
      <c r="L80" s="496"/>
      <c r="M80" s="497"/>
      <c r="N80" s="1061"/>
      <c r="O80" s="1061"/>
      <c r="P80" s="2107"/>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107"/>
      <c r="Q81" s="459"/>
    </row>
    <row r="82" spans="1:17" ht="15.75" thickTop="1">
      <c r="A82" s="489"/>
      <c r="B82" s="501" t="s">
        <v>1947</v>
      </c>
      <c r="C82" s="494" t="s">
        <v>2426</v>
      </c>
      <c r="D82" s="494" t="s">
        <v>2427</v>
      </c>
      <c r="E82" s="494" t="s">
        <v>2428</v>
      </c>
      <c r="F82" s="494" t="s">
        <v>2429</v>
      </c>
      <c r="G82" s="494" t="s">
        <v>2430</v>
      </c>
      <c r="H82" s="494"/>
      <c r="I82" s="494"/>
      <c r="J82" s="494"/>
      <c r="K82" s="494"/>
      <c r="L82" s="494"/>
      <c r="M82" s="1288"/>
      <c r="N82" s="1062"/>
      <c r="O82" s="1062"/>
      <c r="P82" s="2107"/>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107"/>
      <c r="Q83" s="459"/>
    </row>
    <row r="84" spans="1:17" ht="15.75" thickTop="1">
      <c r="A84" s="489"/>
      <c r="B84" s="493" t="s">
        <v>2431</v>
      </c>
      <c r="C84" s="533" t="s">
        <v>2419</v>
      </c>
      <c r="D84" s="533" t="s">
        <v>2420</v>
      </c>
      <c r="E84" s="533" t="s">
        <v>2421</v>
      </c>
      <c r="F84" s="533" t="s">
        <v>2422</v>
      </c>
      <c r="G84" s="533" t="s">
        <v>2423</v>
      </c>
      <c r="H84" s="494"/>
      <c r="I84" s="494"/>
      <c r="J84" s="494"/>
      <c r="K84" s="495"/>
      <c r="L84" s="496"/>
      <c r="M84" s="497"/>
      <c r="N84" s="1061"/>
      <c r="O84" s="1061"/>
      <c r="P84" s="2107"/>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107"/>
      <c r="Q85" s="459"/>
    </row>
    <row r="86" spans="1:17" s="113" customFormat="1" ht="15.75" thickTop="1">
      <c r="A86" s="534"/>
      <c r="B86" s="493" t="s">
        <v>2432</v>
      </c>
      <c r="C86" s="509"/>
      <c r="D86" s="509"/>
      <c r="E86" s="509"/>
      <c r="F86" s="509"/>
      <c r="G86" s="509"/>
      <c r="H86" s="509"/>
      <c r="I86" s="509"/>
      <c r="J86" s="509"/>
      <c r="K86" s="509"/>
      <c r="L86" s="535"/>
      <c r="M86" s="536"/>
      <c r="N86" s="1060"/>
      <c r="O86" s="1060"/>
      <c r="P86" s="2107"/>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107"/>
      <c r="Q87" s="459"/>
    </row>
    <row r="88" spans="1:17" s="113" customFormat="1" ht="15.75" thickTop="1">
      <c r="A88" s="534"/>
      <c r="B88" s="493" t="s">
        <v>2433</v>
      </c>
      <c r="C88" s="509"/>
      <c r="D88" s="509"/>
      <c r="E88" s="509"/>
      <c r="F88" s="2112"/>
      <c r="G88" s="509"/>
      <c r="H88" s="509"/>
      <c r="I88" s="509"/>
      <c r="J88" s="509"/>
      <c r="K88" s="509"/>
      <c r="L88" s="509"/>
      <c r="M88" s="536"/>
      <c r="N88" s="1060"/>
      <c r="O88" s="1060"/>
      <c r="P88" s="2107"/>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107"/>
      <c r="Q89" s="459"/>
    </row>
    <row r="90" spans="1:17" s="428" customFormat="1" ht="15.75" thickTop="1">
      <c r="A90" s="508"/>
      <c r="B90" s="493">
        <f>B27</f>
        <v>111</v>
      </c>
      <c r="C90" s="509"/>
      <c r="D90" s="509"/>
      <c r="E90" s="509"/>
      <c r="F90" s="509"/>
      <c r="G90" s="509"/>
      <c r="H90" s="510"/>
      <c r="I90" s="510"/>
      <c r="J90" s="510"/>
      <c r="K90" s="510"/>
      <c r="L90" s="511"/>
      <c r="M90" s="512"/>
      <c r="N90" s="1063"/>
      <c r="O90" s="1063"/>
      <c r="P90" s="2108"/>
      <c r="Q90" s="514"/>
    </row>
    <row r="91" spans="1:17" s="428" customFormat="1" ht="15.75" thickBot="1">
      <c r="A91" s="508"/>
      <c r="B91" s="498"/>
      <c r="C91" s="515"/>
      <c r="D91" s="515"/>
      <c r="E91" s="515"/>
      <c r="F91" s="515"/>
      <c r="G91" s="515"/>
      <c r="H91" s="517"/>
      <c r="I91" s="517"/>
      <c r="J91" s="517"/>
      <c r="K91" s="517"/>
      <c r="L91" s="517"/>
      <c r="M91" s="518"/>
      <c r="N91" s="1063"/>
      <c r="O91" s="1063"/>
      <c r="P91" s="2108"/>
      <c r="Q91" s="514"/>
    </row>
    <row r="92" spans="1:17" ht="15.75" thickTop="1">
      <c r="A92" s="489"/>
      <c r="B92" s="493">
        <f>B28</f>
        <v>111</v>
      </c>
      <c r="C92" s="509"/>
      <c r="D92" s="509"/>
      <c r="E92" s="509"/>
      <c r="F92" s="509"/>
      <c r="G92" s="538"/>
      <c r="H92" s="538"/>
      <c r="I92" s="538"/>
      <c r="J92" s="538"/>
      <c r="K92" s="539"/>
      <c r="L92" s="540"/>
      <c r="M92" s="541"/>
      <c r="N92" s="1061"/>
      <c r="O92" s="1061"/>
      <c r="P92" s="2107"/>
      <c r="Q92" s="459"/>
    </row>
    <row r="93" spans="1:17" ht="15.75" thickBot="1">
      <c r="A93" s="489"/>
      <c r="B93" s="498"/>
      <c r="C93" s="515"/>
      <c r="D93" s="491"/>
      <c r="E93" s="491"/>
      <c r="F93" s="491"/>
      <c r="G93" s="491"/>
      <c r="H93" s="491"/>
      <c r="I93" s="491"/>
      <c r="J93" s="491"/>
      <c r="K93" s="491"/>
      <c r="L93" s="491"/>
      <c r="M93" s="492"/>
      <c r="N93" s="1062"/>
      <c r="O93" s="1062"/>
      <c r="P93" s="2107"/>
      <c r="Q93" s="459"/>
    </row>
    <row r="94" spans="1:17" ht="15.75" thickTop="1">
      <c r="A94" s="489"/>
      <c r="B94" s="493">
        <f>B29</f>
        <v>111</v>
      </c>
      <c r="C94" s="509"/>
      <c r="D94" s="509"/>
      <c r="E94" s="509"/>
      <c r="F94" s="509"/>
      <c r="G94" s="538"/>
      <c r="H94" s="538"/>
      <c r="I94" s="538"/>
      <c r="J94" s="538"/>
      <c r="K94" s="539"/>
      <c r="L94" s="540"/>
      <c r="M94" s="541"/>
      <c r="N94" s="1061"/>
      <c r="O94" s="1061"/>
      <c r="P94" s="2107"/>
      <c r="Q94" s="459"/>
    </row>
    <row r="95" spans="1:17" ht="15.75" thickBot="1">
      <c r="A95" s="489"/>
      <c r="B95" s="498"/>
      <c r="C95" s="515"/>
      <c r="D95" s="515"/>
      <c r="E95" s="515"/>
      <c r="F95" s="515"/>
      <c r="G95" s="491"/>
      <c r="H95" s="491"/>
      <c r="I95" s="491"/>
      <c r="J95" s="491"/>
      <c r="K95" s="491"/>
      <c r="L95" s="491"/>
      <c r="M95" s="492"/>
      <c r="N95" s="1062"/>
      <c r="O95" s="1062"/>
      <c r="P95" s="2107"/>
      <c r="Q95" s="459"/>
    </row>
    <row r="96" spans="1:17" ht="15.75" thickTop="1">
      <c r="A96" s="489"/>
      <c r="B96" s="493">
        <f>B30</f>
        <v>111</v>
      </c>
      <c r="C96" s="509"/>
      <c r="D96" s="509"/>
      <c r="E96" s="509"/>
      <c r="F96" s="509"/>
      <c r="G96" s="538"/>
      <c r="H96" s="538"/>
      <c r="I96" s="538"/>
      <c r="J96" s="538"/>
      <c r="K96" s="539"/>
      <c r="L96" s="540"/>
      <c r="M96" s="541"/>
      <c r="N96" s="1061"/>
      <c r="O96" s="1061"/>
      <c r="P96" s="2107"/>
      <c r="Q96" s="459"/>
    </row>
    <row r="97" spans="1:17" ht="15.75" thickBot="1">
      <c r="A97" s="489"/>
      <c r="B97" s="498"/>
      <c r="C97" s="525"/>
      <c r="D97" s="525"/>
      <c r="E97" s="525"/>
      <c r="F97" s="525"/>
      <c r="G97" s="491"/>
      <c r="H97" s="491"/>
      <c r="I97" s="491"/>
      <c r="J97" s="491"/>
      <c r="K97" s="491"/>
      <c r="L97" s="491"/>
      <c r="M97" s="492"/>
      <c r="N97" s="1062"/>
      <c r="O97" s="1062"/>
      <c r="P97" s="2107"/>
      <c r="Q97" s="459"/>
    </row>
    <row r="98" spans="1:17" ht="15.75" thickTop="1">
      <c r="A98" s="489"/>
      <c r="B98" s="501">
        <f>B31</f>
        <v>111</v>
      </c>
      <c r="C98" s="542"/>
      <c r="D98" s="542"/>
      <c r="E98" s="542"/>
      <c r="F98" s="542"/>
      <c r="G98" s="542"/>
      <c r="H98" s="542"/>
      <c r="I98" s="542"/>
      <c r="J98" s="542"/>
      <c r="K98" s="543"/>
      <c r="L98" s="544"/>
      <c r="M98" s="545"/>
      <c r="N98" s="1061"/>
      <c r="O98" s="1061"/>
      <c r="P98" s="2107"/>
      <c r="Q98" s="459"/>
    </row>
    <row r="99" spans="1:17" ht="15.75" thickBot="1">
      <c r="A99" s="2113"/>
      <c r="B99" s="524"/>
      <c r="C99" s="546"/>
      <c r="D99" s="546"/>
      <c r="E99" s="546"/>
      <c r="F99" s="546"/>
      <c r="G99" s="546"/>
      <c r="H99" s="546"/>
      <c r="I99" s="546"/>
      <c r="J99" s="546"/>
      <c r="K99" s="546"/>
      <c r="L99" s="546"/>
      <c r="M99" s="547"/>
      <c r="N99" s="1062"/>
      <c r="O99" s="1062"/>
      <c r="P99" s="2107"/>
      <c r="Q99" s="459"/>
    </row>
    <row r="100" spans="1:17">
      <c r="A100" s="482" t="s">
        <v>2385</v>
      </c>
      <c r="B100" s="483" t="s">
        <v>2434</v>
      </c>
      <c r="C100" s="485"/>
      <c r="D100" s="485"/>
      <c r="E100" s="485"/>
      <c r="F100" s="485"/>
      <c r="G100" s="485"/>
      <c r="H100" s="485"/>
      <c r="I100" s="485"/>
      <c r="J100" s="485"/>
      <c r="K100" s="486"/>
      <c r="L100" s="487"/>
      <c r="M100" s="488"/>
      <c r="N100" s="1061"/>
      <c r="O100" s="1061"/>
      <c r="P100" s="2107"/>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107"/>
      <c r="Q101" s="459"/>
    </row>
    <row r="102" spans="1:17" ht="15.75" thickTop="1">
      <c r="A102" s="489"/>
      <c r="B102" s="493" t="s">
        <v>2435</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107"/>
      <c r="Q102" s="459"/>
    </row>
    <row r="103" spans="1:17" s="428" customFormat="1">
      <c r="A103" s="548"/>
      <c r="B103" s="549"/>
      <c r="C103" s="550"/>
      <c r="D103" s="550"/>
      <c r="E103" s="550"/>
      <c r="F103" s="550"/>
      <c r="G103" s="550"/>
      <c r="H103" s="550"/>
      <c r="I103" s="550"/>
      <c r="J103" s="551"/>
      <c r="K103" s="551"/>
      <c r="L103" s="552"/>
      <c r="M103" s="553"/>
      <c r="N103" s="1063"/>
      <c r="O103" s="1063"/>
      <c r="P103" s="2108"/>
      <c r="Q103" s="514"/>
    </row>
    <row r="104" spans="1:17" s="428" customFormat="1" ht="15.75" thickBot="1">
      <c r="A104" s="508"/>
      <c r="B104" s="498"/>
      <c r="C104" s="515"/>
      <c r="D104" s="491"/>
      <c r="E104" s="491"/>
      <c r="F104" s="491"/>
      <c r="G104" s="491"/>
      <c r="H104" s="491"/>
      <c r="I104" s="491"/>
      <c r="J104" s="491"/>
      <c r="K104" s="491"/>
      <c r="L104" s="491"/>
      <c r="M104" s="491"/>
      <c r="N104" s="1062"/>
      <c r="O104" s="1062"/>
      <c r="P104" s="2108"/>
      <c r="Q104" s="514"/>
    </row>
    <row r="105" spans="1:17" ht="15" thickTop="1">
      <c r="A105" s="554"/>
      <c r="B105" s="493" t="s">
        <v>2436</v>
      </c>
      <c r="C105" s="509"/>
      <c r="D105" s="509"/>
      <c r="E105" s="538"/>
      <c r="F105" s="538"/>
      <c r="G105" s="538"/>
      <c r="H105" s="538"/>
      <c r="I105" s="538"/>
      <c r="J105" s="538"/>
      <c r="K105" s="539"/>
      <c r="L105" s="540"/>
      <c r="M105" s="541"/>
      <c r="N105" s="1061"/>
      <c r="O105" s="1061"/>
      <c r="P105" s="2107"/>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107"/>
      <c r="Q106" s="459"/>
    </row>
    <row r="107" spans="1:17" ht="15" thickTop="1">
      <c r="A107" s="554"/>
      <c r="B107" s="493" t="s">
        <v>2437</v>
      </c>
      <c r="C107" s="538"/>
      <c r="D107" s="538"/>
      <c r="E107" s="538"/>
      <c r="F107" s="538"/>
      <c r="G107" s="538"/>
      <c r="H107" s="538"/>
      <c r="I107" s="538"/>
      <c r="J107" s="538"/>
      <c r="K107" s="539"/>
      <c r="L107" s="540"/>
      <c r="M107" s="541"/>
      <c r="N107" s="1061"/>
      <c r="O107" s="1061"/>
      <c r="P107" s="2107"/>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107"/>
      <c r="Q108" s="459"/>
    </row>
    <row r="109" spans="1:17" ht="15" thickTop="1">
      <c r="A109" s="554"/>
      <c r="B109" s="493" t="s">
        <v>2438</v>
      </c>
      <c r="C109" s="509"/>
      <c r="D109" s="509"/>
      <c r="E109" s="509"/>
      <c r="F109" s="538"/>
      <c r="G109" s="538"/>
      <c r="H109" s="538"/>
      <c r="I109" s="538"/>
      <c r="J109" s="538"/>
      <c r="K109" s="539"/>
      <c r="L109" s="540"/>
      <c r="M109" s="541"/>
      <c r="N109" s="1061"/>
      <c r="O109" s="1061"/>
      <c r="P109" s="2107"/>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107"/>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10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108"/>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108"/>
      <c r="Q113" s="514"/>
    </row>
    <row r="114" spans="1:17" ht="15" thickTop="1">
      <c r="A114" s="554"/>
      <c r="B114" s="493" t="s">
        <v>2439</v>
      </c>
      <c r="C114" s="509"/>
      <c r="D114" s="509"/>
      <c r="E114" s="538"/>
      <c r="F114" s="538"/>
      <c r="G114" s="538"/>
      <c r="H114" s="538"/>
      <c r="I114" s="538"/>
      <c r="J114" s="538"/>
      <c r="K114" s="539"/>
      <c r="L114" s="540"/>
      <c r="M114" s="541"/>
      <c r="N114" s="1061"/>
      <c r="O114" s="1061"/>
      <c r="P114" s="2107"/>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107"/>
      <c r="Q115" s="459"/>
    </row>
    <row r="116" spans="1:17" ht="15" thickTop="1">
      <c r="A116" s="554"/>
      <c r="B116" s="493" t="s">
        <v>2440</v>
      </c>
      <c r="C116" s="509"/>
      <c r="D116" s="509"/>
      <c r="E116" s="509"/>
      <c r="F116" s="509"/>
      <c r="G116" s="509"/>
      <c r="H116" s="538"/>
      <c r="I116" s="538"/>
      <c r="J116" s="538"/>
      <c r="K116" s="539"/>
      <c r="L116" s="540"/>
      <c r="M116" s="541"/>
      <c r="N116" s="1061"/>
      <c r="O116" s="1061"/>
      <c r="P116" s="2107"/>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107"/>
      <c r="Q117" s="459"/>
    </row>
    <row r="118" spans="1:17" ht="15" thickTop="1">
      <c r="A118" s="554"/>
      <c r="B118" s="493" t="s">
        <v>2441</v>
      </c>
      <c r="C118" s="538"/>
      <c r="D118" s="538"/>
      <c r="E118" s="538"/>
      <c r="F118" s="538"/>
      <c r="G118" s="538"/>
      <c r="H118" s="538"/>
      <c r="I118" s="538"/>
      <c r="J118" s="538"/>
      <c r="K118" s="539"/>
      <c r="L118" s="540"/>
      <c r="M118" s="541"/>
      <c r="N118" s="1061"/>
      <c r="O118" s="1061"/>
      <c r="P118" s="2107"/>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107"/>
      <c r="Q119" s="459"/>
    </row>
    <row r="120" spans="1:17" s="428" customFormat="1" ht="28.5" thickTop="1">
      <c r="A120" s="548"/>
      <c r="B120" s="493" t="s">
        <v>2396</v>
      </c>
      <c r="C120" s="509"/>
      <c r="D120" s="509"/>
      <c r="E120" s="509"/>
      <c r="F120" s="509"/>
      <c r="G120" s="509"/>
      <c r="H120" s="509"/>
      <c r="I120" s="509"/>
      <c r="J120" s="509"/>
      <c r="K120" s="509"/>
      <c r="L120" s="535"/>
      <c r="M120" s="536"/>
      <c r="N120" s="1063"/>
      <c r="O120" s="1063"/>
      <c r="P120" s="2108"/>
      <c r="Q120" s="514"/>
    </row>
    <row r="121" spans="1:17" s="428" customFormat="1" ht="15.75" thickBot="1">
      <c r="A121" s="508"/>
      <c r="B121" s="490"/>
      <c r="C121" s="515"/>
      <c r="D121" s="491"/>
      <c r="E121" s="491"/>
      <c r="F121" s="491"/>
      <c r="G121" s="491"/>
      <c r="H121" s="491"/>
      <c r="I121" s="491"/>
      <c r="J121" s="491"/>
      <c r="K121" s="491"/>
      <c r="L121" s="491"/>
      <c r="M121" s="491"/>
      <c r="N121" s="1063"/>
      <c r="O121" s="1063"/>
      <c r="P121" s="2108"/>
      <c r="Q121" s="514"/>
    </row>
    <row r="122" spans="1:17" ht="15" thickTop="1">
      <c r="A122" s="554"/>
      <c r="B122" s="493" t="s">
        <v>2442</v>
      </c>
      <c r="C122" s="509"/>
      <c r="D122" s="509"/>
      <c r="E122" s="509"/>
      <c r="F122" s="538"/>
      <c r="G122" s="538"/>
      <c r="H122" s="538"/>
      <c r="I122" s="538"/>
      <c r="J122" s="538"/>
      <c r="K122" s="539"/>
      <c r="L122" s="540"/>
      <c r="M122" s="541"/>
      <c r="N122" s="1061"/>
      <c r="O122" s="1061"/>
      <c r="P122" s="2107"/>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107"/>
      <c r="Q123" s="459"/>
    </row>
    <row r="124" spans="1:17" ht="15" thickTop="1">
      <c r="A124" s="554"/>
      <c r="B124" s="493" t="s">
        <v>2443</v>
      </c>
      <c r="C124" s="533" t="s">
        <v>2419</v>
      </c>
      <c r="D124" s="533" t="s">
        <v>2420</v>
      </c>
      <c r="E124" s="533" t="s">
        <v>2421</v>
      </c>
      <c r="F124" s="533" t="s">
        <v>2422</v>
      </c>
      <c r="G124" s="533" t="s">
        <v>2423</v>
      </c>
      <c r="H124" s="494"/>
      <c r="I124" s="494"/>
      <c r="J124" s="494"/>
      <c r="K124" s="495"/>
      <c r="L124" s="496"/>
      <c r="M124" s="497"/>
      <c r="N124" s="1061"/>
      <c r="O124" s="1061"/>
      <c r="P124" s="2108"/>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107"/>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108"/>
      <c r="Q126" s="514"/>
    </row>
    <row r="127" spans="1:17" s="428" customFormat="1" ht="15.75" thickBot="1">
      <c r="A127" s="508"/>
      <c r="B127" s="498"/>
      <c r="C127" s="515"/>
      <c r="D127" s="491"/>
      <c r="E127" s="491"/>
      <c r="F127" s="491"/>
      <c r="G127" s="515"/>
      <c r="H127" s="517"/>
      <c r="I127" s="517"/>
      <c r="J127" s="517"/>
      <c r="K127" s="517"/>
      <c r="L127" s="517"/>
      <c r="M127" s="518"/>
      <c r="N127" s="1063"/>
      <c r="O127" s="1063"/>
      <c r="P127" s="2108"/>
      <c r="Q127" s="514"/>
    </row>
    <row r="128" spans="1:17" ht="15" thickTop="1">
      <c r="A128" s="554"/>
      <c r="B128" s="493">
        <f>B45</f>
        <v>111</v>
      </c>
      <c r="C128" s="509"/>
      <c r="D128" s="509"/>
      <c r="E128" s="509"/>
      <c r="F128" s="509"/>
      <c r="G128" s="538"/>
      <c r="H128" s="538"/>
      <c r="I128" s="538"/>
      <c r="J128" s="538"/>
      <c r="K128" s="539"/>
      <c r="L128" s="540"/>
      <c r="M128" s="541"/>
      <c r="N128" s="1061"/>
      <c r="O128" s="1061"/>
      <c r="P128" s="2107"/>
      <c r="Q128" s="459"/>
    </row>
    <row r="129" spans="1:17" ht="15.75" thickBot="1">
      <c r="A129" s="489"/>
      <c r="B129" s="498"/>
      <c r="C129" s="515"/>
      <c r="D129" s="515"/>
      <c r="E129" s="515"/>
      <c r="F129" s="515"/>
      <c r="G129" s="491"/>
      <c r="H129" s="491"/>
      <c r="I129" s="491"/>
      <c r="J129" s="491"/>
      <c r="K129" s="491"/>
      <c r="L129" s="491"/>
      <c r="M129" s="492"/>
      <c r="N129" s="1062"/>
      <c r="O129" s="1062"/>
      <c r="P129" s="2107"/>
      <c r="Q129" s="459"/>
    </row>
    <row r="130" spans="1:17" ht="15" thickTop="1">
      <c r="A130" s="554"/>
      <c r="B130" s="501">
        <f>B46</f>
        <v>111</v>
      </c>
      <c r="C130" s="509"/>
      <c r="D130" s="509"/>
      <c r="E130" s="509"/>
      <c r="F130" s="509"/>
      <c r="G130" s="542"/>
      <c r="H130" s="542"/>
      <c r="I130" s="542"/>
      <c r="J130" s="542"/>
      <c r="K130" s="478"/>
      <c r="L130" s="479"/>
      <c r="M130" s="545"/>
      <c r="N130" s="1061"/>
      <c r="O130" s="1061"/>
      <c r="P130" s="2107"/>
      <c r="Q130" s="459"/>
    </row>
    <row r="131" spans="1:17" ht="15.75" thickBot="1">
      <c r="A131" s="2113"/>
      <c r="B131" s="524"/>
      <c r="C131" s="525"/>
      <c r="D131" s="525"/>
      <c r="E131" s="525"/>
      <c r="F131" s="525"/>
      <c r="G131" s="546"/>
      <c r="H131" s="546"/>
      <c r="I131" s="546"/>
      <c r="J131" s="546"/>
      <c r="K131" s="546"/>
      <c r="L131" s="546"/>
      <c r="M131" s="547"/>
      <c r="N131" s="1062"/>
      <c r="O131" s="1062"/>
      <c r="P131" s="2107"/>
      <c r="Q131" s="459"/>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40" t="s">
        <v>2447</v>
      </c>
      <c r="D138" s="140" t="s">
        <v>2448</v>
      </c>
      <c r="E138" s="2122" t="s">
        <v>2449</v>
      </c>
      <c r="F138" s="2123" t="s">
        <v>2450</v>
      </c>
      <c r="G138" s="140" t="s">
        <v>2448</v>
      </c>
      <c r="H138" s="141" t="s">
        <v>2449</v>
      </c>
      <c r="I138" s="2124"/>
      <c r="J138" s="140" t="s">
        <v>2451</v>
      </c>
      <c r="K138" s="141"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5">
        <f>ROUNDUP((J139-1)/2,0)</f>
        <v>10</v>
      </c>
      <c r="K140" s="1006">
        <v>100</v>
      </c>
    </row>
    <row r="141" spans="1:17" ht="15">
      <c r="B141" s="1001">
        <v>4</v>
      </c>
      <c r="C141" s="1002">
        <v>102</v>
      </c>
      <c r="D141" s="1002"/>
      <c r="E141" s="1003"/>
      <c r="F141" s="1004">
        <v>101.5</v>
      </c>
      <c r="G141" s="1002"/>
      <c r="H141" s="1005"/>
      <c r="I141" s="2127" t="s">
        <v>2456</v>
      </c>
      <c r="J141" s="275">
        <v>1</v>
      </c>
      <c r="K141" s="1007">
        <f>ROUND(100+(J141-J140)*K139*100,1)</f>
        <v>96.4</v>
      </c>
    </row>
    <row r="142" spans="1:17" ht="15">
      <c r="B142" s="1001">
        <v>3</v>
      </c>
      <c r="C142" s="1002">
        <v>103</v>
      </c>
      <c r="D142" s="1002"/>
      <c r="E142" s="1003"/>
      <c r="F142" s="1004">
        <v>101</v>
      </c>
      <c r="G142" s="1002"/>
      <c r="H142" s="1005"/>
      <c r="I142" s="2127" t="s">
        <v>2457</v>
      </c>
      <c r="J142" s="275">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8" priority="19" stopIfTrue="1" operator="containsText" text="超过">
      <formula>NOT(ISERROR(SEARCH("超过",F52)))</formula>
    </cfRule>
  </conditionalFormatting>
  <conditionalFormatting sqref="J54">
    <cfRule type="containsText" dxfId="97" priority="18" stopIfTrue="1" operator="containsText" text="超过">
      <formula>NOT(ISERROR(SEARCH("超过",J54)))</formula>
    </cfRule>
  </conditionalFormatting>
  <conditionalFormatting sqref="H54">
    <cfRule type="containsText" dxfId="96" priority="17" stopIfTrue="1" operator="containsText" text="超过">
      <formula>NOT(ISERROR(SEARCH("超过",H54)))</formula>
    </cfRule>
  </conditionalFormatting>
  <conditionalFormatting sqref="F54">
    <cfRule type="containsText" dxfId="95" priority="16" stopIfTrue="1" operator="containsText" text="超过">
      <formula>NOT(ISERROR(SEARCH("超过",F54)))</formula>
    </cfRule>
  </conditionalFormatting>
  <conditionalFormatting sqref="F53 H53 J53">
    <cfRule type="containsText" dxfId="94" priority="15" stopIfTrue="1" operator="containsText" text="超过">
      <formula>NOT(ISERROR(SEARCH("超过",F53)))</formula>
    </cfRule>
  </conditionalFormatting>
  <conditionalFormatting sqref="E52">
    <cfRule type="expression" dxfId="93" priority="14" stopIfTrue="1">
      <formula>$F$52="超过30%"</formula>
    </cfRule>
  </conditionalFormatting>
  <conditionalFormatting sqref="G54">
    <cfRule type="expression" dxfId="92" priority="12" stopIfTrue="1">
      <formula>$H$54="超过30%"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2">
    <cfRule type="expression" dxfId="89" priority="9" stopIfTrue="1">
      <formula>$H$52="超过30%"</formula>
    </cfRule>
  </conditionalFormatting>
  <conditionalFormatting sqref="G53">
    <cfRule type="expression" dxfId="88" priority="8" stopIfTrue="1">
      <formula>$H$53="超过20%"</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F48">
    <cfRule type="expression" dxfId="84" priority="4">
      <formula>$D$48="简单平均"</formula>
    </cfRule>
  </conditionalFormatting>
  <conditionalFormatting sqref="H48">
    <cfRule type="expression" dxfId="83" priority="3">
      <formula>$D$48="简单平均"</formula>
    </cfRule>
  </conditionalFormatting>
  <conditionalFormatting sqref="J48">
    <cfRule type="expression" dxfId="82" priority="2">
      <formula>$D$48="简单平均"</formula>
    </cfRule>
  </conditionalFormatting>
  <conditionalFormatting sqref="F7:F46 H7:H46 J7:J46">
    <cfRule type="cellIs" dxfId="81" priority="1" operator="notEqual">
      <formula>100</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6" customFormat="1" ht="28.5" customHeight="1" thickBot="1">
      <c r="A3" s="207" t="s">
        <v>2151</v>
      </c>
      <c r="B3" s="564" t="e">
        <f ca="1">IF(C2="——",C50,ROUND(B2*10000/D3,0))</f>
        <v>#DIV/0!</v>
      </c>
      <c r="C3" s="358" t="s">
        <v>2466</v>
      </c>
      <c r="D3" s="357">
        <f>IF(D1="",'数据-汇总表'!E3,SUMIF('数据-汇总表'!$C19:$C33,D1,'数据-汇总表'!$E19:$E33))</f>
        <v>23006.27</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9" t="s">
        <v>2467</v>
      </c>
      <c r="B4" s="360"/>
      <c r="C4" s="3324" t="s">
        <v>2468</v>
      </c>
      <c r="D4" s="3325"/>
      <c r="E4" s="3326" t="s">
        <v>2469</v>
      </c>
      <c r="F4" s="3327"/>
      <c r="G4" s="3324" t="s">
        <v>2470</v>
      </c>
      <c r="H4" s="3325"/>
      <c r="I4" s="3324" t="s">
        <v>2471</v>
      </c>
      <c r="J4" s="3325"/>
      <c r="K4" s="565" t="s">
        <v>2472</v>
      </c>
      <c r="L4" s="2943"/>
      <c r="M4" s="2944"/>
      <c r="N4" s="2944"/>
      <c r="O4" s="2944"/>
      <c r="P4" s="3409" t="s">
        <v>2473</v>
      </c>
      <c r="Q4" s="3410"/>
      <c r="R4" s="3404" t="s">
        <v>2469</v>
      </c>
      <c r="S4" s="3405"/>
      <c r="T4" s="3404" t="s">
        <v>2470</v>
      </c>
      <c r="U4" s="3405"/>
      <c r="V4" s="3413" t="s">
        <v>2471</v>
      </c>
      <c r="W4" s="3413"/>
      <c r="X4" s="2143"/>
      <c r="Y4" s="3404" t="s">
        <v>2473</v>
      </c>
      <c r="Z4" s="3405"/>
      <c r="AA4" s="3403" t="s">
        <v>2469</v>
      </c>
      <c r="AB4" s="3403" t="s">
        <v>2470</v>
      </c>
      <c r="AC4" s="3406" t="s">
        <v>2471</v>
      </c>
    </row>
    <row r="5" spans="1:29" ht="15">
      <c r="A5" s="362"/>
      <c r="B5" s="363"/>
      <c r="C5" s="3316" t="s">
        <v>2364</v>
      </c>
      <c r="D5" s="3317"/>
      <c r="E5" s="3314" t="s">
        <v>2365</v>
      </c>
      <c r="F5" s="3315"/>
      <c r="G5" s="3316" t="s">
        <v>2366</v>
      </c>
      <c r="H5" s="3317"/>
      <c r="I5" s="3316" t="s">
        <v>2367</v>
      </c>
      <c r="J5" s="3317"/>
      <c r="K5" s="565"/>
      <c r="L5" s="2943"/>
      <c r="M5" s="2944"/>
      <c r="N5" s="2944"/>
      <c r="O5" s="2944"/>
      <c r="P5" s="3411"/>
      <c r="Q5" s="3331"/>
      <c r="R5" s="3312"/>
      <c r="S5" s="3313"/>
      <c r="T5" s="3312"/>
      <c r="U5" s="3313"/>
      <c r="V5" s="3307"/>
      <c r="W5" s="3307"/>
      <c r="X5" s="1538"/>
      <c r="Y5" s="3312"/>
      <c r="Z5" s="3313"/>
      <c r="AA5" s="3305"/>
      <c r="AB5" s="3305"/>
      <c r="AC5" s="3407"/>
    </row>
    <row r="6" spans="1:29" ht="15.75" thickBot="1">
      <c r="A6" s="364"/>
      <c r="B6" s="365"/>
      <c r="C6" s="3318" t="s">
        <v>2368</v>
      </c>
      <c r="D6" s="3319"/>
      <c r="E6" s="3370" t="s">
        <v>2368</v>
      </c>
      <c r="F6" s="3321"/>
      <c r="G6" s="3318" t="s">
        <v>2368</v>
      </c>
      <c r="H6" s="3319"/>
      <c r="I6" s="3318" t="s">
        <v>2368</v>
      </c>
      <c r="J6" s="3319"/>
      <c r="K6" s="565" t="s">
        <v>2369</v>
      </c>
      <c r="L6" s="2943"/>
      <c r="M6" s="2944"/>
      <c r="N6" s="2944"/>
      <c r="O6" s="2944"/>
      <c r="P6" s="3412"/>
      <c r="Q6" s="3333"/>
      <c r="R6" s="3312"/>
      <c r="S6" s="3313"/>
      <c r="T6" s="3334"/>
      <c r="U6" s="3335"/>
      <c r="V6" s="3307"/>
      <c r="W6" s="3307"/>
      <c r="X6" s="1538"/>
      <c r="Y6" s="3334"/>
      <c r="Z6" s="3335"/>
      <c r="AA6" s="3306"/>
      <c r="AB6" s="3306"/>
      <c r="AC6" s="3408"/>
    </row>
    <row r="7" spans="1:29" s="113" customFormat="1" ht="15.75" thickBot="1">
      <c r="A7" s="366" t="s">
        <v>2370</v>
      </c>
      <c r="B7" s="367"/>
      <c r="C7" s="368">
        <f>'数据-取费表'!B2</f>
        <v>44131</v>
      </c>
      <c r="D7" s="369">
        <v>100</v>
      </c>
      <c r="E7" s="370"/>
      <c r="F7" s="371">
        <f>SUMIF(59:59,YEAR(E7)&amp;"-"&amp;MONTH(E7),60:60)</f>
        <v>0</v>
      </c>
      <c r="G7" s="370"/>
      <c r="H7" s="369">
        <f>SUMIF(59:59,YEAR(G7)&amp;"-"&amp;MONTH(G7),60:60)</f>
        <v>0</v>
      </c>
      <c r="I7" s="370"/>
      <c r="J7" s="369">
        <f>SUMIF(59:59,YEAR(I7)&amp;"-"&amp;MONTH(I7),60:60)</f>
        <v>0</v>
      </c>
      <c r="K7" s="566"/>
      <c r="L7" s="2945"/>
      <c r="M7" s="2946"/>
      <c r="N7" s="2946"/>
      <c r="O7" s="2946"/>
      <c r="P7" s="3414" t="s">
        <v>2371</v>
      </c>
      <c r="Q7" s="3336"/>
      <c r="R7" s="707" t="s">
        <v>17</v>
      </c>
      <c r="S7" s="708">
        <f t="shared" ref="S7:S15" si="0">F7</f>
        <v>0</v>
      </c>
      <c r="T7" s="707" t="s">
        <v>17</v>
      </c>
      <c r="U7" s="708">
        <f t="shared" ref="U7:U15" si="1">H7</f>
        <v>0</v>
      </c>
      <c r="V7" s="707" t="s">
        <v>17</v>
      </c>
      <c r="W7" s="708">
        <f t="shared" ref="W7:W15" si="2">J7</f>
        <v>0</v>
      </c>
      <c r="X7" s="709"/>
      <c r="Y7" s="3308" t="s">
        <v>2371</v>
      </c>
      <c r="Z7" s="3309"/>
      <c r="AA7" s="710" t="e">
        <f>D7/F7</f>
        <v>#DIV/0!</v>
      </c>
      <c r="AB7" s="710" t="e">
        <f>D7/H7</f>
        <v>#DIV/0!</v>
      </c>
      <c r="AC7" s="2144" t="e">
        <f>D7/J7</f>
        <v>#DIV/0!</v>
      </c>
    </row>
    <row r="8" spans="1:29" s="113" customFormat="1" ht="15.75" thickBot="1">
      <c r="A8" s="366" t="s">
        <v>2372</v>
      </c>
      <c r="B8" s="367"/>
      <c r="C8" s="372" t="s">
        <v>2474</v>
      </c>
      <c r="D8" s="369">
        <v>100</v>
      </c>
      <c r="E8" s="372"/>
      <c r="F8" s="371">
        <f>SUMIF(62:62,E8,63:63)-SUMIF(62:62,C8,63:63)+100</f>
        <v>0</v>
      </c>
      <c r="G8" s="372"/>
      <c r="H8" s="369">
        <f>SUMIF(62:62,G8,63:63)-SUMIF(62:62,C8,63:63)+100</f>
        <v>0</v>
      </c>
      <c r="I8" s="372"/>
      <c r="J8" s="369">
        <f>SUMIF(62:62,I8,63:63)-SUMIF(62:62,C8,63:63)+100</f>
        <v>0</v>
      </c>
      <c r="K8" s="566"/>
      <c r="L8" s="2945"/>
      <c r="M8" s="2946"/>
      <c r="N8" s="2946"/>
      <c r="O8" s="2946"/>
      <c r="P8" s="3414" t="s">
        <v>2374</v>
      </c>
      <c r="Q8" s="3309"/>
      <c r="R8" s="707" t="s">
        <v>17</v>
      </c>
      <c r="S8" s="708">
        <f t="shared" si="0"/>
        <v>0</v>
      </c>
      <c r="T8" s="707" t="s">
        <v>17</v>
      </c>
      <c r="U8" s="708">
        <f t="shared" si="1"/>
        <v>0</v>
      </c>
      <c r="V8" s="707" t="s">
        <v>17</v>
      </c>
      <c r="W8" s="708">
        <f t="shared" si="2"/>
        <v>0</v>
      </c>
      <c r="X8" s="709"/>
      <c r="Y8" s="3308" t="s">
        <v>2374</v>
      </c>
      <c r="Z8" s="3309"/>
      <c r="AA8" s="710" t="e">
        <f t="shared" ref="AA8:AA47" si="3">D8/F8</f>
        <v>#DIV/0!</v>
      </c>
      <c r="AB8" s="710" t="e">
        <f t="shared" ref="AB8:AB47" si="4">D8/H8</f>
        <v>#DIV/0!</v>
      </c>
      <c r="AC8" s="2144" t="e">
        <f t="shared" ref="AC8:AC47" si="5">D8/J8</f>
        <v>#DIV/0!</v>
      </c>
    </row>
    <row r="9" spans="1:29" s="113" customFormat="1">
      <c r="A9" s="373" t="s">
        <v>2375</v>
      </c>
      <c r="B9" s="67" t="s">
        <v>2376</v>
      </c>
      <c r="C9" s="374"/>
      <c r="D9" s="129">
        <v>100</v>
      </c>
      <c r="E9" s="377"/>
      <c r="F9" s="129">
        <f>SUMIF(64:64,E9,65:65)-SUMIF(64:64,C9,65:65)+100</f>
        <v>100</v>
      </c>
      <c r="G9" s="375"/>
      <c r="H9" s="129">
        <f>SUMIF(64:64,G9,65:65)-SUMIF(64:64,C9,65:65)+100</f>
        <v>100</v>
      </c>
      <c r="I9" s="375"/>
      <c r="J9" s="129">
        <f>SUMIF(64:64,I9,65:65)-SUMIF(64:64,C9,65:65)+100</f>
        <v>100</v>
      </c>
      <c r="K9" s="566"/>
      <c r="L9" s="2945"/>
      <c r="M9" s="2946"/>
      <c r="N9" s="2946"/>
      <c r="O9" s="2946"/>
      <c r="P9" s="3323"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2144">
        <f t="shared" si="5"/>
        <v>1</v>
      </c>
    </row>
    <row r="10" spans="1:29" s="384" customFormat="1" ht="27">
      <c r="A10" s="378"/>
      <c r="B10" s="379" t="s">
        <v>2379</v>
      </c>
      <c r="C10" s="380"/>
      <c r="D10" s="130">
        <v>100</v>
      </c>
      <c r="E10" s="380"/>
      <c r="F10" s="130">
        <f>SUMIF(66:66,E10,67:67)-SUMIF(66:66,C10,67:67)+100</f>
        <v>100</v>
      </c>
      <c r="G10" s="381"/>
      <c r="H10" s="130">
        <f>SUMIF(66:66,G10,67:67)-SUMIF(66:66,C10,67:67)+100</f>
        <v>100</v>
      </c>
      <c r="I10" s="380"/>
      <c r="J10" s="130">
        <f>SUMIF(66:66,I10,67:67)-SUMIF(66:66,C10,67:67)+100</f>
        <v>100</v>
      </c>
      <c r="K10" s="567"/>
      <c r="L10" s="2947"/>
      <c r="M10" s="2948"/>
      <c r="N10" s="2948"/>
      <c r="O10" s="2948"/>
      <c r="P10" s="3323"/>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2144">
        <f t="shared" si="5"/>
        <v>1</v>
      </c>
    </row>
    <row r="11" spans="1:29" ht="15">
      <c r="A11" s="385"/>
      <c r="B11" s="379" t="s">
        <v>2380</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9"/>
      <c r="M11" s="2944"/>
      <c r="N11" s="2944"/>
      <c r="O11" s="2944"/>
      <c r="P11" s="3323"/>
      <c r="Q11" s="1526" t="str">
        <f t="shared" si="6"/>
        <v>容积率</v>
      </c>
      <c r="R11" s="707" t="s">
        <v>17</v>
      </c>
      <c r="S11" s="708" t="e">
        <f t="shared" si="0"/>
        <v>#N/A</v>
      </c>
      <c r="T11" s="707" t="s">
        <v>17</v>
      </c>
      <c r="U11" s="708" t="e">
        <f t="shared" si="1"/>
        <v>#N/A</v>
      </c>
      <c r="V11" s="707" t="s">
        <v>17</v>
      </c>
      <c r="W11" s="708" t="e">
        <f t="shared" si="2"/>
        <v>#N/A</v>
      </c>
      <c r="X11" s="709"/>
      <c r="Y11" s="3280"/>
      <c r="Z11" s="55" t="str">
        <f t="shared" si="7"/>
        <v>容积率</v>
      </c>
      <c r="AA11" s="710" t="e">
        <f t="shared" si="3"/>
        <v>#N/A</v>
      </c>
      <c r="AB11" s="710" t="e">
        <f t="shared" si="4"/>
        <v>#N/A</v>
      </c>
      <c r="AC11" s="2144" t="e">
        <f t="shared" si="5"/>
        <v>#N/A</v>
      </c>
    </row>
    <row r="12" spans="1:29" s="113" customFormat="1" ht="15">
      <c r="A12" s="388"/>
      <c r="B12" s="2078">
        <v>111</v>
      </c>
      <c r="C12" s="389"/>
      <c r="D12" s="390">
        <v>100</v>
      </c>
      <c r="E12" s="389"/>
      <c r="F12" s="130">
        <f>SUMIF(71:71,E12,72:72)-SUMIF(71:71,C12,72:72)+100</f>
        <v>100</v>
      </c>
      <c r="G12" s="2145"/>
      <c r="H12" s="130">
        <f>SUMIF(71:71,G12,72:72)-SUMIF(71:71,C12,72:72)+100</f>
        <v>100</v>
      </c>
      <c r="I12" s="389"/>
      <c r="J12" s="130">
        <f>SUMIF(71:71,I12,72:72)-SUMIF(71:71,C12,72:72)+100</f>
        <v>100</v>
      </c>
      <c r="K12" s="568"/>
      <c r="L12" s="2945"/>
      <c r="M12" s="2946"/>
      <c r="N12" s="2946"/>
      <c r="O12" s="2946"/>
      <c r="P12" s="3323"/>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2144">
        <f>D12/J12</f>
        <v>1</v>
      </c>
    </row>
    <row r="13" spans="1:29" ht="15">
      <c r="A13" s="385"/>
      <c r="B13" s="2078">
        <v>111</v>
      </c>
      <c r="C13" s="391"/>
      <c r="D13" s="392">
        <v>100</v>
      </c>
      <c r="E13" s="389"/>
      <c r="F13" s="130">
        <f>SUMIF(73:73,E13,74:74)-SUMIF(73:73,C13,74:74)+100</f>
        <v>100</v>
      </c>
      <c r="G13" s="2145"/>
      <c r="H13" s="392">
        <f>SUMIF(73:73,G13,74:74)-SUMIF(73:73,C13,74:74)+100</f>
        <v>100</v>
      </c>
      <c r="I13" s="389"/>
      <c r="J13" s="392">
        <f>SUMIF(73:73,I13,74:74)-SUMIF(73:73,C13,74:74)+100</f>
        <v>100</v>
      </c>
      <c r="K13" s="568"/>
      <c r="L13" s="2950"/>
      <c r="M13" s="2944"/>
      <c r="N13" s="2944"/>
      <c r="O13" s="2944"/>
      <c r="P13" s="3323"/>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2144">
        <f t="shared" si="5"/>
        <v>1</v>
      </c>
    </row>
    <row r="14" spans="1:29" ht="15.75" thickBot="1">
      <c r="A14" s="393"/>
      <c r="B14" s="2080">
        <v>111</v>
      </c>
      <c r="C14" s="394"/>
      <c r="D14" s="395">
        <v>100</v>
      </c>
      <c r="E14" s="582"/>
      <c r="F14" s="395">
        <f>SUMIF(75:75,E14,76:76)-SUMIF(75:75,C14,76:76)+100</f>
        <v>100</v>
      </c>
      <c r="G14" s="2145"/>
      <c r="H14" s="395">
        <f>SUMIF(75:75,G14,76:76)-SUMIF(75:75,C14,76:76)+100</f>
        <v>100</v>
      </c>
      <c r="I14" s="389"/>
      <c r="J14" s="395">
        <f>SUMIF(75:75,I14,76:76)-SUMIF(75:75,C14,76:76)+100</f>
        <v>100</v>
      </c>
      <c r="K14" s="568"/>
      <c r="L14" s="2950"/>
      <c r="M14" s="2944"/>
      <c r="N14" s="2944"/>
      <c r="O14" s="2944"/>
      <c r="P14" s="3323"/>
      <c r="Q14" s="1526">
        <f t="shared" si="6"/>
        <v>111</v>
      </c>
      <c r="R14" s="707" t="s">
        <v>17</v>
      </c>
      <c r="S14" s="708">
        <f t="shared" si="0"/>
        <v>100</v>
      </c>
      <c r="T14" s="707" t="s">
        <v>17</v>
      </c>
      <c r="U14" s="708">
        <f t="shared" si="1"/>
        <v>100</v>
      </c>
      <c r="V14" s="707" t="s">
        <v>17</v>
      </c>
      <c r="W14" s="708">
        <f t="shared" si="2"/>
        <v>100</v>
      </c>
      <c r="X14" s="709"/>
      <c r="Y14" s="3280"/>
      <c r="Z14" s="55">
        <f t="shared" si="7"/>
        <v>111</v>
      </c>
      <c r="AA14" s="710">
        <f t="shared" si="3"/>
        <v>1</v>
      </c>
      <c r="AB14" s="710">
        <f t="shared" si="4"/>
        <v>1</v>
      </c>
      <c r="AC14" s="2144">
        <f t="shared" si="5"/>
        <v>1</v>
      </c>
    </row>
    <row r="15" spans="1:29" ht="71.25">
      <c r="A15" s="397" t="s">
        <v>2381</v>
      </c>
      <c r="B15" s="583" t="s">
        <v>2509</v>
      </c>
      <c r="C15" s="214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50"/>
      <c r="M15" s="2944"/>
      <c r="N15" s="2944"/>
      <c r="O15" s="2944"/>
      <c r="P15" s="3337" t="s">
        <v>2382</v>
      </c>
      <c r="Q15" s="1535" t="str">
        <f t="shared" si="6"/>
        <v>办公集聚程度</v>
      </c>
      <c r="R15" s="711" t="s">
        <v>17</v>
      </c>
      <c r="S15" s="712">
        <f t="shared" si="0"/>
        <v>100</v>
      </c>
      <c r="T15" s="711" t="s">
        <v>17</v>
      </c>
      <c r="U15" s="712">
        <f t="shared" si="1"/>
        <v>100</v>
      </c>
      <c r="V15" s="711" t="s">
        <v>17</v>
      </c>
      <c r="W15" s="712">
        <f t="shared" si="2"/>
        <v>100</v>
      </c>
      <c r="X15" s="1538"/>
      <c r="Y15" s="3339" t="s">
        <v>2382</v>
      </c>
      <c r="Z15" s="1539" t="str">
        <f t="shared" si="7"/>
        <v>办公集聚程度</v>
      </c>
      <c r="AA15" s="1536">
        <f t="shared" si="3"/>
        <v>1</v>
      </c>
      <c r="AB15" s="1536">
        <f t="shared" si="4"/>
        <v>1</v>
      </c>
      <c r="AC15" s="2147">
        <f t="shared" si="5"/>
        <v>1</v>
      </c>
    </row>
    <row r="16" spans="1:29" ht="15">
      <c r="A16" s="385"/>
      <c r="B16" s="584"/>
      <c r="C16" s="2089"/>
      <c r="D16" s="405"/>
      <c r="E16" s="404"/>
      <c r="F16" s="405"/>
      <c r="G16" s="2089"/>
      <c r="H16" s="407"/>
      <c r="I16" s="404"/>
      <c r="J16" s="405"/>
      <c r="K16" s="570"/>
      <c r="L16" s="2950"/>
      <c r="M16" s="2944"/>
      <c r="N16" s="2944"/>
      <c r="O16" s="2944"/>
      <c r="P16" s="3338"/>
      <c r="Q16" s="1535"/>
      <c r="R16" s="711"/>
      <c r="S16" s="712"/>
      <c r="T16" s="711"/>
      <c r="U16" s="712"/>
      <c r="V16" s="711"/>
      <c r="W16" s="712"/>
      <c r="X16" s="1538"/>
      <c r="Y16" s="3340"/>
      <c r="Z16" s="1539"/>
      <c r="AA16" s="1536">
        <v>1</v>
      </c>
      <c r="AB16" s="1536">
        <v>1</v>
      </c>
      <c r="AC16" s="2147">
        <v>1</v>
      </c>
    </row>
    <row r="17" spans="1:29" ht="71.25">
      <c r="A17" s="385"/>
      <c r="B17" s="585" t="s">
        <v>1946</v>
      </c>
      <c r="C17" s="214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50"/>
      <c r="M17" s="2944"/>
      <c r="N17" s="2944"/>
      <c r="O17" s="2944"/>
      <c r="P17" s="3338"/>
      <c r="Q17" s="1535" t="str">
        <f>B17</f>
        <v>交通便捷度</v>
      </c>
      <c r="R17" s="711" t="s">
        <v>17</v>
      </c>
      <c r="S17" s="712">
        <f>F17</f>
        <v>100</v>
      </c>
      <c r="T17" s="711" t="s">
        <v>17</v>
      </c>
      <c r="U17" s="712">
        <f>H17</f>
        <v>100</v>
      </c>
      <c r="V17" s="711" t="s">
        <v>17</v>
      </c>
      <c r="W17" s="712">
        <f>J17</f>
        <v>100</v>
      </c>
      <c r="X17" s="1538"/>
      <c r="Y17" s="3340"/>
      <c r="Z17" s="1539" t="str">
        <f>Q17</f>
        <v>交通便捷度</v>
      </c>
      <c r="AA17" s="1536">
        <f t="shared" si="3"/>
        <v>1</v>
      </c>
      <c r="AB17" s="1536">
        <f t="shared" si="4"/>
        <v>1</v>
      </c>
      <c r="AC17" s="2147">
        <f t="shared" si="5"/>
        <v>1</v>
      </c>
    </row>
    <row r="18" spans="1:29" ht="15">
      <c r="A18" s="385"/>
      <c r="B18" s="586"/>
      <c r="C18" s="2149"/>
      <c r="D18" s="407"/>
      <c r="E18" s="2087"/>
      <c r="F18" s="407"/>
      <c r="G18" s="2088"/>
      <c r="H18" s="405"/>
      <c r="I18" s="2088"/>
      <c r="J18" s="405"/>
      <c r="K18" s="570"/>
      <c r="L18" s="2950"/>
      <c r="M18" s="2944"/>
      <c r="N18" s="2944"/>
      <c r="O18" s="2944"/>
      <c r="P18" s="3338"/>
      <c r="Q18" s="1535"/>
      <c r="R18" s="711"/>
      <c r="S18" s="712"/>
      <c r="T18" s="711"/>
      <c r="U18" s="712"/>
      <c r="V18" s="711"/>
      <c r="W18" s="712"/>
      <c r="X18" s="1538"/>
      <c r="Y18" s="3340"/>
      <c r="Z18" s="1539"/>
      <c r="AA18" s="1536">
        <v>1</v>
      </c>
      <c r="AB18" s="1536">
        <v>1</v>
      </c>
      <c r="AC18" s="2147">
        <v>1</v>
      </c>
    </row>
    <row r="19" spans="1:29" ht="42.75">
      <c r="A19" s="385"/>
      <c r="B19" s="585" t="s">
        <v>2510</v>
      </c>
      <c r="C19" s="214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50"/>
      <c r="M19" s="2944"/>
      <c r="N19" s="2944"/>
      <c r="O19" s="2944"/>
      <c r="P19" s="3338"/>
      <c r="Q19" s="1535" t="str">
        <f>B19</f>
        <v>公共配套设施</v>
      </c>
      <c r="R19" s="711" t="s">
        <v>17</v>
      </c>
      <c r="S19" s="712">
        <f>F19</f>
        <v>100</v>
      </c>
      <c r="T19" s="711" t="s">
        <v>17</v>
      </c>
      <c r="U19" s="712">
        <f>H19</f>
        <v>100</v>
      </c>
      <c r="V19" s="711" t="s">
        <v>17</v>
      </c>
      <c r="W19" s="712">
        <f>J19</f>
        <v>100</v>
      </c>
      <c r="X19" s="1538"/>
      <c r="Y19" s="3340"/>
      <c r="Z19" s="1539" t="str">
        <f>Q19</f>
        <v>公共配套设施</v>
      </c>
      <c r="AA19" s="1536">
        <f t="shared" si="3"/>
        <v>1</v>
      </c>
      <c r="AB19" s="1536">
        <f t="shared" si="4"/>
        <v>1</v>
      </c>
      <c r="AC19" s="2147">
        <f t="shared" si="5"/>
        <v>1</v>
      </c>
    </row>
    <row r="20" spans="1:29" ht="15">
      <c r="A20" s="385"/>
      <c r="B20" s="586"/>
      <c r="C20" s="2089"/>
      <c r="D20" s="405"/>
      <c r="E20" s="2082"/>
      <c r="F20" s="405"/>
      <c r="G20" s="2083"/>
      <c r="H20" s="405"/>
      <c r="I20" s="2083"/>
      <c r="J20" s="405"/>
      <c r="K20" s="570"/>
      <c r="L20" s="2950"/>
      <c r="M20" s="2944"/>
      <c r="N20" s="2944"/>
      <c r="O20" s="2944"/>
      <c r="P20" s="3338"/>
      <c r="Q20" s="1535"/>
      <c r="R20" s="711"/>
      <c r="S20" s="712"/>
      <c r="T20" s="711"/>
      <c r="U20" s="712"/>
      <c r="V20" s="711"/>
      <c r="W20" s="712"/>
      <c r="X20" s="1538"/>
      <c r="Y20" s="3340"/>
      <c r="Z20" s="1539"/>
      <c r="AA20" s="1536">
        <v>1</v>
      </c>
      <c r="AB20" s="1536">
        <v>1</v>
      </c>
      <c r="AC20" s="2147">
        <v>1</v>
      </c>
    </row>
    <row r="21" spans="1:29" ht="28.5">
      <c r="A21" s="385"/>
      <c r="B21" s="587" t="s">
        <v>2511</v>
      </c>
      <c r="C21" s="214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50"/>
      <c r="M21" s="2944"/>
      <c r="N21" s="2944"/>
      <c r="O21" s="2944"/>
      <c r="P21" s="3338"/>
      <c r="Q21" s="1535" t="str">
        <f>B21</f>
        <v>基础设施水平</v>
      </c>
      <c r="R21" s="711" t="s">
        <v>17</v>
      </c>
      <c r="S21" s="712">
        <f>F21</f>
        <v>100</v>
      </c>
      <c r="T21" s="711" t="s">
        <v>17</v>
      </c>
      <c r="U21" s="712">
        <f>H21</f>
        <v>100</v>
      </c>
      <c r="V21" s="711" t="s">
        <v>17</v>
      </c>
      <c r="W21" s="712">
        <f>J21</f>
        <v>100</v>
      </c>
      <c r="X21" s="1538"/>
      <c r="Y21" s="3340"/>
      <c r="Z21" s="1539" t="str">
        <f>Q21</f>
        <v>基础设施水平</v>
      </c>
      <c r="AA21" s="1536">
        <f t="shared" ref="AA21" si="8">D21/F21</f>
        <v>1</v>
      </c>
      <c r="AB21" s="1536">
        <f t="shared" ref="AB21" si="9">D21/H21</f>
        <v>1</v>
      </c>
      <c r="AC21" s="2147">
        <f t="shared" ref="AC21" si="10">D21/J21</f>
        <v>1</v>
      </c>
    </row>
    <row r="22" spans="1:29" ht="15">
      <c r="A22" s="385"/>
      <c r="B22" s="587"/>
      <c r="C22" s="2149"/>
      <c r="D22" s="405"/>
      <c r="E22" s="404"/>
      <c r="F22" s="405"/>
      <c r="G22" s="2089"/>
      <c r="H22" s="405"/>
      <c r="I22" s="2089"/>
      <c r="J22" s="405"/>
      <c r="K22" s="1289"/>
      <c r="L22" s="2950"/>
      <c r="M22" s="2944"/>
      <c r="N22" s="2944"/>
      <c r="O22" s="2944"/>
      <c r="P22" s="3338"/>
      <c r="Q22" s="1535"/>
      <c r="R22" s="711"/>
      <c r="S22" s="712"/>
      <c r="T22" s="711"/>
      <c r="U22" s="712"/>
      <c r="V22" s="711"/>
      <c r="W22" s="712"/>
      <c r="X22" s="1538"/>
      <c r="Y22" s="3340"/>
      <c r="Z22" s="1539"/>
      <c r="AA22" s="1536">
        <v>1</v>
      </c>
      <c r="AB22" s="1536">
        <v>1</v>
      </c>
      <c r="AC22" s="2147">
        <v>1</v>
      </c>
    </row>
    <row r="23" spans="1:29" ht="42.75">
      <c r="A23" s="385"/>
      <c r="B23" s="585" t="s">
        <v>2512</v>
      </c>
      <c r="C23" s="214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50"/>
      <c r="M23" s="2944"/>
      <c r="N23" s="2944"/>
      <c r="O23" s="2944"/>
      <c r="P23" s="3338"/>
      <c r="Q23" s="1535" t="str">
        <f>B23</f>
        <v>环境质量</v>
      </c>
      <c r="R23" s="711" t="s">
        <v>17</v>
      </c>
      <c r="S23" s="712">
        <f>F23</f>
        <v>100</v>
      </c>
      <c r="T23" s="711" t="s">
        <v>17</v>
      </c>
      <c r="U23" s="712">
        <f>H23</f>
        <v>100</v>
      </c>
      <c r="V23" s="711" t="s">
        <v>17</v>
      </c>
      <c r="W23" s="712">
        <f>J23</f>
        <v>100</v>
      </c>
      <c r="X23" s="1538"/>
      <c r="Y23" s="3340"/>
      <c r="Z23" s="1539" t="str">
        <f>Q23</f>
        <v>环境质量</v>
      </c>
      <c r="AA23" s="1536">
        <f t="shared" si="3"/>
        <v>1</v>
      </c>
      <c r="AB23" s="1536">
        <f t="shared" si="4"/>
        <v>1</v>
      </c>
      <c r="AC23" s="2147">
        <f t="shared" si="5"/>
        <v>1</v>
      </c>
    </row>
    <row r="24" spans="1:29" ht="15">
      <c r="A24" s="385"/>
      <c r="B24" s="587"/>
      <c r="C24" s="2089"/>
      <c r="D24" s="405"/>
      <c r="E24" s="2082"/>
      <c r="F24" s="405"/>
      <c r="G24" s="2083"/>
      <c r="H24" s="405"/>
      <c r="I24" s="2083"/>
      <c r="J24" s="405"/>
      <c r="K24" s="570"/>
      <c r="L24" s="2950"/>
      <c r="M24" s="2944"/>
      <c r="N24" s="2944"/>
      <c r="O24" s="2944"/>
      <c r="P24" s="3338"/>
      <c r="Q24" s="1535"/>
      <c r="R24" s="711"/>
      <c r="S24" s="712"/>
      <c r="T24" s="711"/>
      <c r="U24" s="712"/>
      <c r="V24" s="711"/>
      <c r="W24" s="712"/>
      <c r="X24" s="1538"/>
      <c r="Y24" s="3340"/>
      <c r="Z24" s="1539"/>
      <c r="AA24" s="1536">
        <v>1</v>
      </c>
      <c r="AB24" s="1536">
        <v>1</v>
      </c>
      <c r="AC24" s="2147">
        <v>1</v>
      </c>
    </row>
    <row r="25" spans="1:29" ht="27">
      <c r="A25" s="362"/>
      <c r="B25" s="585" t="s">
        <v>2513</v>
      </c>
      <c r="C25" s="2093"/>
      <c r="D25" s="392">
        <v>100</v>
      </c>
      <c r="E25" s="391"/>
      <c r="F25" s="392">
        <f>SUMIF(87:87,E26,88:88)-SUMIF(87:87,C26,88:88)+100</f>
        <v>100</v>
      </c>
      <c r="G25" s="2093"/>
      <c r="H25" s="392">
        <f>SUMIF(87:87,G26,88:88)-SUMIF(87:87,C26,88:88)+100</f>
        <v>100</v>
      </c>
      <c r="I25" s="391"/>
      <c r="J25" s="392">
        <f>SUMIF(87:87,I26,88:88)-SUMIF(87:87,C26,88:88)+100</f>
        <v>100</v>
      </c>
      <c r="K25" s="569"/>
      <c r="L25" s="2950"/>
      <c r="M25" s="2944"/>
      <c r="N25" s="2944"/>
      <c r="O25" s="2944"/>
      <c r="P25" s="3338"/>
      <c r="Q25" s="1535" t="str">
        <f>B25</f>
        <v>毗邻道路的类型与等级</v>
      </c>
      <c r="R25" s="711" t="s">
        <v>17</v>
      </c>
      <c r="S25" s="712">
        <f>F25</f>
        <v>100</v>
      </c>
      <c r="T25" s="711" t="s">
        <v>17</v>
      </c>
      <c r="U25" s="712">
        <f>H25</f>
        <v>100</v>
      </c>
      <c r="V25" s="711" t="s">
        <v>17</v>
      </c>
      <c r="W25" s="712">
        <f>J25</f>
        <v>100</v>
      </c>
      <c r="X25" s="1538"/>
      <c r="Y25" s="3340"/>
      <c r="Z25" s="1539" t="str">
        <f>Q25</f>
        <v>毗邻道路的类型与等级</v>
      </c>
      <c r="AA25" s="1536">
        <f t="shared" si="3"/>
        <v>1</v>
      </c>
      <c r="AB25" s="1536">
        <f t="shared" si="4"/>
        <v>1</v>
      </c>
      <c r="AC25" s="2147">
        <f t="shared" si="5"/>
        <v>1</v>
      </c>
    </row>
    <row r="26" spans="1:29" ht="15">
      <c r="A26" s="362"/>
      <c r="B26" s="586"/>
      <c r="C26" s="588"/>
      <c r="D26" s="392"/>
      <c r="E26" s="571"/>
      <c r="F26" s="392"/>
      <c r="G26" s="588"/>
      <c r="H26" s="392"/>
      <c r="I26" s="571"/>
      <c r="J26" s="392"/>
      <c r="K26" s="570"/>
      <c r="L26" s="2950"/>
      <c r="M26" s="2944"/>
      <c r="N26" s="2944"/>
      <c r="O26" s="2944"/>
      <c r="P26" s="3338"/>
      <c r="Q26" s="1535"/>
      <c r="R26" s="711"/>
      <c r="S26" s="712"/>
      <c r="T26" s="711"/>
      <c r="U26" s="712"/>
      <c r="V26" s="711"/>
      <c r="W26" s="712"/>
      <c r="X26" s="1538"/>
      <c r="Y26" s="3340"/>
      <c r="Z26" s="1539"/>
      <c r="AA26" s="1536">
        <v>1</v>
      </c>
      <c r="AB26" s="1536">
        <v>1</v>
      </c>
      <c r="AC26" s="2147">
        <v>1</v>
      </c>
    </row>
    <row r="27" spans="1:29" ht="15">
      <c r="A27" s="385"/>
      <c r="B27" s="586" t="s">
        <v>2481</v>
      </c>
      <c r="C27" s="588"/>
      <c r="D27" s="392">
        <v>100</v>
      </c>
      <c r="E27" s="571"/>
      <c r="F27" s="392">
        <f>SUMIF(89:89,E27,90:90)-SUMIF(89:89,C27,90:90)+100</f>
        <v>100</v>
      </c>
      <c r="G27" s="588"/>
      <c r="H27" s="392">
        <f>SUMIF(89:89,G27,90:90)-SUMIF(89:89,C27,90:90)+100</f>
        <v>100</v>
      </c>
      <c r="I27" s="571"/>
      <c r="J27" s="392">
        <f>SUMIF(89:89,I27,90:90)-SUMIF(89:89,C27,90:90)+100</f>
        <v>100</v>
      </c>
      <c r="K27" s="567"/>
      <c r="L27" s="2950"/>
      <c r="M27" s="2944"/>
      <c r="N27" s="2944"/>
      <c r="O27" s="2944"/>
      <c r="P27" s="3338"/>
      <c r="Q27" s="1535" t="str">
        <f t="shared" ref="Q27:Q47" si="11">B27</f>
        <v>楼层</v>
      </c>
      <c r="R27" s="711" t="s">
        <v>17</v>
      </c>
      <c r="S27" s="712">
        <f>F27</f>
        <v>100</v>
      </c>
      <c r="T27" s="711" t="s">
        <v>17</v>
      </c>
      <c r="U27" s="712">
        <f>H27</f>
        <v>100</v>
      </c>
      <c r="V27" s="711" t="s">
        <v>17</v>
      </c>
      <c r="W27" s="712">
        <f>J27</f>
        <v>100</v>
      </c>
      <c r="X27" s="1538"/>
      <c r="Y27" s="3340"/>
      <c r="Z27" s="1539" t="str">
        <f>Q27</f>
        <v>楼层</v>
      </c>
      <c r="AA27" s="1536">
        <f t="shared" si="3"/>
        <v>1</v>
      </c>
      <c r="AB27" s="1536">
        <f t="shared" si="4"/>
        <v>1</v>
      </c>
      <c r="AC27" s="2147">
        <f t="shared" si="5"/>
        <v>1</v>
      </c>
    </row>
    <row r="28" spans="1:29" s="113" customFormat="1" ht="15">
      <c r="A28" s="388"/>
      <c r="B28" s="585" t="s">
        <v>2514</v>
      </c>
      <c r="C28" s="2150"/>
      <c r="D28" s="419">
        <v>100</v>
      </c>
      <c r="E28" s="2141"/>
      <c r="F28" s="419">
        <f>SUMIF(91:91,E28,92:92)-SUMIF(91:91,C28,92:92)+100</f>
        <v>100</v>
      </c>
      <c r="G28" s="2150"/>
      <c r="H28" s="419">
        <f>SUMIF(91:91,G28,92:92)-SUMIF(91:91,C28,92:92)+100</f>
        <v>100</v>
      </c>
      <c r="I28" s="2141"/>
      <c r="J28" s="419">
        <f>SUMIF(91:91,I28,92:92)-SUMIF(91:91,C28,92:92)+100</f>
        <v>100</v>
      </c>
      <c r="K28" s="567"/>
      <c r="L28" s="2945"/>
      <c r="M28" s="2946"/>
      <c r="N28" s="2946"/>
      <c r="O28" s="2946"/>
      <c r="P28" s="3338"/>
      <c r="Q28" s="1526" t="str">
        <f t="shared" si="11"/>
        <v>朝向</v>
      </c>
      <c r="R28" s="707" t="s">
        <v>17</v>
      </c>
      <c r="S28" s="708">
        <f>F28</f>
        <v>100</v>
      </c>
      <c r="T28" s="707" t="s">
        <v>17</v>
      </c>
      <c r="U28" s="708">
        <f>H28</f>
        <v>100</v>
      </c>
      <c r="V28" s="707" t="s">
        <v>17</v>
      </c>
      <c r="W28" s="708">
        <f>J28</f>
        <v>100</v>
      </c>
      <c r="X28" s="709"/>
      <c r="Y28" s="3340"/>
      <c r="Z28" s="55" t="str">
        <f>Q28</f>
        <v>朝向</v>
      </c>
      <c r="AA28" s="1536">
        <f>D28/F28</f>
        <v>1</v>
      </c>
      <c r="AB28" s="1536">
        <f>D28/H28</f>
        <v>1</v>
      </c>
      <c r="AC28" s="2147">
        <f>D28/J28</f>
        <v>1</v>
      </c>
    </row>
    <row r="29" spans="1:29" ht="15">
      <c r="A29" s="385"/>
      <c r="B29" s="2151">
        <v>111</v>
      </c>
      <c r="C29" s="2093"/>
      <c r="D29" s="392">
        <v>100</v>
      </c>
      <c r="E29" s="389"/>
      <c r="F29" s="392">
        <f>SUMIF(93:93,E29,94:94)-SUMIF(93:93,C29,94:94)+100</f>
        <v>100</v>
      </c>
      <c r="G29" s="2145"/>
      <c r="H29" s="392">
        <f>SUMIF(93:93,G29,94:94)-SUMIF(93:93,C29,94:94)+100</f>
        <v>100</v>
      </c>
      <c r="I29" s="389"/>
      <c r="J29" s="392">
        <f>SUMIF(93:93,I29,94:94)-SUMIF(93:93,C29,94:94)+100</f>
        <v>100</v>
      </c>
      <c r="K29" s="568"/>
      <c r="L29" s="2950"/>
      <c r="M29" s="2944"/>
      <c r="N29" s="2944"/>
      <c r="O29" s="2944"/>
      <c r="P29" s="3338"/>
      <c r="Q29" s="1535">
        <f t="shared" si="11"/>
        <v>111</v>
      </c>
      <c r="R29" s="711" t="s">
        <v>17</v>
      </c>
      <c r="S29" s="712">
        <f t="shared" ref="S29:S47" si="12">F29</f>
        <v>100</v>
      </c>
      <c r="T29" s="711" t="s">
        <v>17</v>
      </c>
      <c r="U29" s="712">
        <f t="shared" ref="U29:U47" si="13">H29</f>
        <v>100</v>
      </c>
      <c r="V29" s="711" t="s">
        <v>17</v>
      </c>
      <c r="W29" s="712">
        <f t="shared" ref="W29:W47" si="14">J29</f>
        <v>100</v>
      </c>
      <c r="X29" s="1538"/>
      <c r="Y29" s="3340"/>
      <c r="Z29" s="1539">
        <f t="shared" ref="Z29:Z47" si="15">Q29</f>
        <v>111</v>
      </c>
      <c r="AA29" s="1536">
        <f t="shared" si="3"/>
        <v>1</v>
      </c>
      <c r="AB29" s="1536">
        <f t="shared" si="4"/>
        <v>1</v>
      </c>
      <c r="AC29" s="2147">
        <f t="shared" si="5"/>
        <v>1</v>
      </c>
    </row>
    <row r="30" spans="1:29" ht="15">
      <c r="A30" s="385"/>
      <c r="B30" s="2151">
        <v>111</v>
      </c>
      <c r="C30" s="2093"/>
      <c r="D30" s="392">
        <v>100</v>
      </c>
      <c r="E30" s="389"/>
      <c r="F30" s="392">
        <f>SUMIF(95:95,E30,96:96)-SUMIF(95:95,C30,96:96)+100</f>
        <v>100</v>
      </c>
      <c r="G30" s="2145"/>
      <c r="H30" s="392">
        <f>SUMIF(95:95,G30,96:96)-SUMIF(95:95,C30,96:96)+100</f>
        <v>100</v>
      </c>
      <c r="I30" s="389"/>
      <c r="J30" s="392">
        <f>SUMIF(95:95,I30,96:96)-SUMIF(95:95,C30,96:96)+100</f>
        <v>100</v>
      </c>
      <c r="K30" s="568"/>
      <c r="L30" s="2950"/>
      <c r="M30" s="2944"/>
      <c r="N30" s="2944"/>
      <c r="O30" s="2944"/>
      <c r="P30" s="3338"/>
      <c r="Q30" s="1535">
        <f t="shared" si="11"/>
        <v>111</v>
      </c>
      <c r="R30" s="711" t="s">
        <v>17</v>
      </c>
      <c r="S30" s="712">
        <f t="shared" si="12"/>
        <v>100</v>
      </c>
      <c r="T30" s="711" t="s">
        <v>17</v>
      </c>
      <c r="U30" s="712">
        <f t="shared" si="13"/>
        <v>100</v>
      </c>
      <c r="V30" s="711" t="s">
        <v>17</v>
      </c>
      <c r="W30" s="712">
        <f t="shared" si="14"/>
        <v>100</v>
      </c>
      <c r="X30" s="1538"/>
      <c r="Y30" s="3340"/>
      <c r="Z30" s="1539">
        <f t="shared" si="15"/>
        <v>111</v>
      </c>
      <c r="AA30" s="1536">
        <f t="shared" si="3"/>
        <v>1</v>
      </c>
      <c r="AB30" s="1536">
        <f t="shared" si="4"/>
        <v>1</v>
      </c>
      <c r="AC30" s="2147">
        <f t="shared" si="5"/>
        <v>1</v>
      </c>
    </row>
    <row r="31" spans="1:29" ht="15">
      <c r="A31" s="385"/>
      <c r="B31" s="2151">
        <v>111</v>
      </c>
      <c r="C31" s="2093"/>
      <c r="D31" s="392">
        <v>100</v>
      </c>
      <c r="E31" s="389"/>
      <c r="F31" s="392">
        <f>SUMIF(97:97,E31,98:98)-SUMIF(97:97,C31,98:98)+100</f>
        <v>100</v>
      </c>
      <c r="G31" s="2145"/>
      <c r="H31" s="392">
        <f>SUMIF(97:97,G31,98:98)-SUMIF(97:97,C31,98:98)+100</f>
        <v>100</v>
      </c>
      <c r="I31" s="389"/>
      <c r="J31" s="392">
        <f>SUMIF(97:97,I31,98:98)-SUMIF(97:97,C31,98:98)+100</f>
        <v>100</v>
      </c>
      <c r="K31" s="568"/>
      <c r="L31" s="2950"/>
      <c r="M31" s="2944"/>
      <c r="N31" s="2944"/>
      <c r="O31" s="2944"/>
      <c r="P31" s="3338"/>
      <c r="Q31" s="1535">
        <f t="shared" si="11"/>
        <v>111</v>
      </c>
      <c r="R31" s="711" t="s">
        <v>17</v>
      </c>
      <c r="S31" s="712">
        <f t="shared" si="12"/>
        <v>100</v>
      </c>
      <c r="T31" s="711" t="s">
        <v>17</v>
      </c>
      <c r="U31" s="712">
        <f t="shared" si="13"/>
        <v>100</v>
      </c>
      <c r="V31" s="711" t="s">
        <v>17</v>
      </c>
      <c r="W31" s="712">
        <f t="shared" si="14"/>
        <v>100</v>
      </c>
      <c r="X31" s="1538"/>
      <c r="Y31" s="3340"/>
      <c r="Z31" s="1539">
        <f t="shared" si="15"/>
        <v>111</v>
      </c>
      <c r="AA31" s="1536">
        <f t="shared" si="3"/>
        <v>1</v>
      </c>
      <c r="AB31" s="1536">
        <f t="shared" si="4"/>
        <v>1</v>
      </c>
      <c r="AC31" s="2147">
        <f t="shared" si="5"/>
        <v>1</v>
      </c>
    </row>
    <row r="32" spans="1:29" ht="15.75" thickBot="1">
      <c r="A32" s="393"/>
      <c r="B32" s="589">
        <v>111</v>
      </c>
      <c r="C32" s="2094"/>
      <c r="D32" s="395">
        <v>100</v>
      </c>
      <c r="E32" s="582"/>
      <c r="F32" s="395">
        <f>SUMIF(99:99,E32,100:100)-SUMIF(99:99,C32,100:100)+100</f>
        <v>100</v>
      </c>
      <c r="G32" s="2145"/>
      <c r="H32" s="395">
        <f>SUMIF(99:99,G32,100:100)-SUMIF(99:99,C32,100:100)+100</f>
        <v>100</v>
      </c>
      <c r="I32" s="389"/>
      <c r="J32" s="395">
        <f>SUMIF(99:99,I32,100:100)-SUMIF(99:99,C32,100:100)+100</f>
        <v>100</v>
      </c>
      <c r="K32" s="568"/>
      <c r="L32" s="2950"/>
      <c r="M32" s="2944"/>
      <c r="N32" s="2944"/>
      <c r="O32" s="2944"/>
      <c r="P32" s="3338"/>
      <c r="Q32" s="1535">
        <f t="shared" si="11"/>
        <v>111</v>
      </c>
      <c r="R32" s="711" t="s">
        <v>17</v>
      </c>
      <c r="S32" s="712">
        <f t="shared" si="12"/>
        <v>100</v>
      </c>
      <c r="T32" s="711" t="s">
        <v>17</v>
      </c>
      <c r="U32" s="712">
        <f t="shared" si="13"/>
        <v>100</v>
      </c>
      <c r="V32" s="711" t="s">
        <v>17</v>
      </c>
      <c r="W32" s="712">
        <f t="shared" si="14"/>
        <v>100</v>
      </c>
      <c r="X32" s="1538"/>
      <c r="Y32" s="3340"/>
      <c r="Z32" s="1539">
        <f t="shared" si="15"/>
        <v>111</v>
      </c>
      <c r="AA32" s="1536">
        <f t="shared" si="3"/>
        <v>1</v>
      </c>
      <c r="AB32" s="1536">
        <f t="shared" si="4"/>
        <v>1</v>
      </c>
      <c r="AC32" s="2147">
        <f t="shared" si="5"/>
        <v>1</v>
      </c>
    </row>
    <row r="33" spans="1:29" ht="15">
      <c r="A33" s="397" t="s">
        <v>2385</v>
      </c>
      <c r="B33" s="67" t="s">
        <v>2515</v>
      </c>
      <c r="C33" s="2152"/>
      <c r="D33" s="424">
        <v>100</v>
      </c>
      <c r="E33" s="2152"/>
      <c r="F33" s="418">
        <f>SUMIF(101:101,E33,102:102)-SUMIF(101:101,C33,102:102)+100</f>
        <v>100</v>
      </c>
      <c r="G33" s="2152"/>
      <c r="H33" s="392">
        <f>SUMIF(101:101,G33,102:102)-SUMIF(101:101,C33,102:102)+100</f>
        <v>100</v>
      </c>
      <c r="I33" s="2152"/>
      <c r="J33" s="424">
        <f>SUMIF(101:101,I33,102:102)-SUMIF(101:101,C33,102:102)+100</f>
        <v>100</v>
      </c>
      <c r="K33" s="567"/>
      <c r="L33" s="2950"/>
      <c r="M33" s="2944"/>
      <c r="N33" s="2944"/>
      <c r="O33" s="2944"/>
      <c r="P33" s="3341" t="s">
        <v>2387</v>
      </c>
      <c r="Q33" s="1535" t="str">
        <f t="shared" si="11"/>
        <v>建筑类型</v>
      </c>
      <c r="R33" s="711" t="s">
        <v>17</v>
      </c>
      <c r="S33" s="712">
        <f t="shared" si="12"/>
        <v>100</v>
      </c>
      <c r="T33" s="711" t="s">
        <v>17</v>
      </c>
      <c r="U33" s="712">
        <f t="shared" si="13"/>
        <v>100</v>
      </c>
      <c r="V33" s="711" t="s">
        <v>17</v>
      </c>
      <c r="W33" s="712">
        <f t="shared" si="14"/>
        <v>100</v>
      </c>
      <c r="X33" s="1538"/>
      <c r="Y33" s="3344" t="s">
        <v>2387</v>
      </c>
      <c r="Z33" s="1539" t="str">
        <f t="shared" si="15"/>
        <v>建筑类型</v>
      </c>
      <c r="AA33" s="1536">
        <f t="shared" si="3"/>
        <v>1</v>
      </c>
      <c r="AB33" s="1536">
        <f t="shared" si="4"/>
        <v>1</v>
      </c>
      <c r="AC33" s="2147">
        <f t="shared" si="5"/>
        <v>1</v>
      </c>
    </row>
    <row r="34" spans="1:29" s="428" customFormat="1" ht="15">
      <c r="A34" s="425"/>
      <c r="B34" s="379" t="s">
        <v>2388</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9"/>
      <c r="M34" s="2951"/>
      <c r="N34" s="2951"/>
      <c r="O34" s="2951"/>
      <c r="P34" s="3342"/>
      <c r="Q34" s="713" t="str">
        <f t="shared" si="11"/>
        <v>项目建筑规模</v>
      </c>
      <c r="R34" s="714" t="s">
        <v>17</v>
      </c>
      <c r="S34" s="715" t="e">
        <f t="shared" si="12"/>
        <v>#N/A</v>
      </c>
      <c r="T34" s="714" t="s">
        <v>17</v>
      </c>
      <c r="U34" s="715" t="e">
        <f t="shared" si="13"/>
        <v>#N/A</v>
      </c>
      <c r="V34" s="714" t="s">
        <v>17</v>
      </c>
      <c r="W34" s="715" t="e">
        <f t="shared" si="14"/>
        <v>#N/A</v>
      </c>
      <c r="X34" s="716"/>
      <c r="Y34" s="3344"/>
      <c r="Z34" s="717" t="str">
        <f t="shared" si="15"/>
        <v>项目建筑规模</v>
      </c>
      <c r="AA34" s="1536" t="e">
        <f t="shared" si="3"/>
        <v>#N/A</v>
      </c>
      <c r="AB34" s="1536" t="e">
        <f t="shared" si="4"/>
        <v>#N/A</v>
      </c>
      <c r="AC34" s="2147" t="e">
        <f t="shared" si="5"/>
        <v>#N/A</v>
      </c>
    </row>
    <row r="35" spans="1:29" ht="15">
      <c r="A35" s="429"/>
      <c r="B35" s="379" t="s">
        <v>2389</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50"/>
      <c r="M35" s="2944"/>
      <c r="N35" s="2944"/>
      <c r="O35" s="2944"/>
      <c r="P35" s="3342"/>
      <c r="Q35" s="1535" t="str">
        <f t="shared" si="11"/>
        <v>建筑结构</v>
      </c>
      <c r="R35" s="711" t="s">
        <v>17</v>
      </c>
      <c r="S35" s="712">
        <f t="shared" si="12"/>
        <v>100</v>
      </c>
      <c r="T35" s="711" t="s">
        <v>17</v>
      </c>
      <c r="U35" s="712">
        <f t="shared" si="13"/>
        <v>100</v>
      </c>
      <c r="V35" s="711" t="s">
        <v>17</v>
      </c>
      <c r="W35" s="712">
        <f t="shared" si="14"/>
        <v>100</v>
      </c>
      <c r="X35" s="1538"/>
      <c r="Y35" s="3344"/>
      <c r="Z35" s="1539" t="str">
        <f t="shared" si="15"/>
        <v>建筑结构</v>
      </c>
      <c r="AA35" s="1536">
        <f t="shared" si="3"/>
        <v>1</v>
      </c>
      <c r="AB35" s="1536">
        <f t="shared" si="4"/>
        <v>1</v>
      </c>
      <c r="AC35" s="2147">
        <f t="shared" si="5"/>
        <v>1</v>
      </c>
    </row>
    <row r="36" spans="1:29" ht="15">
      <c r="A36" s="429"/>
      <c r="B36" s="379" t="s">
        <v>2483</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50"/>
      <c r="M36" s="2944"/>
      <c r="N36" s="2944"/>
      <c r="O36" s="2944"/>
      <c r="P36" s="3342"/>
      <c r="Q36" s="1535" t="str">
        <f t="shared" si="11"/>
        <v>公共部分装修</v>
      </c>
      <c r="R36" s="711" t="s">
        <v>17</v>
      </c>
      <c r="S36" s="712">
        <f t="shared" si="12"/>
        <v>100</v>
      </c>
      <c r="T36" s="711" t="s">
        <v>17</v>
      </c>
      <c r="U36" s="712">
        <f t="shared" si="13"/>
        <v>100</v>
      </c>
      <c r="V36" s="711" t="s">
        <v>17</v>
      </c>
      <c r="W36" s="712">
        <f t="shared" si="14"/>
        <v>100</v>
      </c>
      <c r="X36" s="1538"/>
      <c r="Y36" s="3344"/>
      <c r="Z36" s="1539" t="str">
        <f t="shared" si="15"/>
        <v>公共部分装修</v>
      </c>
      <c r="AA36" s="1536">
        <f t="shared" si="3"/>
        <v>1</v>
      </c>
      <c r="AB36" s="1536">
        <f t="shared" si="4"/>
        <v>1</v>
      </c>
      <c r="AC36" s="2147">
        <f t="shared" si="5"/>
        <v>1</v>
      </c>
    </row>
    <row r="37" spans="1:29" ht="15">
      <c r="A37" s="429"/>
      <c r="B37" s="379" t="s">
        <v>2484</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50"/>
      <c r="M37" s="2944"/>
      <c r="N37" s="2944"/>
      <c r="O37" s="2944"/>
      <c r="P37" s="3342"/>
      <c r="Q37" s="1535" t="str">
        <f t="shared" si="11"/>
        <v>成新度</v>
      </c>
      <c r="R37" s="711" t="s">
        <v>17</v>
      </c>
      <c r="S37" s="712" t="e">
        <f t="shared" si="12"/>
        <v>#N/A</v>
      </c>
      <c r="T37" s="711" t="s">
        <v>17</v>
      </c>
      <c r="U37" s="712" t="e">
        <f t="shared" si="13"/>
        <v>#N/A</v>
      </c>
      <c r="V37" s="711" t="s">
        <v>17</v>
      </c>
      <c r="W37" s="712" t="e">
        <f t="shared" si="14"/>
        <v>#N/A</v>
      </c>
      <c r="X37" s="1538"/>
      <c r="Y37" s="3344"/>
      <c r="Z37" s="1539" t="str">
        <f t="shared" si="15"/>
        <v>成新度</v>
      </c>
      <c r="AA37" s="1536" t="e">
        <f t="shared" si="3"/>
        <v>#N/A</v>
      </c>
      <c r="AB37" s="1536" t="e">
        <f t="shared" si="4"/>
        <v>#N/A</v>
      </c>
      <c r="AC37" s="2147" t="e">
        <f t="shared" si="5"/>
        <v>#N/A</v>
      </c>
    </row>
    <row r="38" spans="1:29" s="113" customFormat="1" ht="15">
      <c r="A38" s="430"/>
      <c r="B38" s="379" t="s">
        <v>2516</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5"/>
      <c r="M38" s="2946"/>
      <c r="N38" s="2946"/>
      <c r="O38" s="2946"/>
      <c r="P38" s="3342"/>
      <c r="Q38" s="1526" t="str">
        <f t="shared" si="11"/>
        <v>写字楼等级</v>
      </c>
      <c r="R38" s="707" t="s">
        <v>17</v>
      </c>
      <c r="S38" s="708">
        <f t="shared" si="12"/>
        <v>100</v>
      </c>
      <c r="T38" s="707" t="s">
        <v>17</v>
      </c>
      <c r="U38" s="708">
        <f t="shared" si="13"/>
        <v>100</v>
      </c>
      <c r="V38" s="707" t="s">
        <v>17</v>
      </c>
      <c r="W38" s="708">
        <f t="shared" si="14"/>
        <v>100</v>
      </c>
      <c r="X38" s="709"/>
      <c r="Y38" s="3344"/>
      <c r="Z38" s="55" t="str">
        <f t="shared" si="15"/>
        <v>写字楼等级</v>
      </c>
      <c r="AA38" s="710">
        <f t="shared" si="3"/>
        <v>1</v>
      </c>
      <c r="AB38" s="710">
        <f t="shared" si="4"/>
        <v>1</v>
      </c>
      <c r="AC38" s="2144">
        <f t="shared" si="5"/>
        <v>1</v>
      </c>
    </row>
    <row r="39" spans="1:29" ht="15">
      <c r="A39" s="429"/>
      <c r="B39" s="379" t="s">
        <v>2517</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50"/>
      <c r="M39" s="2944"/>
      <c r="N39" s="2944"/>
      <c r="O39" s="2944"/>
      <c r="P39" s="3342" t="s">
        <v>2387</v>
      </c>
      <c r="Q39" s="1535" t="str">
        <f t="shared" si="11"/>
        <v>物业管理</v>
      </c>
      <c r="R39" s="711" t="s">
        <v>17</v>
      </c>
      <c r="S39" s="712">
        <f t="shared" si="12"/>
        <v>100</v>
      </c>
      <c r="T39" s="711" t="s">
        <v>17</v>
      </c>
      <c r="U39" s="712">
        <f t="shared" si="13"/>
        <v>100</v>
      </c>
      <c r="V39" s="711" t="s">
        <v>17</v>
      </c>
      <c r="W39" s="712">
        <f t="shared" si="14"/>
        <v>100</v>
      </c>
      <c r="X39" s="1538"/>
      <c r="Y39" s="3344" t="s">
        <v>2387</v>
      </c>
      <c r="Z39" s="1539" t="str">
        <f t="shared" si="15"/>
        <v>物业管理</v>
      </c>
      <c r="AA39" s="1536">
        <f t="shared" si="3"/>
        <v>1</v>
      </c>
      <c r="AB39" s="1536">
        <f t="shared" si="4"/>
        <v>1</v>
      </c>
      <c r="AC39" s="2147">
        <f t="shared" si="5"/>
        <v>1</v>
      </c>
    </row>
    <row r="40" spans="1:29" ht="15">
      <c r="A40" s="429"/>
      <c r="B40" s="379" t="s">
        <v>2485</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50"/>
      <c r="M40" s="2944"/>
      <c r="N40" s="2944"/>
      <c r="O40" s="2944"/>
      <c r="P40" s="3342"/>
      <c r="Q40" s="1535" t="str">
        <f t="shared" si="11"/>
        <v>市政基础设施</v>
      </c>
      <c r="R40" s="711" t="s">
        <v>17</v>
      </c>
      <c r="S40" s="712">
        <f t="shared" si="12"/>
        <v>100</v>
      </c>
      <c r="T40" s="711" t="s">
        <v>17</v>
      </c>
      <c r="U40" s="712">
        <f t="shared" si="13"/>
        <v>100</v>
      </c>
      <c r="V40" s="711" t="s">
        <v>17</v>
      </c>
      <c r="W40" s="712">
        <f t="shared" si="14"/>
        <v>100</v>
      </c>
      <c r="X40" s="1538"/>
      <c r="Y40" s="3344"/>
      <c r="Z40" s="1539" t="str">
        <f t="shared" si="15"/>
        <v>市政基础设施</v>
      </c>
      <c r="AA40" s="1536">
        <f t="shared" si="3"/>
        <v>1</v>
      </c>
      <c r="AB40" s="1536">
        <f t="shared" si="4"/>
        <v>1</v>
      </c>
      <c r="AC40" s="2147">
        <f t="shared" si="5"/>
        <v>1</v>
      </c>
    </row>
    <row r="41" spans="1:29" ht="15">
      <c r="A41" s="429"/>
      <c r="B41" s="379" t="s">
        <v>2487</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50"/>
      <c r="M41" s="2944"/>
      <c r="N41" s="2944"/>
      <c r="O41" s="2944"/>
      <c r="P41" s="3342"/>
      <c r="Q41" s="1535" t="str">
        <f t="shared" si="11"/>
        <v>层高</v>
      </c>
      <c r="R41" s="711" t="s">
        <v>17</v>
      </c>
      <c r="S41" s="712">
        <f t="shared" si="12"/>
        <v>100</v>
      </c>
      <c r="T41" s="711" t="s">
        <v>17</v>
      </c>
      <c r="U41" s="712">
        <f t="shared" si="13"/>
        <v>100</v>
      </c>
      <c r="V41" s="711" t="s">
        <v>17</v>
      </c>
      <c r="W41" s="712">
        <f t="shared" si="14"/>
        <v>100</v>
      </c>
      <c r="X41" s="1538"/>
      <c r="Y41" s="3344"/>
      <c r="Z41" s="1539" t="str">
        <f t="shared" si="15"/>
        <v>层高</v>
      </c>
      <c r="AA41" s="1536">
        <f t="shared" si="3"/>
        <v>1</v>
      </c>
      <c r="AB41" s="1536">
        <f t="shared" si="4"/>
        <v>1</v>
      </c>
      <c r="AC41" s="2147">
        <f t="shared" si="5"/>
        <v>1</v>
      </c>
    </row>
    <row r="42" spans="1:29" s="428" customFormat="1" ht="15">
      <c r="A42" s="425"/>
      <c r="B42" s="1537" t="s">
        <v>2518</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9"/>
      <c r="M42" s="2951"/>
      <c r="N42" s="2951"/>
      <c r="O42" s="2951"/>
      <c r="P42" s="3342"/>
      <c r="Q42" s="713" t="str">
        <f t="shared" si="11"/>
        <v>单套建筑面积</v>
      </c>
      <c r="R42" s="714" t="s">
        <v>17</v>
      </c>
      <c r="S42" s="715">
        <f t="shared" si="12"/>
        <v>100</v>
      </c>
      <c r="T42" s="714" t="s">
        <v>17</v>
      </c>
      <c r="U42" s="715">
        <f t="shared" si="13"/>
        <v>100</v>
      </c>
      <c r="V42" s="714" t="s">
        <v>17</v>
      </c>
      <c r="W42" s="715">
        <f t="shared" si="14"/>
        <v>100</v>
      </c>
      <c r="X42" s="716"/>
      <c r="Y42" s="3344"/>
      <c r="Z42" s="717" t="str">
        <f t="shared" si="15"/>
        <v>单套建筑面积</v>
      </c>
      <c r="AA42" s="1536">
        <f t="shared" si="3"/>
        <v>1</v>
      </c>
      <c r="AB42" s="1536">
        <f t="shared" si="4"/>
        <v>1</v>
      </c>
      <c r="AC42" s="2147">
        <f t="shared" si="5"/>
        <v>1</v>
      </c>
    </row>
    <row r="43" spans="1:29" ht="15">
      <c r="A43" s="429"/>
      <c r="B43" s="379" t="s">
        <v>2490</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50"/>
      <c r="M43" s="2944"/>
      <c r="N43" s="2944"/>
      <c r="O43" s="2944"/>
      <c r="P43" s="3342"/>
      <c r="Q43" s="1535" t="str">
        <f t="shared" si="11"/>
        <v>内部装修</v>
      </c>
      <c r="R43" s="711" t="s">
        <v>17</v>
      </c>
      <c r="S43" s="712">
        <f t="shared" si="12"/>
        <v>100</v>
      </c>
      <c r="T43" s="711" t="s">
        <v>17</v>
      </c>
      <c r="U43" s="712">
        <f t="shared" si="13"/>
        <v>100</v>
      </c>
      <c r="V43" s="711" t="s">
        <v>17</v>
      </c>
      <c r="W43" s="712">
        <f t="shared" si="14"/>
        <v>100</v>
      </c>
      <c r="X43" s="1538"/>
      <c r="Y43" s="3344"/>
      <c r="Z43" s="1539" t="str">
        <f t="shared" si="15"/>
        <v>内部装修</v>
      </c>
      <c r="AA43" s="1536">
        <f t="shared" si="3"/>
        <v>1</v>
      </c>
      <c r="AB43" s="1536">
        <f t="shared" si="4"/>
        <v>1</v>
      </c>
      <c r="AC43" s="2147">
        <f t="shared" si="5"/>
        <v>1</v>
      </c>
    </row>
    <row r="44" spans="1:29" ht="15">
      <c r="A44" s="429"/>
      <c r="B44" s="379" t="s">
        <v>2398</v>
      </c>
      <c r="C44" s="417"/>
      <c r="D44" s="392">
        <v>100</v>
      </c>
      <c r="E44" s="2091"/>
      <c r="F44" s="418">
        <f>SUMIF(125:125,E44,126:126)-SUMIF(125:125,C44,126:126)+100</f>
        <v>100</v>
      </c>
      <c r="G44" s="2091"/>
      <c r="H44" s="392">
        <f>SUMIF(125:125,G44,126:126)-SUMIF(125:125,C44,126:126)+100</f>
        <v>100</v>
      </c>
      <c r="I44" s="2091"/>
      <c r="J44" s="392">
        <f>SUMIF(125:125,I44,126:126)-SUMIF(125:125,C44,126:126)+100</f>
        <v>100</v>
      </c>
      <c r="K44" s="567"/>
      <c r="L44" s="2950"/>
      <c r="M44" s="2944"/>
      <c r="N44" s="2944"/>
      <c r="O44" s="2944"/>
      <c r="P44" s="3342"/>
      <c r="Q44" s="1535" t="str">
        <f t="shared" si="11"/>
        <v>内部装修维护情况</v>
      </c>
      <c r="R44" s="711" t="s">
        <v>17</v>
      </c>
      <c r="S44" s="712">
        <f t="shared" si="12"/>
        <v>100</v>
      </c>
      <c r="T44" s="711" t="s">
        <v>17</v>
      </c>
      <c r="U44" s="712">
        <f t="shared" si="13"/>
        <v>100</v>
      </c>
      <c r="V44" s="711" t="s">
        <v>17</v>
      </c>
      <c r="W44" s="712">
        <f t="shared" si="14"/>
        <v>100</v>
      </c>
      <c r="X44" s="1538"/>
      <c r="Y44" s="3344"/>
      <c r="Z44" s="1539" t="str">
        <f t="shared" si="15"/>
        <v>内部装修维护情况</v>
      </c>
      <c r="AA44" s="1536">
        <f t="shared" si="3"/>
        <v>1</v>
      </c>
      <c r="AB44" s="1536">
        <f t="shared" si="4"/>
        <v>1</v>
      </c>
      <c r="AC44" s="2147">
        <f t="shared" si="5"/>
        <v>1</v>
      </c>
    </row>
    <row r="45" spans="1:29" s="113" customFormat="1" ht="15">
      <c r="A45" s="430"/>
      <c r="B45" s="129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5"/>
      <c r="M45" s="2946"/>
      <c r="N45" s="2946"/>
      <c r="O45" s="2946"/>
      <c r="P45" s="3342"/>
      <c r="Q45" s="1526">
        <f t="shared" si="11"/>
        <v>111</v>
      </c>
      <c r="R45" s="707" t="s">
        <v>17</v>
      </c>
      <c r="S45" s="708">
        <f t="shared" si="12"/>
        <v>100</v>
      </c>
      <c r="T45" s="707" t="s">
        <v>17</v>
      </c>
      <c r="U45" s="708">
        <f t="shared" si="13"/>
        <v>100</v>
      </c>
      <c r="V45" s="707" t="s">
        <v>17</v>
      </c>
      <c r="W45" s="708">
        <f t="shared" si="14"/>
        <v>100</v>
      </c>
      <c r="X45" s="709"/>
      <c r="Y45" s="3344"/>
      <c r="Z45" s="55">
        <f t="shared" si="15"/>
        <v>111</v>
      </c>
      <c r="AA45" s="710">
        <f t="shared" si="3"/>
        <v>1</v>
      </c>
      <c r="AB45" s="710">
        <f t="shared" si="4"/>
        <v>1</v>
      </c>
      <c r="AC45" s="2144">
        <f t="shared" si="5"/>
        <v>1</v>
      </c>
    </row>
    <row r="46" spans="1:29" ht="15">
      <c r="A46" s="429"/>
      <c r="B46" s="129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50"/>
      <c r="M46" s="2944"/>
      <c r="N46" s="2944"/>
      <c r="O46" s="2944"/>
      <c r="P46" s="3342"/>
      <c r="Q46" s="1535">
        <f t="shared" si="11"/>
        <v>111</v>
      </c>
      <c r="R46" s="711" t="s">
        <v>17</v>
      </c>
      <c r="S46" s="712">
        <f t="shared" si="12"/>
        <v>100</v>
      </c>
      <c r="T46" s="711" t="s">
        <v>17</v>
      </c>
      <c r="U46" s="712">
        <f t="shared" si="13"/>
        <v>100</v>
      </c>
      <c r="V46" s="711" t="s">
        <v>17</v>
      </c>
      <c r="W46" s="712">
        <f t="shared" si="14"/>
        <v>100</v>
      </c>
      <c r="X46" s="1538"/>
      <c r="Y46" s="3344"/>
      <c r="Z46" s="1539">
        <f t="shared" si="15"/>
        <v>111</v>
      </c>
      <c r="AA46" s="1536">
        <f t="shared" si="3"/>
        <v>1</v>
      </c>
      <c r="AB46" s="1536">
        <f t="shared" si="4"/>
        <v>1</v>
      </c>
      <c r="AC46" s="2147">
        <f t="shared" si="5"/>
        <v>1</v>
      </c>
    </row>
    <row r="47" spans="1:29" ht="15.75" thickBot="1">
      <c r="A47" s="435"/>
      <c r="B47" s="2080">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50"/>
      <c r="M47" s="2944"/>
      <c r="N47" s="2944"/>
      <c r="O47" s="2944"/>
      <c r="P47" s="3343"/>
      <c r="Q47" s="1535">
        <f t="shared" si="11"/>
        <v>111</v>
      </c>
      <c r="R47" s="711" t="s">
        <v>17</v>
      </c>
      <c r="S47" s="712">
        <f t="shared" si="12"/>
        <v>100</v>
      </c>
      <c r="T47" s="711" t="s">
        <v>17</v>
      </c>
      <c r="U47" s="712">
        <f t="shared" si="13"/>
        <v>100</v>
      </c>
      <c r="V47" s="711" t="s">
        <v>17</v>
      </c>
      <c r="W47" s="712">
        <f t="shared" si="14"/>
        <v>100</v>
      </c>
      <c r="X47" s="1538"/>
      <c r="Y47" s="3345"/>
      <c r="Z47" s="1539">
        <f t="shared" si="15"/>
        <v>111</v>
      </c>
      <c r="AA47" s="1536">
        <f t="shared" si="3"/>
        <v>1</v>
      </c>
      <c r="AB47" s="1536">
        <f t="shared" si="4"/>
        <v>1</v>
      </c>
      <c r="AC47" s="2147">
        <f t="shared" si="5"/>
        <v>1</v>
      </c>
    </row>
    <row r="48" spans="1:29" ht="15">
      <c r="A48" s="436" t="s">
        <v>2399</v>
      </c>
      <c r="B48" s="437"/>
      <c r="C48" s="1313" t="s">
        <v>1</v>
      </c>
      <c r="D48" s="1314"/>
      <c r="E48" s="1315"/>
      <c r="F48" s="1316"/>
      <c r="G48" s="1317"/>
      <c r="H48" s="1318"/>
      <c r="I48" s="1315"/>
      <c r="J48" s="442"/>
      <c r="K48" s="720"/>
      <c r="L48" s="2952"/>
      <c r="M48" s="2944"/>
      <c r="N48" s="2944"/>
      <c r="O48" s="2944"/>
      <c r="P48" s="3323" t="str">
        <f>A48</f>
        <v>成交单价（元/平方米）</v>
      </c>
      <c r="Q48" s="3346"/>
      <c r="R48" s="3347">
        <f>E48</f>
        <v>0</v>
      </c>
      <c r="S48" s="3347"/>
      <c r="T48" s="3347">
        <f>G48</f>
        <v>0</v>
      </c>
      <c r="U48" s="3347"/>
      <c r="V48" s="3347">
        <f>I48</f>
        <v>0</v>
      </c>
      <c r="W48" s="3347"/>
      <c r="X48" s="403"/>
      <c r="Y48" s="718"/>
      <c r="Z48" s="403"/>
      <c r="AA48" s="403"/>
      <c r="AB48" s="403"/>
      <c r="AC48" s="584"/>
    </row>
    <row r="49" spans="1:29" ht="15.75" thickBot="1">
      <c r="A49" s="443" t="s">
        <v>2491</v>
      </c>
      <c r="B49" s="444"/>
      <c r="C49" s="1319" t="e">
        <f>R50</f>
        <v>#DIV/0!</v>
      </c>
      <c r="D49" s="2537" t="s">
        <v>2881</v>
      </c>
      <c r="E49" s="1320" t="e">
        <f>R49</f>
        <v>#DIV/0!</v>
      </c>
      <c r="F49" s="2538"/>
      <c r="G49" s="1319" t="e">
        <f>T49</f>
        <v>#DIV/0!</v>
      </c>
      <c r="H49" s="2538"/>
      <c r="I49" s="1320" t="e">
        <f>V49</f>
        <v>#DIV/0!</v>
      </c>
      <c r="J49" s="2538"/>
      <c r="K49" s="2540">
        <f>F49+H49+J49</f>
        <v>0</v>
      </c>
      <c r="L49" s="2952"/>
      <c r="M49" s="2944"/>
      <c r="N49" s="2944"/>
      <c r="O49" s="2944"/>
      <c r="P49" s="3323"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03"/>
      <c r="Y49" s="403"/>
      <c r="Z49" s="403"/>
      <c r="AA49" s="403"/>
      <c r="AB49" s="403"/>
      <c r="AC49" s="584"/>
    </row>
    <row r="50" spans="1:29" ht="15.75" thickBot="1">
      <c r="A50" s="447" t="s">
        <v>2492</v>
      </c>
      <c r="B50" s="448"/>
      <c r="C50" s="1322" t="e">
        <f>R50</f>
        <v>#DIV/0!</v>
      </c>
      <c r="D50" s="1322"/>
      <c r="E50" s="1322"/>
      <c r="F50" s="1322"/>
      <c r="G50" s="1322"/>
      <c r="H50" s="1322"/>
      <c r="I50" s="1322"/>
      <c r="J50" s="449"/>
      <c r="K50" s="721"/>
      <c r="L50" s="2952"/>
      <c r="M50" s="2944"/>
      <c r="N50" s="2944"/>
      <c r="O50" s="2944"/>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2" t="s">
        <v>2493</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2" t="s">
        <v>2494</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7" customFormat="1" ht="13.5" customHeight="1">
      <c r="A55" s="2956"/>
      <c r="B55" s="2956"/>
      <c r="C55" s="452" t="s">
        <v>2495</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7"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3" customFormat="1" ht="15">
      <c r="A59" s="460" t="s">
        <v>2370</v>
      </c>
      <c r="B59" s="461"/>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3" customFormat="1" ht="15">
      <c r="A60" s="464"/>
      <c r="B60" s="465"/>
      <c r="C60" s="1342">
        <v>100</v>
      </c>
      <c r="D60" s="467"/>
      <c r="E60" s="467"/>
      <c r="F60" s="467"/>
      <c r="G60" s="467"/>
      <c r="H60" s="467"/>
      <c r="I60" s="467"/>
      <c r="J60" s="467"/>
      <c r="K60" s="467"/>
      <c r="L60" s="467"/>
      <c r="M60" s="468"/>
      <c r="N60" s="467"/>
      <c r="O60" s="468"/>
      <c r="P60" s="2988"/>
      <c r="Q60" s="2887"/>
      <c r="R60" s="2887"/>
      <c r="S60" s="2887"/>
      <c r="T60" s="2887"/>
      <c r="U60" s="2887"/>
      <c r="V60" s="2887"/>
      <c r="W60" s="2887"/>
      <c r="X60" s="2887"/>
      <c r="Y60" s="2887"/>
      <c r="Z60" s="2887"/>
      <c r="AA60" s="2887"/>
      <c r="AB60" s="2887"/>
      <c r="AC60" s="2887"/>
    </row>
    <row r="61" spans="1:29" s="113" customFormat="1" ht="15.75" thickBot="1">
      <c r="A61" s="470" t="s">
        <v>2407</v>
      </c>
      <c r="B61" s="471"/>
      <c r="C61" s="472"/>
      <c r="D61" s="473"/>
      <c r="E61" s="473"/>
      <c r="F61" s="473"/>
      <c r="G61" s="473"/>
      <c r="H61" s="473"/>
      <c r="I61" s="473"/>
      <c r="J61" s="473"/>
      <c r="K61" s="473"/>
      <c r="L61" s="473"/>
      <c r="M61" s="474"/>
      <c r="N61" s="473"/>
      <c r="O61" s="474"/>
      <c r="P61" s="2988"/>
      <c r="Q61" s="2967"/>
      <c r="R61" s="2887"/>
      <c r="S61" s="2887"/>
      <c r="T61" s="2887"/>
      <c r="U61" s="2887"/>
      <c r="V61" s="2887"/>
      <c r="W61" s="2887"/>
      <c r="X61" s="2887"/>
      <c r="Y61" s="2887"/>
      <c r="Z61" s="2887"/>
      <c r="AA61" s="2887"/>
      <c r="AB61" s="2887"/>
      <c r="AC61" s="2887"/>
    </row>
    <row r="62" spans="1:29" s="113" customFormat="1" ht="15">
      <c r="A62" s="476" t="s">
        <v>2372</v>
      </c>
      <c r="B62" s="465"/>
      <c r="C62" s="477" t="s">
        <v>2474</v>
      </c>
      <c r="D62" s="478"/>
      <c r="E62" s="478"/>
      <c r="F62" s="478"/>
      <c r="G62" s="478"/>
      <c r="H62" s="478"/>
      <c r="I62" s="478"/>
      <c r="J62" s="478"/>
      <c r="K62" s="478"/>
      <c r="L62" s="479"/>
      <c r="M62" s="480"/>
      <c r="N62" s="2980"/>
      <c r="O62" s="2980"/>
      <c r="P62" s="2989"/>
      <c r="Q62" s="2967"/>
      <c r="R62" s="2887"/>
      <c r="S62" s="2887"/>
      <c r="T62" s="2887"/>
      <c r="U62" s="2887"/>
      <c r="V62" s="2887"/>
      <c r="W62" s="2887"/>
      <c r="X62" s="2887"/>
      <c r="Y62" s="2887"/>
      <c r="Z62" s="2887"/>
      <c r="AA62" s="2887"/>
      <c r="AB62" s="2887"/>
      <c r="AC62" s="2887"/>
    </row>
    <row r="63" spans="1:29" s="113" customFormat="1" ht="15.75" thickBot="1">
      <c r="A63" s="476"/>
      <c r="B63" s="465"/>
      <c r="C63" s="466">
        <v>100</v>
      </c>
      <c r="D63" s="467"/>
      <c r="E63" s="467"/>
      <c r="F63" s="467"/>
      <c r="G63" s="467"/>
      <c r="H63" s="467"/>
      <c r="I63" s="467"/>
      <c r="J63" s="467"/>
      <c r="K63" s="467"/>
      <c r="L63" s="467"/>
      <c r="M63" s="469"/>
      <c r="N63" s="2980"/>
      <c r="O63" s="2980"/>
      <c r="P63" s="2988"/>
      <c r="Q63" s="2967"/>
      <c r="R63" s="2887"/>
      <c r="S63" s="2887"/>
      <c r="T63" s="2887"/>
      <c r="U63" s="2887"/>
      <c r="V63" s="2887"/>
      <c r="W63" s="2887"/>
      <c r="X63" s="2887"/>
      <c r="Y63" s="2887"/>
      <c r="Z63" s="2887"/>
      <c r="AA63" s="2887"/>
      <c r="AB63" s="2887"/>
      <c r="AC63" s="2887"/>
    </row>
    <row r="64" spans="1:29">
      <c r="A64" s="482" t="s">
        <v>2410</v>
      </c>
      <c r="B64" s="483" t="s">
        <v>2376</v>
      </c>
      <c r="C64" s="484">
        <f>C9</f>
        <v>0</v>
      </c>
      <c r="D64" s="485"/>
      <c r="E64" s="485"/>
      <c r="F64" s="485"/>
      <c r="G64" s="485"/>
      <c r="H64" s="485"/>
      <c r="I64" s="485"/>
      <c r="J64" s="485"/>
      <c r="K64" s="486"/>
      <c r="L64" s="487"/>
      <c r="M64" s="488"/>
      <c r="N64" s="2981"/>
      <c r="O64" s="2981"/>
      <c r="P64" s="2990"/>
      <c r="Q64" s="2967"/>
      <c r="R64" s="2953"/>
      <c r="S64" s="2953"/>
      <c r="T64" s="2953"/>
      <c r="U64" s="2953"/>
      <c r="V64" s="2953"/>
      <c r="W64" s="2953"/>
      <c r="X64" s="2953"/>
      <c r="Y64" s="2953"/>
      <c r="Z64" s="2953"/>
      <c r="AA64" s="2953"/>
      <c r="AB64" s="2953"/>
      <c r="AC64" s="2953"/>
    </row>
    <row r="65" spans="1:29" ht="15.75" thickBot="1">
      <c r="A65" s="489"/>
      <c r="B65" s="490"/>
      <c r="C65" s="491">
        <v>100</v>
      </c>
      <c r="D65" s="491"/>
      <c r="E65" s="491"/>
      <c r="F65" s="491"/>
      <c r="G65" s="491"/>
      <c r="H65" s="491"/>
      <c r="I65" s="491"/>
      <c r="J65" s="491"/>
      <c r="K65" s="491"/>
      <c r="L65" s="491"/>
      <c r="M65" s="492"/>
      <c r="N65" s="2982"/>
      <c r="O65" s="2982"/>
      <c r="P65" s="2990"/>
      <c r="Q65" s="2967"/>
      <c r="R65" s="2953"/>
      <c r="S65" s="2953"/>
      <c r="T65" s="2953"/>
      <c r="U65" s="2953"/>
      <c r="V65" s="2953"/>
      <c r="W65" s="2953"/>
      <c r="X65" s="2953"/>
      <c r="Y65" s="2953"/>
      <c r="Z65" s="2953"/>
      <c r="AA65" s="2953"/>
      <c r="AB65" s="2953"/>
      <c r="AC65" s="2953"/>
    </row>
    <row r="66" spans="1:29" ht="27.75" thickTop="1">
      <c r="A66" s="489"/>
      <c r="B66" s="493" t="s">
        <v>2379</v>
      </c>
      <c r="C66" s="494" t="s">
        <v>2411</v>
      </c>
      <c r="D66" s="494" t="s">
        <v>2412</v>
      </c>
      <c r="E66" s="494" t="s">
        <v>2413</v>
      </c>
      <c r="F66" s="494" t="s">
        <v>2414</v>
      </c>
      <c r="G66" s="494" t="s">
        <v>2415</v>
      </c>
      <c r="H66" s="494" t="s">
        <v>2416</v>
      </c>
      <c r="I66" s="494" t="s">
        <v>2417</v>
      </c>
      <c r="J66" s="494"/>
      <c r="K66" s="495"/>
      <c r="L66" s="496"/>
      <c r="M66" s="497"/>
      <c r="N66" s="2981"/>
      <c r="O66" s="2981"/>
      <c r="P66" s="2990"/>
      <c r="Q66" s="2967"/>
      <c r="R66" s="2953"/>
      <c r="S66" s="2953"/>
      <c r="T66" s="2953"/>
      <c r="U66" s="2953"/>
      <c r="V66" s="2953"/>
      <c r="W66" s="2953"/>
      <c r="X66" s="2953"/>
      <c r="Y66" s="2953"/>
      <c r="Z66" s="2953"/>
      <c r="AA66" s="2953"/>
      <c r="AB66" s="2953"/>
      <c r="AC66" s="2953"/>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2"/>
      <c r="O67" s="2982"/>
      <c r="P67" s="2990"/>
      <c r="Q67" s="2967"/>
      <c r="R67" s="2953"/>
      <c r="S67" s="2953"/>
      <c r="T67" s="2953"/>
      <c r="U67" s="2953"/>
      <c r="V67" s="2953"/>
      <c r="W67" s="2953"/>
      <c r="X67" s="2953"/>
      <c r="Y67" s="2953"/>
      <c r="Z67" s="2953"/>
      <c r="AA67" s="2953"/>
      <c r="AB67" s="2953"/>
      <c r="AC67" s="2953"/>
    </row>
    <row r="68" spans="1:29" ht="15.75" thickTop="1">
      <c r="A68" s="489"/>
      <c r="B68" s="501" t="s">
        <v>2380</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9"/>
      <c r="B69" s="503"/>
      <c r="C69" s="504"/>
      <c r="D69" s="504"/>
      <c r="E69" s="504"/>
      <c r="F69" s="504"/>
      <c r="G69" s="504"/>
      <c r="H69" s="504"/>
      <c r="I69" s="504"/>
      <c r="J69" s="504"/>
      <c r="K69" s="505"/>
      <c r="L69" s="506"/>
      <c r="M69" s="507"/>
      <c r="N69" s="2981"/>
      <c r="O69" s="2981"/>
      <c r="P69" s="2990"/>
      <c r="Q69" s="2967"/>
      <c r="R69" s="2953"/>
      <c r="S69" s="2953"/>
      <c r="T69" s="2953"/>
      <c r="U69" s="2953"/>
      <c r="V69" s="2953"/>
      <c r="W69" s="2953"/>
      <c r="X69" s="2953"/>
      <c r="Y69" s="2953"/>
      <c r="Z69" s="2953"/>
      <c r="AA69" s="2953"/>
      <c r="AB69" s="2953"/>
      <c r="AC69" s="2953"/>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2"/>
      <c r="O70" s="2982"/>
      <c r="P70" s="2990"/>
      <c r="Q70" s="2967"/>
      <c r="R70" s="2953"/>
      <c r="S70" s="2953"/>
      <c r="T70" s="2953"/>
      <c r="U70" s="2953"/>
      <c r="V70" s="2953"/>
      <c r="W70" s="2953"/>
      <c r="X70" s="2953"/>
      <c r="Y70" s="2953"/>
      <c r="Z70" s="2953"/>
      <c r="AA70" s="2953"/>
      <c r="AB70" s="2953"/>
      <c r="AC70" s="2953"/>
    </row>
    <row r="71" spans="1:29" s="428" customFormat="1" ht="15.75" thickTop="1">
      <c r="A71" s="508"/>
      <c r="B71" s="493">
        <f>B12</f>
        <v>111</v>
      </c>
      <c r="C71" s="509"/>
      <c r="D71" s="509"/>
      <c r="E71" s="509"/>
      <c r="F71" s="509"/>
      <c r="G71" s="509"/>
      <c r="H71" s="510"/>
      <c r="I71" s="510"/>
      <c r="J71" s="510"/>
      <c r="K71" s="510"/>
      <c r="L71" s="511"/>
      <c r="M71" s="512"/>
      <c r="N71" s="2983"/>
      <c r="O71" s="2983"/>
      <c r="P71" s="2991"/>
      <c r="Q71" s="2974"/>
      <c r="R71" s="2975"/>
      <c r="S71" s="2975"/>
      <c r="T71" s="2975"/>
      <c r="U71" s="2975"/>
      <c r="V71" s="2975"/>
      <c r="W71" s="2975"/>
      <c r="X71" s="2975"/>
      <c r="Y71" s="2975"/>
      <c r="Z71" s="2975"/>
      <c r="AA71" s="2975"/>
      <c r="AB71" s="2975"/>
      <c r="AC71" s="2975"/>
    </row>
    <row r="72" spans="1:29" s="428" customFormat="1" ht="15.75" thickBot="1">
      <c r="A72" s="508"/>
      <c r="B72" s="498"/>
      <c r="C72" s="515"/>
      <c r="D72" s="491"/>
      <c r="E72" s="491"/>
      <c r="F72" s="491"/>
      <c r="G72" s="491"/>
      <c r="H72" s="491"/>
      <c r="I72" s="491"/>
      <c r="J72" s="491"/>
      <c r="K72" s="491"/>
      <c r="L72" s="491"/>
      <c r="M72" s="492"/>
      <c r="N72" s="2982"/>
      <c r="O72" s="2982"/>
      <c r="P72" s="2991"/>
      <c r="Q72" s="2974"/>
      <c r="R72" s="2975"/>
      <c r="S72" s="2975"/>
      <c r="T72" s="2975"/>
      <c r="U72" s="2975"/>
      <c r="V72" s="2975"/>
      <c r="W72" s="2975"/>
      <c r="X72" s="2975"/>
      <c r="Y72" s="2975"/>
      <c r="Z72" s="2975"/>
      <c r="AA72" s="2975"/>
      <c r="AB72" s="2975"/>
      <c r="AC72" s="2975"/>
    </row>
    <row r="73" spans="1:29" s="428" customFormat="1" ht="15.75" thickTop="1">
      <c r="A73" s="508"/>
      <c r="B73" s="493">
        <f>B13</f>
        <v>111</v>
      </c>
      <c r="C73" s="509"/>
      <c r="D73" s="509"/>
      <c r="E73" s="509"/>
      <c r="F73" s="509"/>
      <c r="G73" s="509"/>
      <c r="H73" s="510"/>
      <c r="I73" s="510"/>
      <c r="J73" s="510"/>
      <c r="K73" s="510"/>
      <c r="L73" s="511"/>
      <c r="M73" s="512"/>
      <c r="N73" s="2983"/>
      <c r="O73" s="2983"/>
      <c r="P73" s="2992"/>
      <c r="Q73" s="2977"/>
      <c r="R73" s="2975"/>
      <c r="S73" s="2975"/>
      <c r="T73" s="2975"/>
      <c r="U73" s="2975"/>
      <c r="V73" s="2975"/>
      <c r="W73" s="2975"/>
      <c r="X73" s="2975"/>
      <c r="Y73" s="2975"/>
      <c r="Z73" s="2975"/>
      <c r="AA73" s="2975"/>
      <c r="AB73" s="2975"/>
      <c r="AC73" s="2975"/>
    </row>
    <row r="74" spans="1:29" s="428" customFormat="1" ht="15.75" thickBot="1">
      <c r="A74" s="508"/>
      <c r="B74" s="498"/>
      <c r="C74" s="515"/>
      <c r="D74" s="515"/>
      <c r="E74" s="515"/>
      <c r="F74" s="515"/>
      <c r="G74" s="515"/>
      <c r="H74" s="517"/>
      <c r="I74" s="517"/>
      <c r="J74" s="517"/>
      <c r="K74" s="517"/>
      <c r="L74" s="517"/>
      <c r="M74" s="518"/>
      <c r="N74" s="2983"/>
      <c r="O74" s="2983"/>
      <c r="P74" s="2991"/>
      <c r="Q74" s="2974"/>
      <c r="R74" s="2975"/>
      <c r="S74" s="2975"/>
      <c r="T74" s="2975"/>
      <c r="U74" s="2975"/>
      <c r="V74" s="2975"/>
      <c r="W74" s="2975"/>
      <c r="X74" s="2975"/>
      <c r="Y74" s="2975"/>
      <c r="Z74" s="2975"/>
      <c r="AA74" s="2975"/>
      <c r="AB74" s="2975"/>
      <c r="AC74" s="2975"/>
    </row>
    <row r="75" spans="1:29" s="428" customFormat="1" ht="15.75" thickTop="1">
      <c r="A75" s="508"/>
      <c r="B75" s="501">
        <f>B14</f>
        <v>111</v>
      </c>
      <c r="C75" s="478"/>
      <c r="D75" s="478"/>
      <c r="E75" s="478"/>
      <c r="F75" s="478"/>
      <c r="G75" s="478"/>
      <c r="H75" s="519"/>
      <c r="I75" s="519"/>
      <c r="J75" s="519"/>
      <c r="K75" s="519"/>
      <c r="L75" s="520"/>
      <c r="M75" s="521"/>
      <c r="N75" s="2983"/>
      <c r="O75" s="2983"/>
      <c r="P75" s="2993"/>
      <c r="Q75" s="2974"/>
      <c r="R75" s="2975"/>
      <c r="S75" s="2975"/>
      <c r="T75" s="2975"/>
      <c r="U75" s="2975"/>
      <c r="V75" s="2975"/>
      <c r="W75" s="2975"/>
      <c r="X75" s="2975"/>
      <c r="Y75" s="2975"/>
      <c r="Z75" s="2975"/>
      <c r="AA75" s="2975"/>
      <c r="AB75" s="2975"/>
      <c r="AC75" s="2975"/>
    </row>
    <row r="76" spans="1:29" s="428" customFormat="1" ht="15.75" thickBot="1">
      <c r="A76" s="523"/>
      <c r="B76" s="524"/>
      <c r="C76" s="525"/>
      <c r="D76" s="525"/>
      <c r="E76" s="525"/>
      <c r="F76" s="525"/>
      <c r="G76" s="525"/>
      <c r="H76" s="526"/>
      <c r="I76" s="526"/>
      <c r="J76" s="526"/>
      <c r="K76" s="526"/>
      <c r="L76" s="526"/>
      <c r="M76" s="527"/>
      <c r="N76" s="2983"/>
      <c r="O76" s="2983"/>
      <c r="P76" s="2991"/>
      <c r="Q76" s="2974"/>
      <c r="R76" s="2975"/>
      <c r="S76" s="2975"/>
      <c r="T76" s="2975"/>
      <c r="U76" s="2975"/>
      <c r="V76" s="2975"/>
      <c r="W76" s="2975"/>
      <c r="X76" s="2975"/>
      <c r="Y76" s="2975"/>
      <c r="Z76" s="2975"/>
      <c r="AA76" s="2975"/>
      <c r="AB76" s="2975"/>
      <c r="AC76" s="2975"/>
    </row>
    <row r="77" spans="1:29">
      <c r="A77" s="482" t="s">
        <v>2381</v>
      </c>
      <c r="B77" s="483" t="s">
        <v>2519</v>
      </c>
      <c r="C77" s="528" t="s">
        <v>2419</v>
      </c>
      <c r="D77" s="528" t="s">
        <v>2420</v>
      </c>
      <c r="E77" s="528" t="s">
        <v>2421</v>
      </c>
      <c r="F77" s="528" t="s">
        <v>2422</v>
      </c>
      <c r="G77" s="528" t="s">
        <v>2423</v>
      </c>
      <c r="H77" s="484"/>
      <c r="I77" s="484"/>
      <c r="J77" s="484"/>
      <c r="K77" s="529"/>
      <c r="L77" s="530"/>
      <c r="M77" s="531"/>
      <c r="N77" s="2981"/>
      <c r="O77" s="2981"/>
      <c r="P77" s="2994"/>
      <c r="Q77" s="2967"/>
      <c r="R77" s="2953"/>
      <c r="S77" s="2953"/>
      <c r="T77" s="2953"/>
      <c r="U77" s="2953"/>
      <c r="V77" s="2953"/>
      <c r="W77" s="2953"/>
      <c r="X77" s="2953"/>
      <c r="Y77" s="2953"/>
      <c r="Z77" s="2953"/>
      <c r="AA77" s="2953"/>
      <c r="AB77" s="2953"/>
      <c r="AC77" s="2953"/>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2"/>
      <c r="O78" s="2982"/>
      <c r="P78" s="2990"/>
      <c r="Q78" s="2967"/>
      <c r="R78" s="2953"/>
      <c r="S78" s="2953"/>
      <c r="T78" s="2953"/>
      <c r="U78" s="2953"/>
      <c r="V78" s="2953"/>
      <c r="W78" s="2953"/>
      <c r="X78" s="2953"/>
      <c r="Y78" s="2953"/>
      <c r="Z78" s="2953"/>
      <c r="AA78" s="2953"/>
      <c r="AB78" s="2953"/>
      <c r="AC78" s="2953"/>
    </row>
    <row r="79" spans="1:29" ht="15.75" thickTop="1">
      <c r="A79" s="489"/>
      <c r="B79" s="493" t="s">
        <v>2424</v>
      </c>
      <c r="C79" s="533" t="s">
        <v>2419</v>
      </c>
      <c r="D79" s="533" t="s">
        <v>2420</v>
      </c>
      <c r="E79" s="533" t="s">
        <v>2421</v>
      </c>
      <c r="F79" s="533" t="s">
        <v>2422</v>
      </c>
      <c r="G79" s="533" t="s">
        <v>2423</v>
      </c>
      <c r="H79" s="494"/>
      <c r="I79" s="494"/>
      <c r="J79" s="494"/>
      <c r="K79" s="495"/>
      <c r="L79" s="496"/>
      <c r="M79" s="497"/>
      <c r="N79" s="2981"/>
      <c r="O79" s="2981"/>
      <c r="P79" s="2990"/>
      <c r="Q79" s="2967"/>
      <c r="R79" s="2953"/>
      <c r="S79" s="2953"/>
      <c r="T79" s="2953"/>
      <c r="U79" s="2953"/>
      <c r="V79" s="2953"/>
      <c r="W79" s="2953"/>
      <c r="X79" s="2953"/>
      <c r="Y79" s="2953"/>
      <c r="Z79" s="2953"/>
      <c r="AA79" s="2953"/>
      <c r="AB79" s="2953"/>
      <c r="AC79" s="2953"/>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2"/>
      <c r="O80" s="2982"/>
      <c r="P80" s="2990"/>
      <c r="Q80" s="2967"/>
      <c r="R80" s="2953"/>
      <c r="S80" s="2953"/>
      <c r="T80" s="2953"/>
      <c r="U80" s="2953"/>
      <c r="V80" s="2953"/>
      <c r="W80" s="2953"/>
      <c r="X80" s="2953"/>
      <c r="Y80" s="2953"/>
      <c r="Z80" s="2953"/>
      <c r="AA80" s="2953"/>
      <c r="AB80" s="2953"/>
      <c r="AC80" s="2953"/>
    </row>
    <row r="81" spans="1:29" ht="15.75" thickTop="1">
      <c r="A81" s="489"/>
      <c r="B81" s="493" t="s">
        <v>2425</v>
      </c>
      <c r="C81" s="533" t="s">
        <v>2419</v>
      </c>
      <c r="D81" s="533" t="s">
        <v>2420</v>
      </c>
      <c r="E81" s="533" t="s">
        <v>2421</v>
      </c>
      <c r="F81" s="533" t="s">
        <v>2422</v>
      </c>
      <c r="G81" s="533" t="s">
        <v>2423</v>
      </c>
      <c r="H81" s="494"/>
      <c r="I81" s="494"/>
      <c r="J81" s="494"/>
      <c r="K81" s="495"/>
      <c r="L81" s="496"/>
      <c r="M81" s="497"/>
      <c r="N81" s="2981"/>
      <c r="O81" s="2981"/>
      <c r="P81" s="2990"/>
      <c r="Q81" s="2967"/>
      <c r="R81" s="2953"/>
      <c r="S81" s="2953"/>
      <c r="T81" s="2953"/>
      <c r="U81" s="2953"/>
      <c r="V81" s="2953"/>
      <c r="W81" s="2953"/>
      <c r="X81" s="2953"/>
      <c r="Y81" s="2953"/>
      <c r="Z81" s="2953"/>
      <c r="AA81" s="2953"/>
      <c r="AB81" s="2953"/>
      <c r="AC81" s="2953"/>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2"/>
      <c r="O82" s="2982"/>
      <c r="P82" s="2990"/>
      <c r="Q82" s="2967"/>
      <c r="R82" s="2953"/>
      <c r="S82" s="2953"/>
      <c r="T82" s="2953"/>
      <c r="U82" s="2953"/>
      <c r="V82" s="2953"/>
      <c r="W82" s="2953"/>
      <c r="X82" s="2953"/>
      <c r="Y82" s="2953"/>
      <c r="Z82" s="2953"/>
      <c r="AA82" s="2953"/>
      <c r="AB82" s="2953"/>
      <c r="AC82" s="2953"/>
    </row>
    <row r="83" spans="1:29" ht="15.75" thickTop="1">
      <c r="A83" s="489"/>
      <c r="B83" s="501" t="s">
        <v>2511</v>
      </c>
      <c r="C83" s="614" t="s">
        <v>2497</v>
      </c>
      <c r="D83" s="614" t="s">
        <v>2498</v>
      </c>
      <c r="E83" s="614" t="s">
        <v>2499</v>
      </c>
      <c r="F83" s="614" t="s">
        <v>2500</v>
      </c>
      <c r="G83" s="614" t="s">
        <v>2501</v>
      </c>
      <c r="H83" s="494"/>
      <c r="I83" s="494"/>
      <c r="J83" s="494"/>
      <c r="K83" s="494"/>
      <c r="L83" s="494"/>
      <c r="M83" s="1288"/>
      <c r="N83" s="2982"/>
      <c r="O83" s="2982"/>
      <c r="P83" s="2990"/>
      <c r="Q83" s="2967"/>
      <c r="R83" s="2953"/>
      <c r="S83" s="2953"/>
      <c r="T83" s="2953"/>
      <c r="U83" s="2953"/>
      <c r="V83" s="2953"/>
      <c r="W83" s="2953"/>
      <c r="X83" s="2953"/>
      <c r="Y83" s="2953"/>
      <c r="Z83" s="2953"/>
      <c r="AA83" s="2953"/>
      <c r="AB83" s="2953"/>
      <c r="AC83" s="2953"/>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2"/>
      <c r="O84" s="2982"/>
      <c r="P84" s="2990"/>
      <c r="Q84" s="2967"/>
      <c r="R84" s="2953"/>
      <c r="S84" s="2953"/>
      <c r="T84" s="2953"/>
      <c r="U84" s="2953"/>
      <c r="V84" s="2953"/>
      <c r="W84" s="2953"/>
      <c r="X84" s="2953"/>
      <c r="Y84" s="2953"/>
      <c r="Z84" s="2953"/>
      <c r="AA84" s="2953"/>
      <c r="AB84" s="2953"/>
      <c r="AC84" s="2953"/>
    </row>
    <row r="85" spans="1:29" ht="15.75" thickTop="1">
      <c r="A85" s="489"/>
      <c r="B85" s="493" t="s">
        <v>2520</v>
      </c>
      <c r="C85" s="533" t="s">
        <v>2419</v>
      </c>
      <c r="D85" s="533" t="s">
        <v>2420</v>
      </c>
      <c r="E85" s="533" t="s">
        <v>2421</v>
      </c>
      <c r="F85" s="533" t="s">
        <v>2422</v>
      </c>
      <c r="G85" s="533" t="s">
        <v>2423</v>
      </c>
      <c r="H85" s="494"/>
      <c r="I85" s="494"/>
      <c r="J85" s="494"/>
      <c r="K85" s="495"/>
      <c r="L85" s="496"/>
      <c r="M85" s="497"/>
      <c r="N85" s="2981"/>
      <c r="O85" s="2981"/>
      <c r="P85" s="2990"/>
      <c r="Q85" s="2967"/>
      <c r="R85" s="2953"/>
      <c r="S85" s="2953"/>
      <c r="T85" s="2953"/>
      <c r="U85" s="2953"/>
      <c r="V85" s="2953"/>
      <c r="W85" s="2953"/>
      <c r="X85" s="2953"/>
      <c r="Y85" s="2953"/>
      <c r="Z85" s="2953"/>
      <c r="AA85" s="2953"/>
      <c r="AB85" s="2953"/>
      <c r="AC85" s="2953"/>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2"/>
      <c r="O86" s="2982"/>
      <c r="P86" s="2990"/>
      <c r="Q86" s="2967"/>
      <c r="R86" s="2953"/>
      <c r="S86" s="2953"/>
      <c r="T86" s="2953"/>
      <c r="U86" s="2953"/>
      <c r="V86" s="2953"/>
      <c r="W86" s="2953"/>
      <c r="X86" s="2953"/>
      <c r="Y86" s="2953"/>
      <c r="Z86" s="2953"/>
      <c r="AA86" s="2953"/>
      <c r="AB86" s="2953"/>
      <c r="AC86" s="2953"/>
    </row>
    <row r="87" spans="1:29" s="113" customFormat="1" ht="27.75" thickTop="1">
      <c r="A87" s="534"/>
      <c r="B87" s="493" t="s">
        <v>2521</v>
      </c>
      <c r="C87" s="509"/>
      <c r="D87" s="509"/>
      <c r="E87" s="509"/>
      <c r="F87" s="509"/>
      <c r="G87" s="509"/>
      <c r="H87" s="509"/>
      <c r="I87" s="509"/>
      <c r="J87" s="509"/>
      <c r="K87" s="509"/>
      <c r="L87" s="535"/>
      <c r="M87" s="536"/>
      <c r="N87" s="2980"/>
      <c r="O87" s="2980"/>
      <c r="P87" s="2990"/>
      <c r="Q87" s="2967"/>
      <c r="R87" s="2887"/>
      <c r="S87" s="2887"/>
      <c r="T87" s="2887"/>
      <c r="U87" s="2887"/>
      <c r="V87" s="2887"/>
      <c r="W87" s="2887"/>
      <c r="X87" s="2887"/>
      <c r="Y87" s="2887"/>
      <c r="Z87" s="2887"/>
      <c r="AA87" s="2887"/>
      <c r="AB87" s="2887"/>
      <c r="AC87" s="2887"/>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4"/>
      <c r="B89" s="493" t="str">
        <f>B27</f>
        <v>楼层</v>
      </c>
      <c r="C89" s="509"/>
      <c r="D89" s="509"/>
      <c r="E89" s="509"/>
      <c r="F89" s="2112"/>
      <c r="G89" s="509"/>
      <c r="H89" s="509"/>
      <c r="I89" s="509"/>
      <c r="J89" s="509"/>
      <c r="K89" s="509"/>
      <c r="L89" s="509"/>
      <c r="M89" s="536"/>
      <c r="N89" s="2980"/>
      <c r="O89" s="2980"/>
      <c r="P89" s="2990"/>
      <c r="Q89" s="2967"/>
      <c r="R89" s="2887"/>
      <c r="S89" s="2887"/>
      <c r="T89" s="2887"/>
      <c r="U89" s="2887"/>
      <c r="V89" s="2887"/>
      <c r="W89" s="2887"/>
      <c r="X89" s="2887"/>
      <c r="Y89" s="2887"/>
      <c r="Z89" s="2887"/>
      <c r="AA89" s="2887"/>
      <c r="AB89" s="2887"/>
      <c r="AC89" s="2887"/>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2"/>
      <c r="O90" s="2982"/>
      <c r="P90" s="2990"/>
      <c r="Q90" s="2967"/>
      <c r="R90" s="2887"/>
      <c r="S90" s="2887"/>
      <c r="T90" s="2887"/>
      <c r="U90" s="2887"/>
      <c r="V90" s="2887"/>
      <c r="W90" s="2887"/>
      <c r="X90" s="2887"/>
      <c r="Y90" s="2887"/>
      <c r="Z90" s="2887"/>
      <c r="AA90" s="2887"/>
      <c r="AB90" s="2887"/>
      <c r="AC90" s="2887"/>
    </row>
    <row r="91" spans="1:29" s="428" customFormat="1" ht="15.75" thickTop="1">
      <c r="A91" s="508"/>
      <c r="B91" s="493" t="str">
        <f>B28</f>
        <v>朝向</v>
      </c>
      <c r="C91" s="509"/>
      <c r="D91" s="509"/>
      <c r="E91" s="509"/>
      <c r="F91" s="509"/>
      <c r="G91" s="509"/>
      <c r="H91" s="510"/>
      <c r="I91" s="510"/>
      <c r="J91" s="510"/>
      <c r="K91" s="510"/>
      <c r="L91" s="511"/>
      <c r="M91" s="512"/>
      <c r="N91" s="2983"/>
      <c r="O91" s="2983"/>
      <c r="P91" s="2991"/>
      <c r="Q91" s="2974"/>
      <c r="R91" s="2975"/>
      <c r="S91" s="2975"/>
      <c r="T91" s="2975"/>
      <c r="U91" s="2975"/>
      <c r="V91" s="2975"/>
      <c r="W91" s="2975"/>
      <c r="X91" s="2975"/>
      <c r="Y91" s="2975"/>
      <c r="Z91" s="2975"/>
      <c r="AA91" s="2975"/>
      <c r="AB91" s="2975"/>
      <c r="AC91" s="2975"/>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9"/>
      <c r="B93" s="493">
        <f>B29</f>
        <v>111</v>
      </c>
      <c r="C93" s="509"/>
      <c r="D93" s="509"/>
      <c r="E93" s="509"/>
      <c r="F93" s="509"/>
      <c r="G93" s="509"/>
      <c r="H93" s="509"/>
      <c r="I93" s="509"/>
      <c r="J93" s="509"/>
      <c r="K93" s="509"/>
      <c r="L93" s="535"/>
      <c r="M93" s="536"/>
      <c r="N93" s="2981"/>
      <c r="O93" s="2981"/>
      <c r="P93" s="2990"/>
      <c r="Q93" s="2967"/>
      <c r="R93" s="2953"/>
      <c r="S93" s="2953"/>
      <c r="T93" s="2953"/>
      <c r="U93" s="2953"/>
      <c r="V93" s="2953"/>
      <c r="W93" s="2953"/>
      <c r="X93" s="2953"/>
      <c r="Y93" s="2953"/>
      <c r="Z93" s="2953"/>
      <c r="AA93" s="2953"/>
      <c r="AB93" s="2953"/>
      <c r="AC93" s="2953"/>
    </row>
    <row r="94" spans="1:29" ht="15.75" thickBot="1">
      <c r="A94" s="489"/>
      <c r="B94" s="498"/>
      <c r="C94" s="515"/>
      <c r="D94" s="491"/>
      <c r="E94" s="491"/>
      <c r="F94" s="491"/>
      <c r="G94" s="491"/>
      <c r="H94" s="491"/>
      <c r="I94" s="491"/>
      <c r="J94" s="491"/>
      <c r="K94" s="491"/>
      <c r="L94" s="491"/>
      <c r="M94" s="492"/>
      <c r="N94" s="2982"/>
      <c r="O94" s="2982"/>
      <c r="P94" s="2990"/>
      <c r="Q94" s="2967"/>
      <c r="R94" s="2953"/>
      <c r="S94" s="2953"/>
      <c r="T94" s="2953"/>
      <c r="U94" s="2953"/>
      <c r="V94" s="2953"/>
      <c r="W94" s="2953"/>
      <c r="X94" s="2953"/>
      <c r="Y94" s="2953"/>
      <c r="Z94" s="2953"/>
      <c r="AA94" s="2953"/>
      <c r="AB94" s="2953"/>
      <c r="AC94" s="2953"/>
    </row>
    <row r="95" spans="1:29" ht="15.75" thickTop="1">
      <c r="A95" s="489"/>
      <c r="B95" s="493">
        <f>B30</f>
        <v>111</v>
      </c>
      <c r="C95" s="509"/>
      <c r="D95" s="509"/>
      <c r="E95" s="509"/>
      <c r="F95" s="509"/>
      <c r="G95" s="538"/>
      <c r="H95" s="538"/>
      <c r="I95" s="538"/>
      <c r="J95" s="538"/>
      <c r="K95" s="539"/>
      <c r="L95" s="540"/>
      <c r="M95" s="541"/>
      <c r="N95" s="2981"/>
      <c r="O95" s="2981"/>
      <c r="P95" s="2990"/>
      <c r="Q95" s="2967"/>
      <c r="R95" s="2953"/>
      <c r="S95" s="2953"/>
      <c r="T95" s="2953"/>
      <c r="U95" s="2953"/>
      <c r="V95" s="2953"/>
      <c r="W95" s="2953"/>
      <c r="X95" s="2953"/>
      <c r="Y95" s="2953"/>
      <c r="Z95" s="2953"/>
      <c r="AA95" s="2953"/>
      <c r="AB95" s="2953"/>
      <c r="AC95" s="2953"/>
    </row>
    <row r="96" spans="1:29" ht="15.75" thickBot="1">
      <c r="A96" s="489"/>
      <c r="B96" s="498"/>
      <c r="C96" s="515"/>
      <c r="D96" s="515"/>
      <c r="E96" s="515"/>
      <c r="F96" s="515"/>
      <c r="G96" s="491"/>
      <c r="H96" s="491"/>
      <c r="I96" s="491"/>
      <c r="J96" s="491"/>
      <c r="K96" s="491"/>
      <c r="L96" s="491"/>
      <c r="M96" s="492"/>
      <c r="N96" s="2982"/>
      <c r="O96" s="2982"/>
      <c r="P96" s="2990"/>
      <c r="Q96" s="2967"/>
      <c r="R96" s="2953"/>
      <c r="S96" s="2953"/>
      <c r="T96" s="2953"/>
      <c r="U96" s="2953"/>
      <c r="V96" s="2953"/>
      <c r="W96" s="2953"/>
      <c r="X96" s="2953"/>
      <c r="Y96" s="2953"/>
      <c r="Z96" s="2953"/>
      <c r="AA96" s="2953"/>
      <c r="AB96" s="2953"/>
      <c r="AC96" s="2953"/>
    </row>
    <row r="97" spans="1:29" ht="15.75" thickTop="1">
      <c r="A97" s="489"/>
      <c r="B97" s="493">
        <f>B31</f>
        <v>111</v>
      </c>
      <c r="C97" s="509"/>
      <c r="D97" s="509"/>
      <c r="E97" s="509"/>
      <c r="F97" s="509"/>
      <c r="G97" s="538"/>
      <c r="H97" s="538"/>
      <c r="I97" s="538"/>
      <c r="J97" s="538"/>
      <c r="K97" s="539"/>
      <c r="L97" s="540"/>
      <c r="M97" s="541"/>
      <c r="N97" s="2981"/>
      <c r="O97" s="2981"/>
      <c r="P97" s="2990"/>
      <c r="Q97" s="2967"/>
      <c r="R97" s="2953"/>
      <c r="S97" s="2953"/>
      <c r="T97" s="2953"/>
      <c r="U97" s="2953"/>
      <c r="V97" s="2953"/>
      <c r="W97" s="2953"/>
      <c r="X97" s="2953"/>
      <c r="Y97" s="2953"/>
      <c r="Z97" s="2953"/>
      <c r="AA97" s="2953"/>
      <c r="AB97" s="2953"/>
      <c r="AC97" s="2953"/>
    </row>
    <row r="98" spans="1:29" ht="15.75" thickBot="1">
      <c r="A98" s="489"/>
      <c r="B98" s="498"/>
      <c r="C98" s="515"/>
      <c r="D98" s="491"/>
      <c r="E98" s="491"/>
      <c r="F98" s="491"/>
      <c r="G98" s="491"/>
      <c r="H98" s="491"/>
      <c r="I98" s="491"/>
      <c r="J98" s="491"/>
      <c r="K98" s="491"/>
      <c r="L98" s="491"/>
      <c r="M98" s="492"/>
      <c r="N98" s="2982"/>
      <c r="O98" s="2982"/>
      <c r="P98" s="2990"/>
      <c r="Q98" s="2967"/>
      <c r="R98" s="2953"/>
      <c r="S98" s="2953"/>
      <c r="T98" s="2953"/>
      <c r="U98" s="2953"/>
      <c r="V98" s="2953"/>
      <c r="W98" s="2953"/>
      <c r="X98" s="2953"/>
      <c r="Y98" s="2953"/>
      <c r="Z98" s="2953"/>
      <c r="AA98" s="2953"/>
      <c r="AB98" s="2953"/>
      <c r="AC98" s="2953"/>
    </row>
    <row r="99" spans="1:29" ht="15.75" thickTop="1">
      <c r="A99" s="489"/>
      <c r="B99" s="501">
        <f>B32</f>
        <v>111</v>
      </c>
      <c r="C99" s="478"/>
      <c r="D99" s="478"/>
      <c r="E99" s="478"/>
      <c r="F99" s="478"/>
      <c r="G99" s="542"/>
      <c r="H99" s="542"/>
      <c r="I99" s="542"/>
      <c r="J99" s="542"/>
      <c r="K99" s="543"/>
      <c r="L99" s="544"/>
      <c r="M99" s="545"/>
      <c r="N99" s="2981"/>
      <c r="O99" s="2981"/>
      <c r="P99" s="2990"/>
      <c r="Q99" s="2967"/>
      <c r="R99" s="2953"/>
      <c r="S99" s="2953"/>
      <c r="T99" s="2953"/>
      <c r="U99" s="2953"/>
      <c r="V99" s="2953"/>
      <c r="W99" s="2953"/>
      <c r="X99" s="2953"/>
      <c r="Y99" s="2953"/>
      <c r="Z99" s="2953"/>
      <c r="AA99" s="2953"/>
      <c r="AB99" s="2953"/>
      <c r="AC99" s="2953"/>
    </row>
    <row r="100" spans="1:29" ht="15.75" thickBot="1">
      <c r="A100" s="2113"/>
      <c r="B100" s="524"/>
      <c r="C100" s="525"/>
      <c r="D100" s="525"/>
      <c r="E100" s="525"/>
      <c r="F100" s="525"/>
      <c r="G100" s="546"/>
      <c r="H100" s="546"/>
      <c r="I100" s="546"/>
      <c r="J100" s="546"/>
      <c r="K100" s="546"/>
      <c r="L100" s="546"/>
      <c r="M100" s="547"/>
      <c r="N100" s="2982"/>
      <c r="O100" s="2982"/>
      <c r="P100" s="2990"/>
      <c r="Q100" s="2967"/>
      <c r="R100" s="2953"/>
      <c r="S100" s="2953"/>
      <c r="T100" s="2953"/>
      <c r="U100" s="2953"/>
      <c r="V100" s="2953"/>
      <c r="W100" s="2953"/>
      <c r="X100" s="2953"/>
      <c r="Y100" s="2953"/>
      <c r="Z100" s="2953"/>
      <c r="AA100" s="2953"/>
      <c r="AB100" s="2953"/>
      <c r="AC100" s="2953"/>
    </row>
    <row r="101" spans="1:29">
      <c r="A101" s="482" t="s">
        <v>2385</v>
      </c>
      <c r="B101" s="483" t="s">
        <v>2434</v>
      </c>
      <c r="C101" s="485"/>
      <c r="D101" s="485"/>
      <c r="E101" s="485"/>
      <c r="F101" s="485"/>
      <c r="G101" s="485"/>
      <c r="H101" s="485"/>
      <c r="I101" s="485"/>
      <c r="J101" s="485"/>
      <c r="K101" s="486"/>
      <c r="L101" s="487"/>
      <c r="M101" s="488"/>
      <c r="N101" s="2981"/>
      <c r="O101" s="2981"/>
      <c r="P101" s="2990"/>
      <c r="Q101" s="2967"/>
      <c r="R101" s="2953"/>
      <c r="S101" s="2953"/>
      <c r="T101" s="2953"/>
      <c r="U101" s="2953"/>
      <c r="V101" s="2953"/>
      <c r="W101" s="2953"/>
      <c r="X101" s="2953"/>
      <c r="Y101" s="2953"/>
      <c r="Z101" s="2953"/>
      <c r="AA101" s="2953"/>
      <c r="AB101" s="2953"/>
      <c r="AC101" s="2953"/>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9"/>
      <c r="B103" s="493" t="s">
        <v>2435</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8" customFormat="1">
      <c r="A104" s="548"/>
      <c r="B104" s="549"/>
      <c r="C104" s="550"/>
      <c r="D104" s="550"/>
      <c r="E104" s="550"/>
      <c r="F104" s="550"/>
      <c r="G104" s="550"/>
      <c r="H104" s="550"/>
      <c r="I104" s="550"/>
      <c r="J104" s="551"/>
      <c r="K104" s="551"/>
      <c r="L104" s="552"/>
      <c r="M104" s="553"/>
      <c r="N104" s="2983"/>
      <c r="O104" s="2983"/>
      <c r="P104" s="2991"/>
      <c r="Q104" s="2974"/>
      <c r="R104" s="2975"/>
      <c r="S104" s="2975"/>
      <c r="T104" s="2975"/>
      <c r="U104" s="2975"/>
      <c r="V104" s="2975"/>
      <c r="W104" s="2975"/>
      <c r="X104" s="2975"/>
      <c r="Y104" s="2975"/>
      <c r="Z104" s="2975"/>
      <c r="AA104" s="2975"/>
      <c r="AB104" s="2975"/>
      <c r="AC104" s="2975"/>
    </row>
    <row r="105" spans="1:29" s="428" customFormat="1" ht="15.75" thickBot="1">
      <c r="A105" s="508"/>
      <c r="B105" s="498"/>
      <c r="C105" s="515"/>
      <c r="D105" s="491"/>
      <c r="E105" s="491"/>
      <c r="F105" s="491"/>
      <c r="G105" s="491"/>
      <c r="H105" s="491"/>
      <c r="I105" s="491"/>
      <c r="J105" s="491"/>
      <c r="K105" s="491"/>
      <c r="L105" s="491"/>
      <c r="M105" s="492"/>
      <c r="N105" s="2982"/>
      <c r="O105" s="2982"/>
      <c r="P105" s="2991"/>
      <c r="Q105" s="2974"/>
      <c r="R105" s="2975"/>
      <c r="S105" s="2975"/>
      <c r="T105" s="2975"/>
      <c r="U105" s="2975"/>
      <c r="V105" s="2975"/>
      <c r="W105" s="2975"/>
      <c r="X105" s="2975"/>
      <c r="Y105" s="2975"/>
      <c r="Z105" s="2975"/>
      <c r="AA105" s="2975"/>
      <c r="AB105" s="2975"/>
      <c r="AC105" s="2975"/>
    </row>
    <row r="106" spans="1:29" ht="15" thickTop="1">
      <c r="A106" s="554"/>
      <c r="B106" s="493" t="s">
        <v>2436</v>
      </c>
      <c r="C106" s="509"/>
      <c r="D106" s="509"/>
      <c r="E106" s="538"/>
      <c r="F106" s="538"/>
      <c r="G106" s="538"/>
      <c r="H106" s="538"/>
      <c r="I106" s="538"/>
      <c r="J106" s="538"/>
      <c r="K106" s="539"/>
      <c r="L106" s="540"/>
      <c r="M106" s="541"/>
      <c r="N106" s="2981"/>
      <c r="O106" s="2981"/>
      <c r="P106" s="2990"/>
      <c r="Q106" s="2967"/>
      <c r="R106" s="2953"/>
      <c r="S106" s="2953"/>
      <c r="T106" s="2953"/>
      <c r="U106" s="2953"/>
      <c r="V106" s="2953"/>
      <c r="W106" s="2953"/>
      <c r="X106" s="2953"/>
      <c r="Y106" s="2953"/>
      <c r="Z106" s="2953"/>
      <c r="AA106" s="2953"/>
      <c r="AB106" s="2953"/>
      <c r="AC106" s="2953"/>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4"/>
      <c r="B108" s="493" t="s">
        <v>2438</v>
      </c>
      <c r="C108" s="509"/>
      <c r="D108" s="509"/>
      <c r="E108" s="509"/>
      <c r="F108" s="538"/>
      <c r="G108" s="538"/>
      <c r="H108" s="538"/>
      <c r="I108" s="538"/>
      <c r="J108" s="538"/>
      <c r="K108" s="539"/>
      <c r="L108" s="540"/>
      <c r="M108" s="541"/>
      <c r="N108" s="2981"/>
      <c r="O108" s="2981"/>
      <c r="P108" s="2990"/>
      <c r="Q108" s="2967"/>
      <c r="R108" s="2953"/>
      <c r="S108" s="2953"/>
      <c r="T108" s="2953"/>
      <c r="U108" s="2953"/>
      <c r="V108" s="2953"/>
      <c r="W108" s="2953"/>
      <c r="X108" s="2953"/>
      <c r="Y108" s="2953"/>
      <c r="Z108" s="2953"/>
      <c r="AA108" s="2953"/>
      <c r="AB108" s="2953"/>
      <c r="AC108" s="2953"/>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1"/>
      <c r="O110" s="2981"/>
      <c r="P110" s="2990"/>
      <c r="Q110" s="2967"/>
      <c r="R110" s="2953"/>
      <c r="S110" s="2953"/>
      <c r="T110" s="2953"/>
      <c r="U110" s="2953"/>
      <c r="V110" s="2953"/>
      <c r="W110" s="2953"/>
      <c r="X110" s="2953"/>
      <c r="Y110" s="2953"/>
      <c r="Z110" s="2953"/>
      <c r="AA110" s="2953"/>
      <c r="AB110" s="2953"/>
      <c r="AC110" s="2953"/>
    </row>
    <row r="111" spans="1:29">
      <c r="A111" s="554"/>
      <c r="B111" s="501"/>
      <c r="C111" s="558">
        <v>0.5</v>
      </c>
      <c r="D111" s="558">
        <v>0.6</v>
      </c>
      <c r="E111" s="558">
        <v>0.7</v>
      </c>
      <c r="F111" s="558">
        <v>0.8</v>
      </c>
      <c r="G111" s="558">
        <v>0.9</v>
      </c>
      <c r="H111" s="558">
        <v>1.0001</v>
      </c>
      <c r="I111" s="577"/>
      <c r="J111" s="577"/>
      <c r="K111" s="578"/>
      <c r="L111" s="579"/>
      <c r="M111" s="580"/>
      <c r="N111" s="2981"/>
      <c r="O111" s="2981"/>
      <c r="P111" s="2990"/>
      <c r="Q111" s="2967"/>
      <c r="R111" s="2953"/>
      <c r="S111" s="2953"/>
      <c r="T111" s="2953"/>
      <c r="U111" s="2953"/>
      <c r="V111" s="2953"/>
      <c r="W111" s="2953"/>
      <c r="X111" s="2953"/>
      <c r="Y111" s="2953"/>
      <c r="Z111" s="2953"/>
      <c r="AA111" s="2953"/>
      <c r="AB111" s="2953"/>
      <c r="AC111" s="2953"/>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2"/>
      <c r="O112" s="2982"/>
      <c r="P112" s="2990"/>
      <c r="Q112" s="2967"/>
      <c r="R112" s="2953"/>
      <c r="S112" s="2953"/>
      <c r="T112" s="2953"/>
      <c r="U112" s="2953"/>
      <c r="V112" s="2953"/>
      <c r="W112" s="2953"/>
      <c r="X112" s="2953"/>
      <c r="Y112" s="2953"/>
      <c r="Z112" s="2953"/>
      <c r="AA112" s="2953"/>
      <c r="AB112" s="2953"/>
      <c r="AC112" s="2953"/>
    </row>
    <row r="113" spans="1:29" s="428" customFormat="1" ht="15" thickTop="1">
      <c r="A113" s="548"/>
      <c r="B113" s="493" t="s">
        <v>2522</v>
      </c>
      <c r="C113" s="509"/>
      <c r="D113" s="509"/>
      <c r="E113" s="509"/>
      <c r="F113" s="509"/>
      <c r="G113" s="509"/>
      <c r="H113" s="538"/>
      <c r="I113" s="538"/>
      <c r="J113" s="538"/>
      <c r="K113" s="539"/>
      <c r="L113" s="540"/>
      <c r="M113" s="541"/>
      <c r="N113" s="2983"/>
      <c r="O113" s="2983"/>
      <c r="P113" s="2991"/>
      <c r="Q113" s="2974"/>
      <c r="R113" s="2975"/>
      <c r="S113" s="2975"/>
      <c r="T113" s="2975"/>
      <c r="U113" s="2975"/>
      <c r="V113" s="2975"/>
      <c r="W113" s="2975"/>
      <c r="X113" s="2975"/>
      <c r="Y113" s="2975"/>
      <c r="Z113" s="2975"/>
      <c r="AA113" s="2975"/>
      <c r="AB113" s="2975"/>
      <c r="AC113" s="2975"/>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4"/>
      <c r="B115" s="493" t="s">
        <v>2439</v>
      </c>
      <c r="C115" s="509"/>
      <c r="D115" s="509"/>
      <c r="E115" s="538"/>
      <c r="F115" s="538"/>
      <c r="G115" s="538"/>
      <c r="H115" s="538"/>
      <c r="I115" s="538"/>
      <c r="J115" s="538"/>
      <c r="K115" s="539"/>
      <c r="L115" s="540"/>
      <c r="M115" s="541"/>
      <c r="N115" s="2981"/>
      <c r="O115" s="2981"/>
      <c r="P115" s="2990"/>
      <c r="Q115" s="2967"/>
      <c r="R115" s="2953"/>
      <c r="S115" s="2953"/>
      <c r="T115" s="2953"/>
      <c r="U115" s="2953"/>
      <c r="V115" s="2953"/>
      <c r="W115" s="2953"/>
      <c r="X115" s="2953"/>
      <c r="Y115" s="2953"/>
      <c r="Z115" s="2953"/>
      <c r="AA115" s="2953"/>
      <c r="AB115" s="2953"/>
      <c r="AC115" s="2953"/>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4"/>
      <c r="B117" s="493" t="s">
        <v>2440</v>
      </c>
      <c r="C117" s="509"/>
      <c r="D117" s="509"/>
      <c r="E117" s="509"/>
      <c r="F117" s="509"/>
      <c r="G117" s="509"/>
      <c r="H117" s="538"/>
      <c r="I117" s="538"/>
      <c r="J117" s="538"/>
      <c r="K117" s="539"/>
      <c r="L117" s="540"/>
      <c r="M117" s="541"/>
      <c r="N117" s="2981"/>
      <c r="O117" s="2981"/>
      <c r="P117" s="2990"/>
      <c r="Q117" s="2967"/>
      <c r="R117" s="2953"/>
      <c r="S117" s="2953"/>
      <c r="T117" s="2953"/>
      <c r="U117" s="2953"/>
      <c r="V117" s="2953"/>
      <c r="W117" s="2953"/>
      <c r="X117" s="2953"/>
      <c r="Y117" s="2953"/>
      <c r="Z117" s="2953"/>
      <c r="AA117" s="2953"/>
      <c r="AB117" s="2953"/>
      <c r="AC117" s="2953"/>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2"/>
      <c r="O118" s="2982"/>
      <c r="P118" s="2990"/>
      <c r="Q118" s="2967"/>
      <c r="R118" s="2953"/>
      <c r="S118" s="2953"/>
      <c r="T118" s="2953"/>
      <c r="U118" s="2953"/>
      <c r="V118" s="2953"/>
      <c r="W118" s="2953"/>
      <c r="X118" s="2953"/>
      <c r="Y118" s="2953"/>
      <c r="Z118" s="2953"/>
      <c r="AA118" s="2953"/>
      <c r="AB118" s="2953"/>
      <c r="AC118" s="2953"/>
    </row>
    <row r="119" spans="1:29" ht="15" thickTop="1">
      <c r="A119" s="554"/>
      <c r="B119" s="590" t="s">
        <v>2523</v>
      </c>
      <c r="C119" s="538"/>
      <c r="D119" s="538"/>
      <c r="E119" s="538"/>
      <c r="F119" s="538"/>
      <c r="G119" s="538"/>
      <c r="H119" s="538"/>
      <c r="I119" s="538"/>
      <c r="J119" s="538"/>
      <c r="K119" s="538"/>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2"/>
      <c r="O120" s="2982"/>
      <c r="P120" s="2990"/>
      <c r="Q120" s="2967"/>
      <c r="R120" s="2953"/>
      <c r="S120" s="2953"/>
      <c r="T120" s="2953"/>
      <c r="U120" s="2953"/>
      <c r="V120" s="2953"/>
      <c r="W120" s="2953"/>
      <c r="X120" s="2953"/>
      <c r="Y120" s="2953"/>
      <c r="Z120" s="2953"/>
      <c r="AA120" s="2953"/>
      <c r="AB120" s="2953"/>
      <c r="AC120" s="2953"/>
    </row>
    <row r="121" spans="1:29" s="428" customFormat="1" ht="15" thickTop="1">
      <c r="A121" s="548"/>
      <c r="B121" s="493" t="s">
        <v>2506</v>
      </c>
      <c r="C121" s="509"/>
      <c r="D121" s="509"/>
      <c r="E121" s="509"/>
      <c r="F121" s="538"/>
      <c r="G121" s="510"/>
      <c r="H121" s="510"/>
      <c r="I121" s="510"/>
      <c r="J121" s="510"/>
      <c r="K121" s="510"/>
      <c r="L121" s="511"/>
      <c r="M121" s="512"/>
      <c r="N121" s="2983"/>
      <c r="O121" s="2983"/>
      <c r="P121" s="2991"/>
      <c r="Q121" s="2974"/>
      <c r="R121" s="2975"/>
      <c r="S121" s="2975"/>
      <c r="T121" s="2975"/>
      <c r="U121" s="2975"/>
      <c r="V121" s="2975"/>
      <c r="W121" s="2975"/>
      <c r="X121" s="2975"/>
      <c r="Y121" s="2975"/>
      <c r="Z121" s="2975"/>
      <c r="AA121" s="2975"/>
      <c r="AB121" s="2975"/>
      <c r="AC121" s="2975"/>
    </row>
    <row r="122" spans="1:29" s="428" customFormat="1" ht="15.75" thickBot="1">
      <c r="A122" s="508"/>
      <c r="B122" s="490"/>
      <c r="C122" s="515"/>
      <c r="D122" s="515"/>
      <c r="E122" s="515"/>
      <c r="F122" s="515"/>
      <c r="G122" s="515"/>
      <c r="H122" s="515"/>
      <c r="I122" s="515"/>
      <c r="J122" s="515"/>
      <c r="K122" s="515"/>
      <c r="L122" s="515"/>
      <c r="M122" s="515"/>
      <c r="N122" s="2983"/>
      <c r="O122" s="2983"/>
      <c r="P122" s="2991"/>
      <c r="Q122" s="2974"/>
      <c r="R122" s="2975"/>
      <c r="S122" s="2975"/>
      <c r="T122" s="2975"/>
      <c r="U122" s="2975"/>
      <c r="V122" s="2975"/>
      <c r="W122" s="2975"/>
      <c r="X122" s="2975"/>
      <c r="Y122" s="2975"/>
      <c r="Z122" s="2975"/>
      <c r="AA122" s="2975"/>
      <c r="AB122" s="2975"/>
      <c r="AC122" s="2975"/>
    </row>
    <row r="123" spans="1:29" ht="15" thickTop="1">
      <c r="A123" s="554"/>
      <c r="B123" s="493" t="s">
        <v>2442</v>
      </c>
      <c r="C123" s="509"/>
      <c r="D123" s="509"/>
      <c r="E123" s="509"/>
      <c r="F123" s="538"/>
      <c r="G123" s="538"/>
      <c r="H123" s="538"/>
      <c r="I123" s="538"/>
      <c r="J123" s="538"/>
      <c r="K123" s="539"/>
      <c r="L123" s="540"/>
      <c r="M123" s="541"/>
      <c r="N123" s="2981"/>
      <c r="O123" s="2981"/>
      <c r="P123" s="2990"/>
      <c r="Q123" s="2967"/>
      <c r="R123" s="2953"/>
      <c r="S123" s="2953"/>
      <c r="T123" s="2953"/>
      <c r="U123" s="2953"/>
      <c r="V123" s="2953"/>
      <c r="W123" s="2953"/>
      <c r="X123" s="2953"/>
      <c r="Y123" s="2953"/>
      <c r="Z123" s="2953"/>
      <c r="AA123" s="2953"/>
      <c r="AB123" s="2953"/>
      <c r="AC123" s="2953"/>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4"/>
      <c r="B125" s="493" t="s">
        <v>2443</v>
      </c>
      <c r="C125" s="533" t="s">
        <v>2419</v>
      </c>
      <c r="D125" s="533" t="s">
        <v>2420</v>
      </c>
      <c r="E125" s="533" t="s">
        <v>2421</v>
      </c>
      <c r="F125" s="533" t="s">
        <v>2422</v>
      </c>
      <c r="G125" s="533" t="s">
        <v>2423</v>
      </c>
      <c r="H125" s="494"/>
      <c r="I125" s="494"/>
      <c r="J125" s="494"/>
      <c r="K125" s="495"/>
      <c r="L125" s="496"/>
      <c r="M125" s="497"/>
      <c r="N125" s="2981"/>
      <c r="O125" s="2981"/>
      <c r="P125" s="2991"/>
      <c r="Q125" s="2967"/>
      <c r="R125" s="2953"/>
      <c r="S125" s="2953"/>
      <c r="T125" s="2953"/>
      <c r="U125" s="2953"/>
      <c r="V125" s="2953"/>
      <c r="W125" s="2953"/>
      <c r="X125" s="2953"/>
      <c r="Y125" s="2953"/>
      <c r="Z125" s="2953"/>
      <c r="AA125" s="2953"/>
      <c r="AB125" s="2953"/>
      <c r="AC125" s="2953"/>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2"/>
      <c r="O126" s="2982"/>
      <c r="P126" s="2990"/>
      <c r="Q126" s="2967"/>
      <c r="R126" s="2953"/>
      <c r="S126" s="2953"/>
      <c r="T126" s="2953"/>
      <c r="U126" s="2953"/>
      <c r="V126" s="2953"/>
      <c r="W126" s="2953"/>
      <c r="X126" s="2953"/>
      <c r="Y126" s="2953"/>
      <c r="Z126" s="2953"/>
      <c r="AA126" s="2953"/>
      <c r="AB126" s="2953"/>
      <c r="AC126" s="2953"/>
    </row>
    <row r="127" spans="1:29" s="428" customFormat="1" ht="15" thickTop="1">
      <c r="A127" s="548"/>
      <c r="B127" s="493">
        <f>B45</f>
        <v>111</v>
      </c>
      <c r="C127" s="509"/>
      <c r="D127" s="509"/>
      <c r="E127" s="509"/>
      <c r="F127" s="509"/>
      <c r="G127" s="509"/>
      <c r="H127" s="510"/>
      <c r="I127" s="510"/>
      <c r="J127" s="510"/>
      <c r="K127" s="510"/>
      <c r="L127" s="511"/>
      <c r="M127" s="512"/>
      <c r="N127" s="2983"/>
      <c r="O127" s="2983"/>
      <c r="P127" s="2991"/>
      <c r="Q127" s="2974"/>
      <c r="R127" s="2975"/>
      <c r="S127" s="2975"/>
      <c r="T127" s="2975"/>
      <c r="U127" s="2975"/>
      <c r="V127" s="2975"/>
      <c r="W127" s="2975"/>
      <c r="X127" s="2975"/>
      <c r="Y127" s="2975"/>
      <c r="Z127" s="2975"/>
      <c r="AA127" s="2975"/>
      <c r="AB127" s="2975"/>
      <c r="AC127" s="2975"/>
    </row>
    <row r="128" spans="1:29" s="428" customFormat="1" ht="15.75" thickBot="1">
      <c r="A128" s="508"/>
      <c r="B128" s="498"/>
      <c r="C128" s="515"/>
      <c r="D128" s="491"/>
      <c r="E128" s="491"/>
      <c r="F128" s="491"/>
      <c r="G128" s="515"/>
      <c r="H128" s="517"/>
      <c r="I128" s="517"/>
      <c r="J128" s="517"/>
      <c r="K128" s="517"/>
      <c r="L128" s="517"/>
      <c r="M128" s="518"/>
      <c r="N128" s="2983"/>
      <c r="O128" s="2983"/>
      <c r="P128" s="2991"/>
      <c r="Q128" s="2974"/>
      <c r="R128" s="2975"/>
      <c r="S128" s="2975"/>
      <c r="T128" s="2975"/>
      <c r="U128" s="2975"/>
      <c r="V128" s="2975"/>
      <c r="W128" s="2975"/>
      <c r="X128" s="2975"/>
      <c r="Y128" s="2975"/>
      <c r="Z128" s="2975"/>
      <c r="AA128" s="2975"/>
      <c r="AB128" s="2975"/>
      <c r="AC128" s="2975"/>
    </row>
    <row r="129" spans="1:29" ht="15" thickTop="1">
      <c r="A129" s="554"/>
      <c r="B129" s="493">
        <f>B46</f>
        <v>111</v>
      </c>
      <c r="C129" s="509"/>
      <c r="D129" s="509"/>
      <c r="E129" s="509"/>
      <c r="F129" s="509"/>
      <c r="G129" s="538"/>
      <c r="H129" s="538"/>
      <c r="I129" s="538"/>
      <c r="J129" s="538"/>
      <c r="K129" s="539"/>
      <c r="L129" s="540"/>
      <c r="M129" s="541"/>
      <c r="N129" s="2981"/>
      <c r="O129" s="2981"/>
      <c r="P129" s="2990"/>
      <c r="Q129" s="2967"/>
      <c r="R129" s="2953"/>
      <c r="S129" s="2953"/>
      <c r="T129" s="2953"/>
      <c r="U129" s="2953"/>
      <c r="V129" s="2953"/>
      <c r="W129" s="2953"/>
      <c r="X129" s="2953"/>
      <c r="Y129" s="2953"/>
      <c r="Z129" s="2953"/>
      <c r="AA129" s="2953"/>
      <c r="AB129" s="2953"/>
      <c r="AC129" s="2953"/>
    </row>
    <row r="130" spans="1:29" ht="15.75" thickBot="1">
      <c r="A130" s="489"/>
      <c r="B130" s="498"/>
      <c r="C130" s="515"/>
      <c r="D130" s="515"/>
      <c r="E130" s="515"/>
      <c r="F130" s="515"/>
      <c r="G130" s="491"/>
      <c r="H130" s="491"/>
      <c r="I130" s="491"/>
      <c r="J130" s="491"/>
      <c r="K130" s="491"/>
      <c r="L130" s="491"/>
      <c r="M130" s="492"/>
      <c r="N130" s="2982"/>
      <c r="O130" s="2982"/>
      <c r="P130" s="2990"/>
      <c r="Q130" s="2967"/>
      <c r="R130" s="2953"/>
      <c r="S130" s="2953"/>
      <c r="T130" s="2953"/>
      <c r="U130" s="2953"/>
      <c r="V130" s="2953"/>
      <c r="W130" s="2953"/>
      <c r="X130" s="2953"/>
      <c r="Y130" s="2953"/>
      <c r="Z130" s="2953"/>
      <c r="AA130" s="2953"/>
      <c r="AB130" s="2953"/>
      <c r="AC130" s="2953"/>
    </row>
    <row r="131" spans="1:29" ht="15" thickTop="1">
      <c r="A131" s="554"/>
      <c r="B131" s="501">
        <f>B47</f>
        <v>111</v>
      </c>
      <c r="C131" s="478"/>
      <c r="D131" s="478"/>
      <c r="E131" s="478"/>
      <c r="F131" s="478"/>
      <c r="G131" s="542"/>
      <c r="H131" s="542"/>
      <c r="I131" s="542"/>
      <c r="J131" s="542"/>
      <c r="K131" s="478"/>
      <c r="L131" s="479"/>
      <c r="M131" s="545"/>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4"/>
      <c r="C132" s="525"/>
      <c r="D132" s="525"/>
      <c r="E132" s="525"/>
      <c r="F132" s="525"/>
      <c r="G132" s="546"/>
      <c r="H132" s="546"/>
      <c r="I132" s="546"/>
      <c r="J132" s="546"/>
      <c r="K132" s="546"/>
      <c r="L132" s="546"/>
      <c r="M132" s="547"/>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0" priority="20" stopIfTrue="1" operator="containsText" text="超过">
      <formula>NOT(ISERROR(SEARCH("超过",F53)))</formula>
    </cfRule>
  </conditionalFormatting>
  <conditionalFormatting sqref="H55">
    <cfRule type="containsText" dxfId="79" priority="19" stopIfTrue="1" operator="containsText" text="超过">
      <formula>NOT(ISERROR(SEARCH("超过",H55)))</formula>
    </cfRule>
  </conditionalFormatting>
  <conditionalFormatting sqref="F55">
    <cfRule type="containsText" dxfId="78" priority="18" stopIfTrue="1" operator="containsText" text="超过">
      <formula>NOT(ISERROR(SEARCH("超过",F55)))</formula>
    </cfRule>
  </conditionalFormatting>
  <conditionalFormatting sqref="F54 H54">
    <cfRule type="containsText" dxfId="77" priority="17" stopIfTrue="1" operator="containsText" text="超过">
      <formula>NOT(ISERROR(SEARCH("超过",F54)))</formula>
    </cfRule>
  </conditionalFormatting>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G55">
    <cfRule type="expression" dxfId="73" priority="13" stopIfTrue="1">
      <formula>$H$55="超过30%"</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J53">
    <cfRule type="containsText" dxfId="70" priority="10" stopIfTrue="1" operator="containsText" text="超过">
      <formula>NOT(ISERROR(SEARCH("超过",J53)))</formula>
    </cfRule>
  </conditionalFormatting>
  <conditionalFormatting sqref="J55">
    <cfRule type="containsText" dxfId="69" priority="9" stopIfTrue="1" operator="containsText" text="超过">
      <formula>NOT(ISERROR(SEARCH("超过",J55)))</formula>
    </cfRule>
  </conditionalFormatting>
  <conditionalFormatting sqref="J54">
    <cfRule type="containsText" dxfId="68" priority="8" stopIfTrue="1" operator="containsText" text="超过">
      <formula>NOT(ISERROR(SEARCH("超过",J54)))</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F49">
    <cfRule type="expression" dxfId="64" priority="4">
      <formula>$D$49="简单平均"</formula>
    </cfRule>
  </conditionalFormatting>
  <conditionalFormatting sqref="H49">
    <cfRule type="expression" dxfId="63" priority="3">
      <formula>$D$49="简单平均"</formula>
    </cfRule>
  </conditionalFormatting>
  <conditionalFormatting sqref="J49">
    <cfRule type="expression" dxfId="62" priority="2">
      <formula>$D$49="简单平均"</formula>
    </cfRule>
  </conditionalFormatting>
  <conditionalFormatting sqref="F7:F47 H7:H47 J7:J47">
    <cfRule type="cellIs" dxfId="61"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 type="list" allowBlank="1" showInputMessage="1" showErrorMessage="1" sqref="D49"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2151</v>
      </c>
      <c r="B3" s="564" t="e">
        <f ca="1">IF(C2="——",C43,ROUND(B2*10000/D3,0))</f>
        <v>#DIV/0!</v>
      </c>
      <c r="C3" s="358" t="s">
        <v>2466</v>
      </c>
      <c r="D3" s="357">
        <f>IF(D1="",'数据-汇总表'!E3,SUMIF('数据-汇总表'!$C19:$C33,D1,'数据-汇总表'!$E19:$E33))</f>
        <v>23006.27</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2467</v>
      </c>
      <c r="B4" s="360"/>
      <c r="C4" s="3324" t="s">
        <v>2468</v>
      </c>
      <c r="D4" s="3325"/>
      <c r="E4" s="3326" t="s">
        <v>2469</v>
      </c>
      <c r="F4" s="3327"/>
      <c r="G4" s="3324" t="s">
        <v>2470</v>
      </c>
      <c r="H4" s="3325"/>
      <c r="I4" s="3324" t="s">
        <v>2471</v>
      </c>
      <c r="J4" s="3325"/>
      <c r="K4" s="565" t="s">
        <v>2472</v>
      </c>
      <c r="L4" s="1041"/>
      <c r="M4" s="1042"/>
      <c r="N4" s="1042"/>
      <c r="O4" s="1042"/>
      <c r="P4" s="3328" t="s">
        <v>2473</v>
      </c>
      <c r="Q4" s="3329"/>
      <c r="R4" s="3310" t="s">
        <v>2469</v>
      </c>
      <c r="S4" s="3311"/>
      <c r="T4" s="3310" t="s">
        <v>2470</v>
      </c>
      <c r="U4" s="3311"/>
      <c r="V4" s="3307" t="s">
        <v>2471</v>
      </c>
      <c r="W4" s="3307"/>
      <c r="X4" s="1538"/>
      <c r="Y4" s="3310" t="s">
        <v>2473</v>
      </c>
      <c r="Z4" s="3311"/>
      <c r="AA4" s="3304" t="s">
        <v>2469</v>
      </c>
      <c r="AB4" s="3305" t="s">
        <v>2470</v>
      </c>
      <c r="AC4" s="3304" t="s">
        <v>2471</v>
      </c>
    </row>
    <row r="5" spans="1:29" ht="15">
      <c r="A5" s="362"/>
      <c r="B5" s="363"/>
      <c r="C5" s="3316" t="s">
        <v>2364</v>
      </c>
      <c r="D5" s="3317"/>
      <c r="E5" s="3314" t="s">
        <v>2365</v>
      </c>
      <c r="F5" s="3315"/>
      <c r="G5" s="3316" t="s">
        <v>2366</v>
      </c>
      <c r="H5" s="3317"/>
      <c r="I5" s="3316" t="s">
        <v>2367</v>
      </c>
      <c r="J5" s="3317"/>
      <c r="K5" s="565"/>
      <c r="L5" s="1041"/>
      <c r="M5" s="1042"/>
      <c r="N5" s="1042"/>
      <c r="O5" s="1042"/>
      <c r="P5" s="3330"/>
      <c r="Q5" s="3331"/>
      <c r="R5" s="3312"/>
      <c r="S5" s="3313"/>
      <c r="T5" s="3312"/>
      <c r="U5" s="3313"/>
      <c r="V5" s="3307"/>
      <c r="W5" s="3307"/>
      <c r="X5" s="1538"/>
      <c r="Y5" s="3312"/>
      <c r="Z5" s="3313"/>
      <c r="AA5" s="3305"/>
      <c r="AB5" s="3305"/>
      <c r="AC5" s="3305"/>
    </row>
    <row r="6" spans="1:29" ht="15.75" thickBot="1">
      <c r="A6" s="364"/>
      <c r="B6" s="365"/>
      <c r="C6" s="3318" t="s">
        <v>2368</v>
      </c>
      <c r="D6" s="3319"/>
      <c r="E6" s="3370" t="s">
        <v>2368</v>
      </c>
      <c r="F6" s="3321"/>
      <c r="G6" s="3318" t="s">
        <v>2368</v>
      </c>
      <c r="H6" s="3319"/>
      <c r="I6" s="3318" t="s">
        <v>2368</v>
      </c>
      <c r="J6" s="3319"/>
      <c r="K6" s="565" t="s">
        <v>2369</v>
      </c>
      <c r="L6" s="1041"/>
      <c r="M6" s="1042"/>
      <c r="N6" s="1042"/>
      <c r="O6" s="1042"/>
      <c r="P6" s="3332"/>
      <c r="Q6" s="3333"/>
      <c r="R6" s="3312"/>
      <c r="S6" s="3313"/>
      <c r="T6" s="3334"/>
      <c r="U6" s="3335"/>
      <c r="V6" s="3307"/>
      <c r="W6" s="3307"/>
      <c r="X6" s="1538"/>
      <c r="Y6" s="3334"/>
      <c r="Z6" s="3335"/>
      <c r="AA6" s="3306"/>
      <c r="AB6" s="3306"/>
      <c r="AC6" s="3306"/>
    </row>
    <row r="7" spans="1:29" s="113" customFormat="1" ht="15.75" thickBot="1">
      <c r="A7" s="366" t="s">
        <v>2370</v>
      </c>
      <c r="B7" s="367"/>
      <c r="C7" s="368">
        <f>'数据-取费表'!B2</f>
        <v>44131</v>
      </c>
      <c r="D7" s="369">
        <v>100</v>
      </c>
      <c r="E7" s="370"/>
      <c r="F7" s="371">
        <f>SUMIF(52:52,YEAR(E7)&amp;"-"&amp;MONTH(E7),53:53)</f>
        <v>0</v>
      </c>
      <c r="G7" s="370"/>
      <c r="H7" s="369">
        <f>SUMIF(52:52,YEAR(G7)&amp;"-"&amp;MONTH(G7),53:53)</f>
        <v>0</v>
      </c>
      <c r="I7" s="370"/>
      <c r="J7" s="369">
        <f>SUMIF(52:52,YEAR(I7)&amp;"-"&amp;MONTH(I7),53:53)</f>
        <v>0</v>
      </c>
      <c r="K7" s="566"/>
      <c r="L7" s="1043"/>
      <c r="M7" s="1044"/>
      <c r="N7" s="1044"/>
      <c r="O7" s="1044"/>
      <c r="P7" s="3308" t="s">
        <v>2371</v>
      </c>
      <c r="Q7" s="3336"/>
      <c r="R7" s="707" t="s">
        <v>17</v>
      </c>
      <c r="S7" s="708">
        <f t="shared" ref="S7:S15" si="0">F7</f>
        <v>0</v>
      </c>
      <c r="T7" s="707" t="s">
        <v>17</v>
      </c>
      <c r="U7" s="708">
        <f t="shared" ref="U7:U15" si="1">H7</f>
        <v>0</v>
      </c>
      <c r="V7" s="707" t="s">
        <v>17</v>
      </c>
      <c r="W7" s="708">
        <f t="shared" ref="W7:W15" si="2">J7</f>
        <v>0</v>
      </c>
      <c r="X7" s="709"/>
      <c r="Y7" s="3308" t="s">
        <v>2371</v>
      </c>
      <c r="Z7" s="3309"/>
      <c r="AA7" s="710" t="e">
        <f>D7/F7</f>
        <v>#DIV/0!</v>
      </c>
      <c r="AB7" s="710" t="e">
        <f>D7/H7</f>
        <v>#DIV/0!</v>
      </c>
      <c r="AC7" s="710" t="e">
        <f>D7/J7</f>
        <v>#DIV/0!</v>
      </c>
    </row>
    <row r="8" spans="1:29" s="113" customFormat="1" ht="15.75" thickBot="1">
      <c r="A8" s="366" t="s">
        <v>2372</v>
      </c>
      <c r="B8" s="367"/>
      <c r="C8" s="372" t="s">
        <v>2373</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308" t="s">
        <v>2374</v>
      </c>
      <c r="Q8" s="3309"/>
      <c r="R8" s="707" t="s">
        <v>17</v>
      </c>
      <c r="S8" s="708">
        <f t="shared" si="0"/>
        <v>0</v>
      </c>
      <c r="T8" s="707" t="s">
        <v>17</v>
      </c>
      <c r="U8" s="708">
        <f t="shared" si="1"/>
        <v>0</v>
      </c>
      <c r="V8" s="707" t="s">
        <v>17</v>
      </c>
      <c r="W8" s="708">
        <f t="shared" si="2"/>
        <v>0</v>
      </c>
      <c r="X8" s="709"/>
      <c r="Y8" s="3308" t="s">
        <v>2374</v>
      </c>
      <c r="Z8" s="3309"/>
      <c r="AA8" s="710" t="e">
        <f t="shared" ref="AA8:AA40" si="3">D8/F8</f>
        <v>#DIV/0!</v>
      </c>
      <c r="AB8" s="710" t="e">
        <f t="shared" ref="AB8:AB40" si="4">D8/H8</f>
        <v>#DIV/0!</v>
      </c>
      <c r="AC8" s="710" t="e">
        <f t="shared" ref="AC8:AC40" si="5">D8/J8</f>
        <v>#DIV/0!</v>
      </c>
    </row>
    <row r="9" spans="1:29" s="113" customFormat="1">
      <c r="A9" s="373" t="s">
        <v>2375</v>
      </c>
      <c r="B9" s="67" t="s">
        <v>2376</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346"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710">
        <f t="shared" si="5"/>
        <v>1</v>
      </c>
    </row>
    <row r="10" spans="1:29" s="384" customFormat="1" ht="27">
      <c r="A10" s="378"/>
      <c r="B10" s="379" t="s">
        <v>2379</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346"/>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710">
        <f t="shared" si="5"/>
        <v>1</v>
      </c>
    </row>
    <row r="11" spans="1:29" ht="15">
      <c r="A11" s="385"/>
      <c r="B11" s="379" t="s">
        <v>2380</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346"/>
      <c r="Q11" s="1526" t="str">
        <f t="shared" si="6"/>
        <v>容积率</v>
      </c>
      <c r="R11" s="707" t="s">
        <v>17</v>
      </c>
      <c r="S11" s="708" t="e">
        <f t="shared" si="0"/>
        <v>#N/A</v>
      </c>
      <c r="T11" s="707" t="s">
        <v>17</v>
      </c>
      <c r="U11" s="708" t="e">
        <f t="shared" si="1"/>
        <v>#N/A</v>
      </c>
      <c r="V11" s="707" t="s">
        <v>17</v>
      </c>
      <c r="W11" s="708" t="e">
        <f t="shared" si="2"/>
        <v>#N/A</v>
      </c>
      <c r="X11" s="709"/>
      <c r="Y11" s="3280"/>
      <c r="Z11" s="55" t="str">
        <f t="shared" si="7"/>
        <v>容积率</v>
      </c>
      <c r="AA11" s="710" t="e">
        <f t="shared" si="3"/>
        <v>#N/A</v>
      </c>
      <c r="AB11" s="710" t="e">
        <f t="shared" si="4"/>
        <v>#N/A</v>
      </c>
      <c r="AC11" s="710" t="e">
        <f t="shared" si="5"/>
        <v>#N/A</v>
      </c>
    </row>
    <row r="12" spans="1:29" s="113" customFormat="1" ht="15">
      <c r="A12" s="388"/>
      <c r="B12" s="2078">
        <v>111</v>
      </c>
      <c r="C12" s="389"/>
      <c r="D12" s="390">
        <v>100</v>
      </c>
      <c r="E12" s="391"/>
      <c r="F12" s="130">
        <f>SUMIF(64:64,E12,65:65)-SUMIF(64:64,C12,65:65)+100</f>
        <v>100</v>
      </c>
      <c r="G12" s="2155"/>
      <c r="H12" s="130">
        <f>SUMIF(64:64,G12,65:65)-SUMIF(64:64,C12,65:65)+100</f>
        <v>100</v>
      </c>
      <c r="I12" s="426"/>
      <c r="J12" s="130">
        <f>SUMIF(64:64,I12,65:65)-SUMIF(64:64,C12,65:65)+100</f>
        <v>100</v>
      </c>
      <c r="K12" s="568"/>
      <c r="L12" s="1043"/>
      <c r="M12" s="1044"/>
      <c r="N12" s="1044"/>
      <c r="O12" s="1045"/>
      <c r="P12" s="3346"/>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710">
        <f>D12/J12</f>
        <v>1</v>
      </c>
    </row>
    <row r="13" spans="1:29" ht="15">
      <c r="A13" s="385"/>
      <c r="B13" s="2078">
        <v>111</v>
      </c>
      <c r="C13" s="391"/>
      <c r="D13" s="392">
        <v>100</v>
      </c>
      <c r="E13" s="391"/>
      <c r="F13" s="130">
        <f>SUMIF(66:66,E13,67:67)-SUMIF(66:66,C13,67:67)+100</f>
        <v>100</v>
      </c>
      <c r="G13" s="2155"/>
      <c r="H13" s="392">
        <f>SUMIF(66:66,G13,67:67)-SUMIF(66:66,C13,67:67)+100</f>
        <v>100</v>
      </c>
      <c r="I13" s="426"/>
      <c r="J13" s="392">
        <f>SUMIF(66:66,I13,67:67)-SUMIF(66:66,C13,67:67)+100</f>
        <v>100</v>
      </c>
      <c r="K13" s="568"/>
      <c r="L13" s="1051"/>
      <c r="M13" s="1042"/>
      <c r="N13" s="1042"/>
      <c r="O13" s="1050"/>
      <c r="P13" s="3346"/>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710">
        <f t="shared" si="5"/>
        <v>1</v>
      </c>
    </row>
    <row r="14" spans="1:29" ht="15.75" thickBot="1">
      <c r="A14" s="393"/>
      <c r="B14" s="2080">
        <v>111</v>
      </c>
      <c r="C14" s="394"/>
      <c r="D14" s="395">
        <v>100</v>
      </c>
      <c r="E14" s="394"/>
      <c r="F14" s="395">
        <f>SUMIF(68:68,E14,69:69)-SUMIF(68:68,C14,69:69)+100</f>
        <v>100</v>
      </c>
      <c r="G14" s="2155"/>
      <c r="H14" s="395">
        <f>SUMIF(68:68,G14,69:69)-SUMIF(68:68,C14,69:69)+100</f>
        <v>100</v>
      </c>
      <c r="I14" s="426"/>
      <c r="J14" s="395">
        <f>SUMIF(68:68,I14,69:69)-SUMIF(68:68,C14,69:69)+100</f>
        <v>100</v>
      </c>
      <c r="K14" s="568"/>
      <c r="L14" s="1051"/>
      <c r="M14" s="1042"/>
      <c r="N14" s="1042"/>
      <c r="O14" s="1050"/>
      <c r="P14" s="3346"/>
      <c r="Q14" s="1526">
        <f t="shared" si="6"/>
        <v>111</v>
      </c>
      <c r="R14" s="707" t="s">
        <v>17</v>
      </c>
      <c r="S14" s="708">
        <f t="shared" si="0"/>
        <v>100</v>
      </c>
      <c r="T14" s="707" t="s">
        <v>17</v>
      </c>
      <c r="U14" s="708">
        <f t="shared" si="1"/>
        <v>100</v>
      </c>
      <c r="V14" s="707" t="s">
        <v>17</v>
      </c>
      <c r="W14" s="708">
        <f t="shared" si="2"/>
        <v>100</v>
      </c>
      <c r="X14" s="709"/>
      <c r="Y14" s="3280"/>
      <c r="Z14" s="55">
        <f t="shared" si="7"/>
        <v>111</v>
      </c>
      <c r="AA14" s="710">
        <f t="shared" si="3"/>
        <v>1</v>
      </c>
      <c r="AB14" s="710">
        <f t="shared" si="4"/>
        <v>1</v>
      </c>
      <c r="AC14" s="710">
        <f t="shared" si="5"/>
        <v>1</v>
      </c>
    </row>
    <row r="15" spans="1:29" ht="57">
      <c r="A15" s="397" t="s">
        <v>2381</v>
      </c>
      <c r="B15" s="65" t="s">
        <v>2525</v>
      </c>
      <c r="C15" s="215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339" t="s">
        <v>2382</v>
      </c>
      <c r="Q15" s="1535" t="str">
        <f t="shared" si="6"/>
        <v>产业集聚程度</v>
      </c>
      <c r="R15" s="711" t="s">
        <v>17</v>
      </c>
      <c r="S15" s="712">
        <f t="shared" si="0"/>
        <v>100</v>
      </c>
      <c r="T15" s="711" t="s">
        <v>17</v>
      </c>
      <c r="U15" s="712">
        <f t="shared" si="1"/>
        <v>100</v>
      </c>
      <c r="V15" s="711" t="s">
        <v>17</v>
      </c>
      <c r="W15" s="712">
        <f t="shared" si="2"/>
        <v>100</v>
      </c>
      <c r="X15" s="1538"/>
      <c r="Y15" s="3339" t="s">
        <v>2382</v>
      </c>
      <c r="Z15" s="1539" t="str">
        <f t="shared" si="7"/>
        <v>产业集聚程度</v>
      </c>
      <c r="AA15" s="1536">
        <f t="shared" si="3"/>
        <v>1</v>
      </c>
      <c r="AB15" s="1536">
        <f t="shared" si="4"/>
        <v>1</v>
      </c>
      <c r="AC15" s="1536">
        <f t="shared" si="5"/>
        <v>1</v>
      </c>
    </row>
    <row r="16" spans="1:29" ht="15">
      <c r="A16" s="385"/>
      <c r="B16" s="403"/>
      <c r="C16" s="404"/>
      <c r="D16" s="405"/>
      <c r="E16" s="404"/>
      <c r="F16" s="406"/>
      <c r="G16" s="404"/>
      <c r="H16" s="407"/>
      <c r="I16" s="404"/>
      <c r="J16" s="405"/>
      <c r="K16" s="570"/>
      <c r="L16" s="1051"/>
      <c r="M16" s="1042"/>
      <c r="N16" s="1042"/>
      <c r="O16" s="1050"/>
      <c r="P16" s="3340"/>
      <c r="Q16" s="1535"/>
      <c r="R16" s="711"/>
      <c r="S16" s="712"/>
      <c r="T16" s="711"/>
      <c r="U16" s="712"/>
      <c r="V16" s="711"/>
      <c r="W16" s="712"/>
      <c r="X16" s="1538"/>
      <c r="Y16" s="3340"/>
      <c r="Z16" s="1539"/>
      <c r="AA16" s="1536">
        <v>1</v>
      </c>
      <c r="AB16" s="1536">
        <v>1</v>
      </c>
      <c r="AC16" s="1536">
        <v>1</v>
      </c>
    </row>
    <row r="17" spans="1:29" ht="85.5">
      <c r="A17" s="385"/>
      <c r="B17" s="408" t="s">
        <v>1946</v>
      </c>
      <c r="C17" s="2085"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340"/>
      <c r="Q17" s="1535" t="str">
        <f>B17</f>
        <v>交通便捷度</v>
      </c>
      <c r="R17" s="711" t="s">
        <v>17</v>
      </c>
      <c r="S17" s="712">
        <f>F17</f>
        <v>100</v>
      </c>
      <c r="T17" s="711" t="s">
        <v>17</v>
      </c>
      <c r="U17" s="712">
        <f>H17</f>
        <v>100</v>
      </c>
      <c r="V17" s="711" t="s">
        <v>17</v>
      </c>
      <c r="W17" s="712">
        <f>J17</f>
        <v>100</v>
      </c>
      <c r="X17" s="1538"/>
      <c r="Y17" s="3340"/>
      <c r="Z17" s="1539" t="str">
        <f>Q17</f>
        <v>交通便捷度</v>
      </c>
      <c r="AA17" s="1536">
        <f t="shared" si="3"/>
        <v>1</v>
      </c>
      <c r="AB17" s="1536">
        <f t="shared" si="4"/>
        <v>1</v>
      </c>
      <c r="AC17" s="1536">
        <f t="shared" si="5"/>
        <v>1</v>
      </c>
    </row>
    <row r="18" spans="1:29" ht="15">
      <c r="A18" s="385"/>
      <c r="B18" s="413"/>
      <c r="C18" s="2086"/>
      <c r="D18" s="407"/>
      <c r="E18" s="2088"/>
      <c r="F18" s="410"/>
      <c r="G18" s="2087"/>
      <c r="H18" s="405"/>
      <c r="I18" s="2088"/>
      <c r="J18" s="405"/>
      <c r="K18" s="570"/>
      <c r="L18" s="1051"/>
      <c r="M18" s="1042"/>
      <c r="N18" s="1042"/>
      <c r="O18" s="1050"/>
      <c r="P18" s="3340"/>
      <c r="Q18" s="1535"/>
      <c r="R18" s="711"/>
      <c r="S18" s="712"/>
      <c r="T18" s="711"/>
      <c r="U18" s="712"/>
      <c r="V18" s="711"/>
      <c r="W18" s="712"/>
      <c r="X18" s="1538"/>
      <c r="Y18" s="3340"/>
      <c r="Z18" s="1539"/>
      <c r="AA18" s="1536">
        <v>1</v>
      </c>
      <c r="AB18" s="1536">
        <v>1</v>
      </c>
      <c r="AC18" s="1536">
        <v>1</v>
      </c>
    </row>
    <row r="19" spans="1:29" ht="42.75">
      <c r="A19" s="385"/>
      <c r="B19" s="408" t="s">
        <v>2510</v>
      </c>
      <c r="C19" s="2085"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340"/>
      <c r="Q19" s="1535" t="str">
        <f>B19</f>
        <v>公共配套设施</v>
      </c>
      <c r="R19" s="711" t="s">
        <v>17</v>
      </c>
      <c r="S19" s="712">
        <f>F19</f>
        <v>100</v>
      </c>
      <c r="T19" s="711" t="s">
        <v>17</v>
      </c>
      <c r="U19" s="712">
        <f>H19</f>
        <v>100</v>
      </c>
      <c r="V19" s="711" t="s">
        <v>17</v>
      </c>
      <c r="W19" s="712">
        <f>J19</f>
        <v>100</v>
      </c>
      <c r="X19" s="1538"/>
      <c r="Y19" s="3340"/>
      <c r="Z19" s="1539" t="str">
        <f>Q19</f>
        <v>公共配套设施</v>
      </c>
      <c r="AA19" s="1536">
        <f t="shared" si="3"/>
        <v>1</v>
      </c>
      <c r="AB19" s="1536">
        <f t="shared" si="4"/>
        <v>1</v>
      </c>
      <c r="AC19" s="1536">
        <f t="shared" si="5"/>
        <v>1</v>
      </c>
    </row>
    <row r="20" spans="1:29" ht="15">
      <c r="A20" s="385"/>
      <c r="B20" s="413"/>
      <c r="C20" s="404"/>
      <c r="D20" s="405"/>
      <c r="E20" s="2083"/>
      <c r="F20" s="406"/>
      <c r="G20" s="2082"/>
      <c r="H20" s="405"/>
      <c r="I20" s="2083"/>
      <c r="J20" s="405"/>
      <c r="K20" s="570"/>
      <c r="L20" s="1051"/>
      <c r="M20" s="1042"/>
      <c r="N20" s="1042"/>
      <c r="O20" s="1050"/>
      <c r="P20" s="3340"/>
      <c r="Q20" s="1535"/>
      <c r="R20" s="711"/>
      <c r="S20" s="712"/>
      <c r="T20" s="711"/>
      <c r="U20" s="712"/>
      <c r="V20" s="711"/>
      <c r="W20" s="712"/>
      <c r="X20" s="1538"/>
      <c r="Y20" s="3340"/>
      <c r="Z20" s="1539"/>
      <c r="AA20" s="1536">
        <v>1</v>
      </c>
      <c r="AB20" s="1536">
        <v>1</v>
      </c>
      <c r="AC20" s="1536">
        <v>1</v>
      </c>
    </row>
    <row r="21" spans="1:29" ht="28.5">
      <c r="A21" s="385"/>
      <c r="B21" s="1290" t="s">
        <v>2511</v>
      </c>
      <c r="C21" s="2085"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340"/>
      <c r="Q21" s="1535" t="str">
        <f>B21</f>
        <v>基础设施水平</v>
      </c>
      <c r="R21" s="711" t="s">
        <v>17</v>
      </c>
      <c r="S21" s="712">
        <f>F21</f>
        <v>100</v>
      </c>
      <c r="T21" s="711" t="s">
        <v>17</v>
      </c>
      <c r="U21" s="712">
        <f>H21</f>
        <v>100</v>
      </c>
      <c r="V21" s="711" t="s">
        <v>17</v>
      </c>
      <c r="W21" s="712">
        <f>J21</f>
        <v>100</v>
      </c>
      <c r="X21" s="1538"/>
      <c r="Y21" s="3340"/>
      <c r="Z21" s="1539" t="str">
        <f>Q21</f>
        <v>基础设施水平</v>
      </c>
      <c r="AA21" s="1536">
        <f t="shared" ref="AA21" si="8">D21/F21</f>
        <v>1</v>
      </c>
      <c r="AB21" s="1536">
        <f t="shared" ref="AB21" si="9">D21/H21</f>
        <v>1</v>
      </c>
      <c r="AC21" s="1536">
        <f t="shared" ref="AC21" si="10">D21/J21</f>
        <v>1</v>
      </c>
    </row>
    <row r="22" spans="1:29" ht="15">
      <c r="A22" s="385"/>
      <c r="B22" s="1290"/>
      <c r="C22" s="2086"/>
      <c r="D22" s="405"/>
      <c r="E22" s="404"/>
      <c r="F22" s="406"/>
      <c r="G22" s="404"/>
      <c r="H22" s="405"/>
      <c r="I22" s="404"/>
      <c r="J22" s="405"/>
      <c r="K22" s="1289"/>
      <c r="L22" s="1051"/>
      <c r="M22" s="1042"/>
      <c r="N22" s="1042"/>
      <c r="O22" s="1050"/>
      <c r="P22" s="3340"/>
      <c r="Q22" s="1535"/>
      <c r="R22" s="711"/>
      <c r="S22" s="712"/>
      <c r="T22" s="711"/>
      <c r="U22" s="712"/>
      <c r="V22" s="711"/>
      <c r="W22" s="712"/>
      <c r="X22" s="1538"/>
      <c r="Y22" s="3340"/>
      <c r="Z22" s="1539"/>
      <c r="AA22" s="1536">
        <v>1</v>
      </c>
      <c r="AB22" s="1536">
        <v>1</v>
      </c>
      <c r="AC22" s="1536">
        <v>1</v>
      </c>
    </row>
    <row r="23" spans="1:29" ht="71.25">
      <c r="A23" s="385"/>
      <c r="B23" s="408" t="s">
        <v>2512</v>
      </c>
      <c r="C23" s="2085"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340"/>
      <c r="Q23" s="1535" t="str">
        <f>B23</f>
        <v>环境质量</v>
      </c>
      <c r="R23" s="711" t="s">
        <v>17</v>
      </c>
      <c r="S23" s="712">
        <f>F23</f>
        <v>100</v>
      </c>
      <c r="T23" s="711" t="s">
        <v>17</v>
      </c>
      <c r="U23" s="712">
        <f>H23</f>
        <v>100</v>
      </c>
      <c r="V23" s="711" t="s">
        <v>17</v>
      </c>
      <c r="W23" s="712">
        <f>J23</f>
        <v>100</v>
      </c>
      <c r="X23" s="1538"/>
      <c r="Y23" s="3340"/>
      <c r="Z23" s="1539" t="str">
        <f>Q23</f>
        <v>环境质量</v>
      </c>
      <c r="AA23" s="1536">
        <f t="shared" si="3"/>
        <v>1</v>
      </c>
      <c r="AB23" s="1536">
        <f t="shared" si="4"/>
        <v>1</v>
      </c>
      <c r="AC23" s="1536">
        <f t="shared" si="5"/>
        <v>1</v>
      </c>
    </row>
    <row r="24" spans="1:29" ht="15">
      <c r="A24" s="385"/>
      <c r="B24" s="1290"/>
      <c r="C24" s="404"/>
      <c r="D24" s="405"/>
      <c r="E24" s="2083"/>
      <c r="F24" s="406"/>
      <c r="G24" s="2082"/>
      <c r="H24" s="405"/>
      <c r="I24" s="2083"/>
      <c r="J24" s="405"/>
      <c r="K24" s="570"/>
      <c r="L24" s="1051"/>
      <c r="M24" s="1042"/>
      <c r="N24" s="1042"/>
      <c r="O24" s="1050"/>
      <c r="P24" s="3340"/>
      <c r="Q24" s="1535"/>
      <c r="R24" s="711"/>
      <c r="S24" s="712"/>
      <c r="T24" s="711"/>
      <c r="U24" s="712"/>
      <c r="V24" s="711"/>
      <c r="W24" s="712"/>
      <c r="X24" s="1538"/>
      <c r="Y24" s="3340"/>
      <c r="Z24" s="1539"/>
      <c r="AA24" s="1536">
        <v>1</v>
      </c>
      <c r="AB24" s="1536">
        <v>1</v>
      </c>
      <c r="AC24" s="1536">
        <v>1</v>
      </c>
    </row>
    <row r="25" spans="1:29" ht="15">
      <c r="A25" s="362"/>
      <c r="B25" s="129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340"/>
      <c r="Q25" s="1535">
        <f>B25</f>
        <v>111</v>
      </c>
      <c r="R25" s="711" t="s">
        <v>17</v>
      </c>
      <c r="S25" s="712">
        <f>F25</f>
        <v>100</v>
      </c>
      <c r="T25" s="711" t="s">
        <v>17</v>
      </c>
      <c r="U25" s="712">
        <f>H25</f>
        <v>100</v>
      </c>
      <c r="V25" s="711" t="s">
        <v>17</v>
      </c>
      <c r="W25" s="712">
        <f>J25</f>
        <v>100</v>
      </c>
      <c r="X25" s="1538"/>
      <c r="Y25" s="3340"/>
      <c r="Z25" s="1539">
        <f>Q25</f>
        <v>111</v>
      </c>
      <c r="AA25" s="1536">
        <f t="shared" si="3"/>
        <v>1</v>
      </c>
      <c r="AB25" s="1536">
        <f t="shared" si="4"/>
        <v>1</v>
      </c>
      <c r="AC25" s="1536">
        <f t="shared" si="5"/>
        <v>1</v>
      </c>
    </row>
    <row r="26" spans="1:29" ht="15">
      <c r="A26" s="385"/>
      <c r="B26" s="129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340"/>
      <c r="Q26" s="1535">
        <f t="shared" ref="Q26:Q40" si="11">B26</f>
        <v>111</v>
      </c>
      <c r="R26" s="711" t="s">
        <v>17</v>
      </c>
      <c r="S26" s="712">
        <f>F26</f>
        <v>100</v>
      </c>
      <c r="T26" s="711" t="s">
        <v>17</v>
      </c>
      <c r="U26" s="712">
        <f>H26</f>
        <v>100</v>
      </c>
      <c r="V26" s="711" t="s">
        <v>17</v>
      </c>
      <c r="W26" s="712">
        <f>J26</f>
        <v>100</v>
      </c>
      <c r="X26" s="1538"/>
      <c r="Y26" s="3340"/>
      <c r="Z26" s="1539">
        <f>Q26</f>
        <v>111</v>
      </c>
      <c r="AA26" s="1536">
        <f t="shared" si="3"/>
        <v>1</v>
      </c>
      <c r="AB26" s="1536">
        <f t="shared" si="4"/>
        <v>1</v>
      </c>
      <c r="AC26" s="1536">
        <f t="shared" si="5"/>
        <v>1</v>
      </c>
    </row>
    <row r="27" spans="1:29" s="113" customFormat="1" ht="15">
      <c r="A27" s="388"/>
      <c r="B27" s="129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340"/>
      <c r="Q27" s="1526">
        <f t="shared" si="11"/>
        <v>111</v>
      </c>
      <c r="R27" s="707" t="s">
        <v>17</v>
      </c>
      <c r="S27" s="708">
        <f>F27</f>
        <v>100</v>
      </c>
      <c r="T27" s="707" t="s">
        <v>17</v>
      </c>
      <c r="U27" s="708">
        <f>H27</f>
        <v>100</v>
      </c>
      <c r="V27" s="707" t="s">
        <v>17</v>
      </c>
      <c r="W27" s="708">
        <f>J27</f>
        <v>100</v>
      </c>
      <c r="X27" s="709"/>
      <c r="Y27" s="3340"/>
      <c r="Z27" s="55">
        <f>Q27</f>
        <v>111</v>
      </c>
      <c r="AA27" s="1536">
        <f>D27/F27</f>
        <v>1</v>
      </c>
      <c r="AB27" s="1536">
        <f>D27/H27</f>
        <v>1</v>
      </c>
      <c r="AC27" s="1536">
        <f>D27/J27</f>
        <v>1</v>
      </c>
    </row>
    <row r="28" spans="1:29" ht="15.75" thickBot="1">
      <c r="A28" s="393"/>
      <c r="B28" s="129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340"/>
      <c r="Q28" s="1535">
        <f t="shared" si="11"/>
        <v>111</v>
      </c>
      <c r="R28" s="711" t="s">
        <v>17</v>
      </c>
      <c r="S28" s="712">
        <f t="shared" ref="S28:S40" si="12">F28</f>
        <v>100</v>
      </c>
      <c r="T28" s="711" t="s">
        <v>17</v>
      </c>
      <c r="U28" s="712">
        <f t="shared" ref="U28:U40" si="13">H28</f>
        <v>100</v>
      </c>
      <c r="V28" s="711" t="s">
        <v>17</v>
      </c>
      <c r="W28" s="712">
        <f t="shared" ref="W28:W40" si="14">J28</f>
        <v>100</v>
      </c>
      <c r="X28" s="1538"/>
      <c r="Y28" s="3340"/>
      <c r="Z28" s="1539">
        <f t="shared" ref="Z28:Z40" si="15">Q28</f>
        <v>111</v>
      </c>
      <c r="AA28" s="1536">
        <f t="shared" si="3"/>
        <v>1</v>
      </c>
      <c r="AB28" s="1536">
        <f t="shared" si="4"/>
        <v>1</v>
      </c>
      <c r="AC28" s="1536">
        <f t="shared" si="5"/>
        <v>1</v>
      </c>
    </row>
    <row r="29" spans="1:29" ht="28.5">
      <c r="A29" s="423" t="s">
        <v>2385</v>
      </c>
      <c r="B29" s="67" t="s">
        <v>2515</v>
      </c>
      <c r="C29" s="2152"/>
      <c r="D29" s="424">
        <v>100</v>
      </c>
      <c r="E29" s="2152"/>
      <c r="F29" s="418">
        <f>SUMIF(88:88,E29,89:89)-SUMIF(88:88,C29,89:89)+100</f>
        <v>100</v>
      </c>
      <c r="G29" s="2152"/>
      <c r="H29" s="392">
        <f>SUMIF(88:88,G29,89:89)-SUMIF(88:88,C29,89:89)+100</f>
        <v>100</v>
      </c>
      <c r="I29" s="2152"/>
      <c r="J29" s="424">
        <f>SUMIF(88:88,I29,89:89)-SUMIF(88:88,C29,89:89)+100</f>
        <v>100</v>
      </c>
      <c r="K29" s="567"/>
      <c r="L29" s="1051"/>
      <c r="M29" s="1042"/>
      <c r="N29" s="1042"/>
      <c r="O29" s="1050"/>
      <c r="P29" s="3371" t="s">
        <v>2387</v>
      </c>
      <c r="Q29" s="1535" t="str">
        <f t="shared" si="11"/>
        <v>建筑类型</v>
      </c>
      <c r="R29" s="711" t="s">
        <v>17</v>
      </c>
      <c r="S29" s="712">
        <f t="shared" si="12"/>
        <v>100</v>
      </c>
      <c r="T29" s="711" t="s">
        <v>17</v>
      </c>
      <c r="U29" s="712">
        <f t="shared" si="13"/>
        <v>100</v>
      </c>
      <c r="V29" s="711" t="s">
        <v>17</v>
      </c>
      <c r="W29" s="712">
        <f t="shared" si="14"/>
        <v>100</v>
      </c>
      <c r="X29" s="1538"/>
      <c r="Y29" s="3344" t="s">
        <v>2387</v>
      </c>
      <c r="Z29" s="1539" t="str">
        <f t="shared" si="15"/>
        <v>建筑类型</v>
      </c>
      <c r="AA29" s="1536">
        <f t="shared" si="3"/>
        <v>1</v>
      </c>
      <c r="AB29" s="1536">
        <f t="shared" si="4"/>
        <v>1</v>
      </c>
      <c r="AC29" s="1536">
        <f t="shared" si="5"/>
        <v>1</v>
      </c>
    </row>
    <row r="30" spans="1:29" s="428" customFormat="1" ht="15">
      <c r="A30" s="425"/>
      <c r="B30" s="379" t="s">
        <v>2388</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344"/>
      <c r="Q30" s="713" t="str">
        <f t="shared" si="11"/>
        <v>项目建筑规模</v>
      </c>
      <c r="R30" s="714" t="s">
        <v>17</v>
      </c>
      <c r="S30" s="715" t="e">
        <f t="shared" si="12"/>
        <v>#N/A</v>
      </c>
      <c r="T30" s="714" t="s">
        <v>17</v>
      </c>
      <c r="U30" s="715" t="e">
        <f t="shared" si="13"/>
        <v>#N/A</v>
      </c>
      <c r="V30" s="714" t="s">
        <v>17</v>
      </c>
      <c r="W30" s="715" t="e">
        <f t="shared" si="14"/>
        <v>#N/A</v>
      </c>
      <c r="X30" s="716"/>
      <c r="Y30" s="3344"/>
      <c r="Z30" s="717" t="str">
        <f t="shared" si="15"/>
        <v>项目建筑规模</v>
      </c>
      <c r="AA30" s="1536" t="e">
        <f t="shared" si="3"/>
        <v>#N/A</v>
      </c>
      <c r="AB30" s="1536" t="e">
        <f t="shared" si="4"/>
        <v>#N/A</v>
      </c>
      <c r="AC30" s="1536" t="e">
        <f t="shared" si="5"/>
        <v>#N/A</v>
      </c>
    </row>
    <row r="31" spans="1:29" ht="15">
      <c r="A31" s="429"/>
      <c r="B31" s="379" t="s">
        <v>2389</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344"/>
      <c r="Q31" s="1535" t="str">
        <f t="shared" si="11"/>
        <v>建筑结构</v>
      </c>
      <c r="R31" s="711" t="s">
        <v>17</v>
      </c>
      <c r="S31" s="712">
        <f t="shared" si="12"/>
        <v>100</v>
      </c>
      <c r="T31" s="711" t="s">
        <v>17</v>
      </c>
      <c r="U31" s="712">
        <f t="shared" si="13"/>
        <v>100</v>
      </c>
      <c r="V31" s="711" t="s">
        <v>17</v>
      </c>
      <c r="W31" s="712">
        <f t="shared" si="14"/>
        <v>100</v>
      </c>
      <c r="X31" s="1538"/>
      <c r="Y31" s="3344"/>
      <c r="Z31" s="1539" t="str">
        <f t="shared" si="15"/>
        <v>建筑结构</v>
      </c>
      <c r="AA31" s="1536">
        <f t="shared" si="3"/>
        <v>1</v>
      </c>
      <c r="AB31" s="1536">
        <f t="shared" si="4"/>
        <v>1</v>
      </c>
      <c r="AC31" s="1536">
        <f t="shared" si="5"/>
        <v>1</v>
      </c>
    </row>
    <row r="32" spans="1:29" ht="15">
      <c r="A32" s="429"/>
      <c r="B32" s="379" t="s">
        <v>2483</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344"/>
      <c r="Q32" s="1535" t="str">
        <f t="shared" si="11"/>
        <v>公共部分装修</v>
      </c>
      <c r="R32" s="711" t="s">
        <v>17</v>
      </c>
      <c r="S32" s="712">
        <f t="shared" si="12"/>
        <v>100</v>
      </c>
      <c r="T32" s="711" t="s">
        <v>17</v>
      </c>
      <c r="U32" s="712">
        <f t="shared" si="13"/>
        <v>100</v>
      </c>
      <c r="V32" s="711" t="s">
        <v>17</v>
      </c>
      <c r="W32" s="712">
        <f t="shared" si="14"/>
        <v>100</v>
      </c>
      <c r="X32" s="1538"/>
      <c r="Y32" s="3344"/>
      <c r="Z32" s="1539" t="str">
        <f t="shared" si="15"/>
        <v>公共部分装修</v>
      </c>
      <c r="AA32" s="1536">
        <f t="shared" si="3"/>
        <v>1</v>
      </c>
      <c r="AB32" s="1536">
        <f t="shared" si="4"/>
        <v>1</v>
      </c>
      <c r="AC32" s="1536">
        <f t="shared" si="5"/>
        <v>1</v>
      </c>
    </row>
    <row r="33" spans="1:29" ht="15">
      <c r="A33" s="429"/>
      <c r="B33" s="379" t="s">
        <v>2484</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344"/>
      <c r="Q33" s="1535" t="str">
        <f t="shared" si="11"/>
        <v>成新度</v>
      </c>
      <c r="R33" s="711" t="s">
        <v>17</v>
      </c>
      <c r="S33" s="712" t="e">
        <f t="shared" si="12"/>
        <v>#N/A</v>
      </c>
      <c r="T33" s="711" t="s">
        <v>17</v>
      </c>
      <c r="U33" s="712" t="e">
        <f t="shared" si="13"/>
        <v>#N/A</v>
      </c>
      <c r="V33" s="711" t="s">
        <v>17</v>
      </c>
      <c r="W33" s="712" t="e">
        <f t="shared" si="14"/>
        <v>#N/A</v>
      </c>
      <c r="X33" s="1538"/>
      <c r="Y33" s="3344"/>
      <c r="Z33" s="1539" t="str">
        <f t="shared" si="15"/>
        <v>成新度</v>
      </c>
      <c r="AA33" s="1536" t="e">
        <f t="shared" si="3"/>
        <v>#N/A</v>
      </c>
      <c r="AB33" s="1536" t="e">
        <f t="shared" si="4"/>
        <v>#N/A</v>
      </c>
      <c r="AC33" s="1536" t="e">
        <f t="shared" si="5"/>
        <v>#N/A</v>
      </c>
    </row>
    <row r="34" spans="1:29" s="113" customFormat="1" ht="15">
      <c r="A34" s="430"/>
      <c r="B34" s="379" t="s">
        <v>2517</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344"/>
      <c r="Q34" s="1526" t="str">
        <f t="shared" si="11"/>
        <v>物业管理</v>
      </c>
      <c r="R34" s="707" t="s">
        <v>17</v>
      </c>
      <c r="S34" s="708">
        <f t="shared" si="12"/>
        <v>100</v>
      </c>
      <c r="T34" s="707" t="s">
        <v>17</v>
      </c>
      <c r="U34" s="708">
        <f t="shared" si="13"/>
        <v>100</v>
      </c>
      <c r="V34" s="707" t="s">
        <v>17</v>
      </c>
      <c r="W34" s="708">
        <f t="shared" si="14"/>
        <v>100</v>
      </c>
      <c r="X34" s="709"/>
      <c r="Y34" s="3344"/>
      <c r="Z34" s="55" t="str">
        <f t="shared" si="15"/>
        <v>物业管理</v>
      </c>
      <c r="AA34" s="710">
        <f t="shared" si="3"/>
        <v>1</v>
      </c>
      <c r="AB34" s="710">
        <f t="shared" si="4"/>
        <v>1</v>
      </c>
      <c r="AC34" s="710">
        <f t="shared" si="5"/>
        <v>1</v>
      </c>
    </row>
    <row r="35" spans="1:29" ht="15">
      <c r="A35" s="429"/>
      <c r="B35" s="379" t="s">
        <v>2485</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344" t="s">
        <v>2387</v>
      </c>
      <c r="Q35" s="1535" t="str">
        <f t="shared" si="11"/>
        <v>市政基础设施</v>
      </c>
      <c r="R35" s="711" t="s">
        <v>17</v>
      </c>
      <c r="S35" s="712">
        <f t="shared" si="12"/>
        <v>100</v>
      </c>
      <c r="T35" s="711" t="s">
        <v>17</v>
      </c>
      <c r="U35" s="712">
        <f t="shared" si="13"/>
        <v>100</v>
      </c>
      <c r="V35" s="711" t="s">
        <v>17</v>
      </c>
      <c r="W35" s="712">
        <f t="shared" si="14"/>
        <v>100</v>
      </c>
      <c r="X35" s="1538"/>
      <c r="Y35" s="3344" t="s">
        <v>2387</v>
      </c>
      <c r="Z35" s="1539" t="str">
        <f t="shared" si="15"/>
        <v>市政基础设施</v>
      </c>
      <c r="AA35" s="1536">
        <f t="shared" si="3"/>
        <v>1</v>
      </c>
      <c r="AB35" s="1536">
        <f t="shared" si="4"/>
        <v>1</v>
      </c>
      <c r="AC35" s="1536">
        <f t="shared" si="5"/>
        <v>1</v>
      </c>
    </row>
    <row r="36" spans="1:29" ht="15">
      <c r="A36" s="429"/>
      <c r="B36" s="379" t="s">
        <v>2490</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344"/>
      <c r="Q36" s="1535" t="str">
        <f t="shared" si="11"/>
        <v>内部装修</v>
      </c>
      <c r="R36" s="711" t="s">
        <v>17</v>
      </c>
      <c r="S36" s="712">
        <f t="shared" si="12"/>
        <v>100</v>
      </c>
      <c r="T36" s="711" t="s">
        <v>17</v>
      </c>
      <c r="U36" s="712">
        <f t="shared" si="13"/>
        <v>100</v>
      </c>
      <c r="V36" s="711" t="s">
        <v>17</v>
      </c>
      <c r="W36" s="712">
        <f t="shared" si="14"/>
        <v>100</v>
      </c>
      <c r="X36" s="1538"/>
      <c r="Y36" s="3344"/>
      <c r="Z36" s="1539" t="str">
        <f t="shared" si="15"/>
        <v>内部装修</v>
      </c>
      <c r="AA36" s="1536">
        <f t="shared" si="3"/>
        <v>1</v>
      </c>
      <c r="AB36" s="1536">
        <f t="shared" si="4"/>
        <v>1</v>
      </c>
      <c r="AC36" s="1536">
        <f t="shared" si="5"/>
        <v>1</v>
      </c>
    </row>
    <row r="37" spans="1:29" ht="15">
      <c r="A37" s="429"/>
      <c r="B37" s="379" t="s">
        <v>2526</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344"/>
      <c r="Q37" s="1535" t="str">
        <f t="shared" si="11"/>
        <v>内部装修状况</v>
      </c>
      <c r="R37" s="711" t="s">
        <v>17</v>
      </c>
      <c r="S37" s="712">
        <f t="shared" si="12"/>
        <v>100</v>
      </c>
      <c r="T37" s="711" t="s">
        <v>17</v>
      </c>
      <c r="U37" s="712">
        <f t="shared" si="13"/>
        <v>100</v>
      </c>
      <c r="V37" s="711" t="s">
        <v>17</v>
      </c>
      <c r="W37" s="712">
        <f t="shared" si="14"/>
        <v>100</v>
      </c>
      <c r="X37" s="1538"/>
      <c r="Y37" s="3344"/>
      <c r="Z37" s="1539" t="str">
        <f t="shared" si="15"/>
        <v>内部装修状况</v>
      </c>
      <c r="AA37" s="1536">
        <f t="shared" si="3"/>
        <v>1</v>
      </c>
      <c r="AB37" s="1536">
        <f t="shared" si="4"/>
        <v>1</v>
      </c>
      <c r="AC37" s="1536">
        <f t="shared" si="5"/>
        <v>1</v>
      </c>
    </row>
    <row r="38" spans="1:29" s="428" customFormat="1" ht="15">
      <c r="A38" s="425"/>
      <c r="B38" s="129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344"/>
      <c r="Q38" s="713">
        <f t="shared" si="11"/>
        <v>111</v>
      </c>
      <c r="R38" s="714" t="s">
        <v>17</v>
      </c>
      <c r="S38" s="715">
        <f t="shared" si="12"/>
        <v>100</v>
      </c>
      <c r="T38" s="714" t="s">
        <v>17</v>
      </c>
      <c r="U38" s="715">
        <f t="shared" si="13"/>
        <v>100</v>
      </c>
      <c r="V38" s="714" t="s">
        <v>17</v>
      </c>
      <c r="W38" s="715">
        <f t="shared" si="14"/>
        <v>100</v>
      </c>
      <c r="X38" s="716"/>
      <c r="Y38" s="3344"/>
      <c r="Z38" s="717">
        <f t="shared" si="15"/>
        <v>111</v>
      </c>
      <c r="AA38" s="1536">
        <f t="shared" si="3"/>
        <v>1</v>
      </c>
      <c r="AB38" s="1536">
        <f t="shared" si="4"/>
        <v>1</v>
      </c>
      <c r="AC38" s="1536">
        <f t="shared" si="5"/>
        <v>1</v>
      </c>
    </row>
    <row r="39" spans="1:29" ht="15">
      <c r="A39" s="429"/>
      <c r="B39" s="129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344"/>
      <c r="Q39" s="1535">
        <f t="shared" si="11"/>
        <v>111</v>
      </c>
      <c r="R39" s="711" t="s">
        <v>17</v>
      </c>
      <c r="S39" s="712">
        <f t="shared" si="12"/>
        <v>100</v>
      </c>
      <c r="T39" s="711" t="s">
        <v>17</v>
      </c>
      <c r="U39" s="712">
        <f t="shared" si="13"/>
        <v>100</v>
      </c>
      <c r="V39" s="711" t="s">
        <v>17</v>
      </c>
      <c r="W39" s="712">
        <f t="shared" si="14"/>
        <v>100</v>
      </c>
      <c r="X39" s="1538"/>
      <c r="Y39" s="3344"/>
      <c r="Z39" s="1539">
        <f t="shared" si="15"/>
        <v>111</v>
      </c>
      <c r="AA39" s="1536">
        <f t="shared" si="3"/>
        <v>1</v>
      </c>
      <c r="AB39" s="1536">
        <f t="shared" si="4"/>
        <v>1</v>
      </c>
      <c r="AC39" s="1536">
        <f t="shared" si="5"/>
        <v>1</v>
      </c>
    </row>
    <row r="40" spans="1:29" ht="15.75" thickBot="1">
      <c r="A40" s="435"/>
      <c r="B40" s="2080">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345"/>
      <c r="Q40" s="1535">
        <f t="shared" si="11"/>
        <v>111</v>
      </c>
      <c r="R40" s="711" t="s">
        <v>17</v>
      </c>
      <c r="S40" s="712">
        <f t="shared" si="12"/>
        <v>100</v>
      </c>
      <c r="T40" s="711" t="s">
        <v>17</v>
      </c>
      <c r="U40" s="712">
        <f t="shared" si="13"/>
        <v>100</v>
      </c>
      <c r="V40" s="711" t="s">
        <v>17</v>
      </c>
      <c r="W40" s="712">
        <f t="shared" si="14"/>
        <v>100</v>
      </c>
      <c r="X40" s="1538"/>
      <c r="Y40" s="3345"/>
      <c r="Z40" s="1539">
        <f t="shared" si="15"/>
        <v>111</v>
      </c>
      <c r="AA40" s="1536">
        <f t="shared" si="3"/>
        <v>1</v>
      </c>
      <c r="AB40" s="1536">
        <f t="shared" si="4"/>
        <v>1</v>
      </c>
      <c r="AC40" s="1536">
        <f t="shared" si="5"/>
        <v>1</v>
      </c>
    </row>
    <row r="41" spans="1:29" ht="15">
      <c r="A41" s="436" t="s">
        <v>2399</v>
      </c>
      <c r="B41" s="437"/>
      <c r="C41" s="1313" t="s">
        <v>1</v>
      </c>
      <c r="D41" s="1314"/>
      <c r="E41" s="1315"/>
      <c r="F41" s="1316"/>
      <c r="G41" s="1317"/>
      <c r="H41" s="1318"/>
      <c r="I41" s="1315"/>
      <c r="J41" s="1318"/>
      <c r="K41" s="720"/>
      <c r="L41" s="1054"/>
      <c r="M41" s="1055"/>
      <c r="N41" s="1042"/>
      <c r="O41" s="1055"/>
      <c r="P41" s="3346" t="str">
        <f>A41</f>
        <v>成交单价（元/平方米）</v>
      </c>
      <c r="Q41" s="3346"/>
      <c r="R41" s="3347">
        <f>E41</f>
        <v>0</v>
      </c>
      <c r="S41" s="3347"/>
      <c r="T41" s="3347">
        <f>G41</f>
        <v>0</v>
      </c>
      <c r="U41" s="3347"/>
      <c r="V41" s="3347">
        <f>I41</f>
        <v>0</v>
      </c>
      <c r="W41" s="3347"/>
      <c r="X41" s="696"/>
      <c r="Y41" s="718"/>
      <c r="Z41" s="696"/>
      <c r="AA41" s="696"/>
      <c r="AB41" s="696"/>
      <c r="AC41" s="696"/>
    </row>
    <row r="42" spans="1:29" ht="15.75" thickBot="1">
      <c r="A42" s="443" t="s">
        <v>2491</v>
      </c>
      <c r="B42" s="444"/>
      <c r="C42" s="1319" t="e">
        <f>R43</f>
        <v>#DIV/0!</v>
      </c>
      <c r="D42" s="2537" t="s">
        <v>2881</v>
      </c>
      <c r="E42" s="1320" t="e">
        <f>R42</f>
        <v>#DIV/0!</v>
      </c>
      <c r="F42" s="2538"/>
      <c r="G42" s="1319" t="e">
        <f>T42</f>
        <v>#DIV/0!</v>
      </c>
      <c r="H42" s="2538"/>
      <c r="I42" s="1320" t="e">
        <f>V42</f>
        <v>#DIV/0!</v>
      </c>
      <c r="J42" s="2538"/>
      <c r="K42" s="2540">
        <f>F42+H42+J42</f>
        <v>0</v>
      </c>
      <c r="L42" s="1054"/>
      <c r="M42" s="1055"/>
      <c r="N42" s="1042"/>
      <c r="O42" s="1055"/>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6"/>
      <c r="Y42" s="696"/>
      <c r="Z42" s="696"/>
      <c r="AA42" s="696"/>
      <c r="AB42" s="696"/>
      <c r="AC42" s="696"/>
    </row>
    <row r="43" spans="1:29" ht="15.75" thickBot="1">
      <c r="A43" s="447" t="s">
        <v>2492</v>
      </c>
      <c r="B43" s="448"/>
      <c r="C43" s="1322" t="e">
        <f>R43</f>
        <v>#DIV/0!</v>
      </c>
      <c r="D43" s="1322"/>
      <c r="E43" s="1322"/>
      <c r="F43" s="1322"/>
      <c r="G43" s="1322"/>
      <c r="H43" s="1322"/>
      <c r="I43" s="1322"/>
      <c r="J43" s="1322"/>
      <c r="K43" s="721"/>
      <c r="L43" s="1054"/>
      <c r="M43" s="1055"/>
      <c r="N43" s="1055"/>
      <c r="O43" s="1055"/>
      <c r="P43" s="3348" t="str">
        <f>A43</f>
        <v>估价对象XX用房的比较价值（楼面单价，元/平方米）</v>
      </c>
      <c r="Q43" s="3349"/>
      <c r="R43" s="3350" t="e">
        <f>IF(F1="售价",ROUND(IF(D42="简单平均",AVERAGE(R42:V42),R42*F42+T42*H42+V42*J42),0),ROUND(IF(D42="简单平均",AVERAGE(R42:V42),R42*F42+T42*H42+V42*J42),1))</f>
        <v>#DIV/0!</v>
      </c>
      <c r="S43" s="3350"/>
      <c r="T43" s="3350"/>
      <c r="U43" s="3350"/>
      <c r="V43" s="3350"/>
      <c r="W43" s="3350"/>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8"/>
      <c r="L46" s="1017"/>
      <c r="M46" s="1055"/>
      <c r="N46" s="1055"/>
      <c r="O46" s="1055"/>
    </row>
    <row r="47" spans="1:29" ht="13.5" customHeight="1">
      <c r="A47" s="2953"/>
      <c r="B47" s="2953"/>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8"/>
      <c r="L47" s="1017"/>
      <c r="M47" s="1055"/>
      <c r="N47" s="1055"/>
      <c r="O47" s="1055"/>
    </row>
    <row r="48" spans="1:29" s="457" customFormat="1" ht="13.5" customHeight="1">
      <c r="A48" s="2956"/>
      <c r="B48" s="2956"/>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1"/>
      <c r="L48" s="1058"/>
      <c r="M48" s="1056"/>
      <c r="N48" s="1056"/>
      <c r="O48" s="1056"/>
    </row>
    <row r="49" spans="1:17" s="457"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8"/>
      <c r="Q51" s="459"/>
    </row>
    <row r="52" spans="1:17" s="463" customFormat="1" ht="15">
      <c r="A52" s="460" t="s">
        <v>2370</v>
      </c>
      <c r="B52" s="461"/>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2"/>
    </row>
    <row r="53" spans="1:17" s="113" customFormat="1" ht="15">
      <c r="A53" s="464"/>
      <c r="B53" s="465"/>
      <c r="C53" s="1342">
        <v>100</v>
      </c>
      <c r="D53" s="467"/>
      <c r="E53" s="467"/>
      <c r="F53" s="467"/>
      <c r="G53" s="467"/>
      <c r="H53" s="467"/>
      <c r="I53" s="467"/>
      <c r="J53" s="467"/>
      <c r="K53" s="467"/>
      <c r="L53" s="467"/>
      <c r="M53" s="468"/>
      <c r="N53" s="467"/>
      <c r="O53" s="469"/>
      <c r="P53" s="459"/>
    </row>
    <row r="54" spans="1:17" s="113" customFormat="1" ht="15.75" thickBot="1">
      <c r="A54" s="470" t="s">
        <v>2407</v>
      </c>
      <c r="B54" s="471"/>
      <c r="C54" s="472"/>
      <c r="D54" s="473"/>
      <c r="E54" s="473"/>
      <c r="F54" s="473"/>
      <c r="G54" s="473"/>
      <c r="H54" s="473"/>
      <c r="I54" s="473"/>
      <c r="J54" s="473"/>
      <c r="K54" s="473"/>
      <c r="L54" s="473"/>
      <c r="M54" s="474"/>
      <c r="N54" s="2998"/>
      <c r="O54" s="2999"/>
      <c r="P54" s="459"/>
      <c r="Q54" s="459"/>
    </row>
    <row r="55" spans="1:17" s="113" customFormat="1" ht="15">
      <c r="A55" s="476" t="s">
        <v>2372</v>
      </c>
      <c r="B55" s="465"/>
      <c r="C55" s="477" t="s">
        <v>2474</v>
      </c>
      <c r="D55" s="478"/>
      <c r="E55" s="478"/>
      <c r="F55" s="478"/>
      <c r="G55" s="478"/>
      <c r="H55" s="478"/>
      <c r="I55" s="478"/>
      <c r="J55" s="478"/>
      <c r="K55" s="478"/>
      <c r="L55" s="479"/>
      <c r="M55" s="480"/>
      <c r="N55" s="1060"/>
      <c r="O55" s="1060"/>
      <c r="P55" s="481"/>
      <c r="Q55" s="459"/>
    </row>
    <row r="56" spans="1:17" s="113"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2410</v>
      </c>
      <c r="B57" s="483" t="s">
        <v>2376</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2379</v>
      </c>
      <c r="C59" s="494" t="s">
        <v>2411</v>
      </c>
      <c r="D59" s="494" t="s">
        <v>2412</v>
      </c>
      <c r="E59" s="494" t="s">
        <v>2413</v>
      </c>
      <c r="F59" s="494" t="s">
        <v>2414</v>
      </c>
      <c r="G59" s="494" t="s">
        <v>2415</v>
      </c>
      <c r="H59" s="494" t="s">
        <v>2416</v>
      </c>
      <c r="I59" s="494" t="s">
        <v>2417</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2380</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2381</v>
      </c>
      <c r="B70" s="483" t="s">
        <v>2527</v>
      </c>
      <c r="C70" s="528" t="s">
        <v>2419</v>
      </c>
      <c r="D70" s="528" t="s">
        <v>2420</v>
      </c>
      <c r="E70" s="528" t="s">
        <v>2421</v>
      </c>
      <c r="F70" s="528" t="s">
        <v>2422</v>
      </c>
      <c r="G70" s="528" t="s">
        <v>2423</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2424</v>
      </c>
      <c r="C72" s="533" t="s">
        <v>2419</v>
      </c>
      <c r="D72" s="533" t="s">
        <v>2420</v>
      </c>
      <c r="E72" s="533" t="s">
        <v>2421</v>
      </c>
      <c r="F72" s="533" t="s">
        <v>2422</v>
      </c>
      <c r="G72" s="533" t="s">
        <v>2423</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2425</v>
      </c>
      <c r="C74" s="533" t="s">
        <v>2419</v>
      </c>
      <c r="D74" s="533" t="s">
        <v>2420</v>
      </c>
      <c r="E74" s="533" t="s">
        <v>2421</v>
      </c>
      <c r="F74" s="533" t="s">
        <v>2422</v>
      </c>
      <c r="G74" s="533" t="s">
        <v>2423</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2511</v>
      </c>
      <c r="C76" s="614" t="s">
        <v>2497</v>
      </c>
      <c r="D76" s="614" t="s">
        <v>2498</v>
      </c>
      <c r="E76" s="614" t="s">
        <v>2499</v>
      </c>
      <c r="F76" s="614" t="s">
        <v>2500</v>
      </c>
      <c r="G76" s="614" t="s">
        <v>2501</v>
      </c>
      <c r="H76" s="494"/>
      <c r="I76" s="494"/>
      <c r="J76" s="494"/>
      <c r="K76" s="494"/>
      <c r="L76" s="494"/>
      <c r="M76" s="128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2520</v>
      </c>
      <c r="C78" s="533" t="s">
        <v>2419</v>
      </c>
      <c r="D78" s="533" t="s">
        <v>2420</v>
      </c>
      <c r="E78" s="533" t="s">
        <v>2421</v>
      </c>
      <c r="F78" s="533" t="s">
        <v>2422</v>
      </c>
      <c r="G78" s="533" t="s">
        <v>2423</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3" customFormat="1" ht="15.75" thickTop="1">
      <c r="A80" s="534"/>
      <c r="B80" s="493">
        <f>B25</f>
        <v>111</v>
      </c>
      <c r="C80" s="509"/>
      <c r="D80" s="509"/>
      <c r="E80" s="509"/>
      <c r="F80" s="509"/>
      <c r="G80" s="509"/>
      <c r="H80" s="509"/>
      <c r="I80" s="509"/>
      <c r="J80" s="509"/>
      <c r="K80" s="509"/>
      <c r="L80" s="535"/>
      <c r="M80" s="536"/>
      <c r="N80" s="1060"/>
      <c r="O80" s="1060"/>
      <c r="P80" s="45"/>
      <c r="Q80" s="459"/>
    </row>
    <row r="81" spans="1:17" s="113" customFormat="1" ht="15.75" thickBot="1">
      <c r="A81" s="534"/>
      <c r="B81" s="498"/>
      <c r="C81" s="515"/>
      <c r="D81" s="491"/>
      <c r="E81" s="491"/>
      <c r="F81" s="491"/>
      <c r="G81" s="491"/>
      <c r="H81" s="491"/>
      <c r="I81" s="491"/>
      <c r="J81" s="491"/>
      <c r="K81" s="491"/>
      <c r="L81" s="491"/>
      <c r="M81" s="492"/>
      <c r="N81" s="1062"/>
      <c r="O81" s="1062"/>
      <c r="P81" s="45"/>
      <c r="Q81" s="459"/>
    </row>
    <row r="82" spans="1:17" s="113" customFormat="1" ht="15.75" thickTop="1">
      <c r="A82" s="534"/>
      <c r="B82" s="493">
        <f>B26</f>
        <v>111</v>
      </c>
      <c r="C82" s="509"/>
      <c r="D82" s="509"/>
      <c r="E82" s="509"/>
      <c r="F82" s="509"/>
      <c r="G82" s="509"/>
      <c r="H82" s="509"/>
      <c r="I82" s="509"/>
      <c r="J82" s="509"/>
      <c r="K82" s="509"/>
      <c r="L82" s="535"/>
      <c r="M82" s="536"/>
      <c r="N82" s="1060"/>
      <c r="O82" s="1060"/>
      <c r="P82" s="45"/>
      <c r="Q82" s="459"/>
    </row>
    <row r="83" spans="1:17" s="113"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113"/>
      <c r="B87" s="524"/>
      <c r="C87" s="525"/>
      <c r="D87" s="525"/>
      <c r="E87" s="525"/>
      <c r="F87" s="525"/>
      <c r="G87" s="546"/>
      <c r="H87" s="546"/>
      <c r="I87" s="546"/>
      <c r="J87" s="546"/>
      <c r="K87" s="546"/>
      <c r="L87" s="546"/>
      <c r="M87" s="547"/>
      <c r="N87" s="1062"/>
      <c r="O87" s="1062"/>
      <c r="P87" s="45"/>
      <c r="Q87" s="459"/>
    </row>
    <row r="88" spans="1:17">
      <c r="A88" s="482" t="s">
        <v>2385</v>
      </c>
      <c r="B88" s="483" t="s">
        <v>2434</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2435</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2436</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2438</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2439</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2440</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2442</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2528</v>
      </c>
      <c r="C106" s="533" t="s">
        <v>2419</v>
      </c>
      <c r="D106" s="533" t="s">
        <v>2420</v>
      </c>
      <c r="E106" s="533" t="s">
        <v>2421</v>
      </c>
      <c r="F106" s="533" t="s">
        <v>2422</v>
      </c>
      <c r="G106" s="533" t="s">
        <v>2423</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113"/>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0" priority="20" stopIfTrue="1" operator="containsText" text="超过">
      <formula>NOT(ISERROR(SEARCH("超过",F46)))</formula>
    </cfRule>
  </conditionalFormatting>
  <conditionalFormatting sqref="H48">
    <cfRule type="containsText" dxfId="59" priority="19" stopIfTrue="1" operator="containsText" text="超过">
      <formula>NOT(ISERROR(SEARCH("超过",H48)))</formula>
    </cfRule>
  </conditionalFormatting>
  <conditionalFormatting sqref="F48">
    <cfRule type="containsText" dxfId="58" priority="18" stopIfTrue="1" operator="containsText" text="超过">
      <formula>NOT(ISERROR(SEARCH("超过",F48)))</formula>
    </cfRule>
  </conditionalFormatting>
  <conditionalFormatting sqref="F47 H47">
    <cfRule type="containsText" dxfId="57" priority="17" stopIfTrue="1" operator="containsText" text="超过">
      <formula>NOT(ISERROR(SEARCH("超过",F47)))</formula>
    </cfRule>
  </conditionalFormatting>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G46">
    <cfRule type="expression" dxfId="52" priority="12" stopIfTrue="1">
      <formula>$H$46="超过30%"</formula>
    </cfRule>
  </conditionalFormatting>
  <conditionalFormatting sqref="G47">
    <cfRule type="expression" dxfId="51" priority="11" stopIfTrue="1">
      <formula>$H$47="超过20%"</formula>
    </cfRule>
  </conditionalFormatting>
  <conditionalFormatting sqref="J46">
    <cfRule type="containsText" dxfId="50" priority="10" stopIfTrue="1" operator="containsText" text="超过">
      <formula>NOT(ISERROR(SEARCH("超过",J46)))</formula>
    </cfRule>
  </conditionalFormatting>
  <conditionalFormatting sqref="J48">
    <cfRule type="containsText" dxfId="49" priority="9" stopIfTrue="1" operator="containsText" text="超过">
      <formula>NOT(ISERROR(SEARCH("超过",J48)))</formula>
    </cfRule>
  </conditionalFormatting>
  <conditionalFormatting sqref="J47">
    <cfRule type="containsText" dxfId="48" priority="8" stopIfTrue="1" operator="containsText" text="超过">
      <formula>NOT(ISERROR(SEARCH("超过",J47)))</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F7:F40 H7:H40 J7:J40">
    <cfRule type="cellIs" dxfId="41"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7"/>
      <c r="B4" s="3119" t="s">
        <v>1595</v>
      </c>
      <c r="C4" s="3119"/>
      <c r="D4" s="3119"/>
      <c r="E4" s="1677"/>
    </row>
    <row r="5" spans="1:5" ht="16.5" thickTop="1">
      <c r="A5" s="1675"/>
      <c r="B5" s="3117" t="s">
        <v>1587</v>
      </c>
      <c r="C5" s="1678" t="s">
        <v>1588</v>
      </c>
      <c r="D5" s="956">
        <f ca="1">结果表!H101</f>
        <v>27651</v>
      </c>
      <c r="E5" s="1675"/>
    </row>
    <row r="6" spans="1:5" ht="15.75">
      <c r="A6" s="1675"/>
      <c r="B6" s="3117"/>
      <c r="C6" s="1678" t="s">
        <v>1589</v>
      </c>
      <c r="D6" s="956" t="str">
        <f ca="1">NUMBERSTRING(INT(D5*10000),2)&amp;"元整"</f>
        <v>贰亿柒仟陆佰伍拾壹万元整</v>
      </c>
      <c r="E6" s="1675"/>
    </row>
    <row r="7" spans="1:5" ht="15.75">
      <c r="A7" s="1675"/>
      <c r="B7" s="3122"/>
      <c r="C7" s="1679" t="s">
        <v>1590</v>
      </c>
      <c r="D7" s="957">
        <f ca="1">结果表!H102</f>
        <v>18292</v>
      </c>
      <c r="E7" s="1675"/>
    </row>
    <row r="8" spans="1:5" ht="15.75">
      <c r="A8" s="1675"/>
      <c r="B8" s="3123" t="str">
        <f>结果表!E103</f>
        <v>2.估价师知悉的法定优先受偿款</v>
      </c>
      <c r="C8" s="1680" t="s">
        <v>1591</v>
      </c>
      <c r="D8" s="957">
        <f>结果表!H103</f>
        <v>0</v>
      </c>
      <c r="E8" s="1675"/>
    </row>
    <row r="9" spans="1:5" ht="15.75">
      <c r="A9" s="1675"/>
      <c r="B9" s="3125"/>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116" t="str">
        <f>结果表!E107</f>
        <v>3.房地产抵押价值</v>
      </c>
      <c r="C13" s="1683" t="s">
        <v>1588</v>
      </c>
      <c r="D13" s="959">
        <f ca="1">结果表!H107</f>
        <v>27651</v>
      </c>
      <c r="E13" s="1675"/>
    </row>
    <row r="14" spans="1:5" ht="15.75">
      <c r="A14" s="1675"/>
      <c r="B14" s="3117"/>
      <c r="C14" s="1678" t="s">
        <v>1589</v>
      </c>
      <c r="D14" s="956" t="str">
        <f ca="1">NUMBERSTRING(INT(D13*10000),2)&amp;"元整"</f>
        <v>贰亿柒仟陆佰伍拾壹万元整</v>
      </c>
      <c r="E14" s="1675"/>
    </row>
    <row r="15" spans="1:5" ht="15">
      <c r="A15" s="1675"/>
      <c r="B15" s="3122"/>
      <c r="C15" s="1679" t="s">
        <v>1599</v>
      </c>
      <c r="D15" s="965">
        <f ca="1">结果表!H108</f>
        <v>12019</v>
      </c>
      <c r="E15" s="1675"/>
    </row>
    <row r="16" spans="1:5" ht="15">
      <c r="A16" s="1675"/>
      <c r="B16" s="3123" t="str">
        <f>结果表!E109</f>
        <v>——</v>
      </c>
      <c r="C16" s="1683" t="s">
        <v>1600</v>
      </c>
      <c r="D16" s="1684" t="str">
        <f>结果表!H109</f>
        <v>——</v>
      </c>
      <c r="E16" s="1675"/>
    </row>
    <row r="17" spans="1:5" ht="15.75">
      <c r="A17" s="1675"/>
      <c r="B17" s="3124"/>
      <c r="C17" s="1678" t="s">
        <v>1601</v>
      </c>
      <c r="D17" s="956" t="e">
        <f>NUMBERSTRING(INT(D16*10000),2)&amp;"元整"</f>
        <v>#VALUE!</v>
      </c>
      <c r="E17" s="1675"/>
    </row>
    <row r="18" spans="1:5" ht="15">
      <c r="A18" s="1675"/>
      <c r="B18" s="3125"/>
      <c r="C18" s="1679" t="s">
        <v>1590</v>
      </c>
      <c r="D18" s="965" t="str">
        <f>结果表!H110</f>
        <v>——</v>
      </c>
      <c r="E18" s="1675"/>
    </row>
    <row r="19" spans="1:5" ht="15.75">
      <c r="A19" s="1675"/>
      <c r="B19" s="3116" t="str">
        <f>结果表!E111</f>
        <v>——</v>
      </c>
      <c r="C19" s="1683" t="s">
        <v>1588</v>
      </c>
      <c r="D19" s="957" t="str">
        <f>结果表!H111</f>
        <v>——</v>
      </c>
      <c r="E19" s="1675"/>
    </row>
    <row r="20" spans="1:5" ht="15.75">
      <c r="A20" s="1675"/>
      <c r="B20" s="3117"/>
      <c r="C20" s="1678" t="s">
        <v>1601</v>
      </c>
      <c r="D20" s="956" t="e">
        <f>NUMBERSTRING(INT(D19*10000),2)&amp;"元整"</f>
        <v>#VALUE!</v>
      </c>
      <c r="E20" s="1675"/>
    </row>
    <row r="21" spans="1:5" ht="15.75" thickBot="1">
      <c r="A21" s="1675"/>
      <c r="B21" s="3118"/>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6" customFormat="1" ht="28.5" customHeight="1" thickBot="1">
      <c r="A3" s="207" t="s">
        <v>2151</v>
      </c>
      <c r="B3" s="564" t="e">
        <f ca="1">IF(C2="——",C37,ROUND(B2*10000/D3,0))</f>
        <v>#DIV/0!</v>
      </c>
      <c r="C3" s="358" t="s">
        <v>2466</v>
      </c>
      <c r="D3" s="357">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9" t="s">
        <v>2467</v>
      </c>
      <c r="B4" s="360"/>
      <c r="C4" s="3324" t="s">
        <v>2468</v>
      </c>
      <c r="D4" s="3325"/>
      <c r="E4" s="3326" t="s">
        <v>2469</v>
      </c>
      <c r="F4" s="3327"/>
      <c r="G4" s="3324" t="s">
        <v>2470</v>
      </c>
      <c r="H4" s="3325"/>
      <c r="I4" s="3324" t="s">
        <v>2471</v>
      </c>
      <c r="J4" s="3325"/>
      <c r="K4" s="565" t="s">
        <v>2472</v>
      </c>
      <c r="L4" s="2943"/>
      <c r="M4" s="2944"/>
      <c r="N4" s="2944"/>
      <c r="O4" s="2944"/>
      <c r="P4" s="3328" t="s">
        <v>2473</v>
      </c>
      <c r="Q4" s="3329"/>
      <c r="R4" s="3310" t="s">
        <v>2469</v>
      </c>
      <c r="S4" s="3311"/>
      <c r="T4" s="3310" t="s">
        <v>2470</v>
      </c>
      <c r="U4" s="3311"/>
      <c r="V4" s="3307" t="s">
        <v>2471</v>
      </c>
      <c r="W4" s="3307"/>
      <c r="X4" s="1538"/>
      <c r="Y4" s="3310" t="s">
        <v>2473</v>
      </c>
      <c r="Z4" s="3311"/>
      <c r="AA4" s="3304" t="s">
        <v>2469</v>
      </c>
      <c r="AB4" s="3305" t="s">
        <v>2470</v>
      </c>
      <c r="AC4" s="3304" t="s">
        <v>2471</v>
      </c>
    </row>
    <row r="5" spans="1:29" ht="15">
      <c r="A5" s="362"/>
      <c r="B5" s="363"/>
      <c r="C5" s="3316" t="s">
        <v>2364</v>
      </c>
      <c r="D5" s="3317"/>
      <c r="E5" s="3314" t="s">
        <v>2365</v>
      </c>
      <c r="F5" s="3315"/>
      <c r="G5" s="3316" t="s">
        <v>2366</v>
      </c>
      <c r="H5" s="3317"/>
      <c r="I5" s="3316" t="s">
        <v>2367</v>
      </c>
      <c r="J5" s="3317"/>
      <c r="K5" s="565"/>
      <c r="L5" s="2943"/>
      <c r="M5" s="2944"/>
      <c r="N5" s="2944"/>
      <c r="O5" s="2944"/>
      <c r="P5" s="3330"/>
      <c r="Q5" s="3331"/>
      <c r="R5" s="3312"/>
      <c r="S5" s="3313"/>
      <c r="T5" s="3312"/>
      <c r="U5" s="3313"/>
      <c r="V5" s="3307"/>
      <c r="W5" s="3307"/>
      <c r="X5" s="1538"/>
      <c r="Y5" s="3312"/>
      <c r="Z5" s="3313"/>
      <c r="AA5" s="3305"/>
      <c r="AB5" s="3305"/>
      <c r="AC5" s="3305"/>
    </row>
    <row r="6" spans="1:29" ht="15.75" thickBot="1">
      <c r="A6" s="364"/>
      <c r="B6" s="365"/>
      <c r="C6" s="3318" t="s">
        <v>2368</v>
      </c>
      <c r="D6" s="3319"/>
      <c r="E6" s="3370" t="s">
        <v>2368</v>
      </c>
      <c r="F6" s="3321"/>
      <c r="G6" s="3318" t="s">
        <v>2368</v>
      </c>
      <c r="H6" s="3319"/>
      <c r="I6" s="3318" t="s">
        <v>2368</v>
      </c>
      <c r="J6" s="3319"/>
      <c r="K6" s="565" t="s">
        <v>2369</v>
      </c>
      <c r="L6" s="2943"/>
      <c r="M6" s="2944"/>
      <c r="N6" s="2944"/>
      <c r="O6" s="2944"/>
      <c r="P6" s="3332"/>
      <c r="Q6" s="3333"/>
      <c r="R6" s="3312"/>
      <c r="S6" s="3313"/>
      <c r="T6" s="3334"/>
      <c r="U6" s="3335"/>
      <c r="V6" s="3307"/>
      <c r="W6" s="3307"/>
      <c r="X6" s="1538"/>
      <c r="Y6" s="3334"/>
      <c r="Z6" s="3335"/>
      <c r="AA6" s="3306"/>
      <c r="AB6" s="3306"/>
      <c r="AC6" s="3306"/>
    </row>
    <row r="7" spans="1:29" s="113" customFormat="1" ht="15.75" thickBot="1">
      <c r="A7" s="366" t="s">
        <v>2370</v>
      </c>
      <c r="B7" s="367"/>
      <c r="C7" s="368">
        <f>'数据-取费表'!B2</f>
        <v>44131</v>
      </c>
      <c r="D7" s="369">
        <v>100</v>
      </c>
      <c r="E7" s="370"/>
      <c r="F7" s="371">
        <f>SUMIF(46:46,YEAR(E7)&amp;"-"&amp;MONTH(E7),47:47)</f>
        <v>0</v>
      </c>
      <c r="G7" s="2159"/>
      <c r="H7" s="369">
        <f>SUMIF(46:46,YEAR(G7)&amp;"-"&amp;MONTH(G7),47:47)</f>
        <v>0</v>
      </c>
      <c r="I7" s="370"/>
      <c r="J7" s="369">
        <f>SUMIF(46:46,YEAR(I7)&amp;"-"&amp;MONTH(I7),47:47)</f>
        <v>0</v>
      </c>
      <c r="K7" s="566"/>
      <c r="L7" s="2945"/>
      <c r="M7" s="2946"/>
      <c r="N7" s="2946"/>
      <c r="O7" s="2946"/>
      <c r="P7" s="3308" t="s">
        <v>2371</v>
      </c>
      <c r="Q7" s="3336"/>
      <c r="R7" s="707" t="s">
        <v>17</v>
      </c>
      <c r="S7" s="708">
        <f t="shared" ref="S7:S14" si="0">F7</f>
        <v>0</v>
      </c>
      <c r="T7" s="707" t="s">
        <v>17</v>
      </c>
      <c r="U7" s="708">
        <f t="shared" ref="U7:U14" si="1">H7</f>
        <v>0</v>
      </c>
      <c r="V7" s="707" t="s">
        <v>17</v>
      </c>
      <c r="W7" s="708">
        <f t="shared" ref="W7:W14" si="2">J7</f>
        <v>0</v>
      </c>
      <c r="X7" s="709"/>
      <c r="Y7" s="3308" t="s">
        <v>2371</v>
      </c>
      <c r="Z7" s="3309"/>
      <c r="AA7" s="710" t="e">
        <f>D7/F7</f>
        <v>#DIV/0!</v>
      </c>
      <c r="AB7" s="710" t="e">
        <f>D7/H7</f>
        <v>#DIV/0!</v>
      </c>
      <c r="AC7" s="710" t="e">
        <f>D7/J7</f>
        <v>#DIV/0!</v>
      </c>
    </row>
    <row r="8" spans="1:29" s="113" customFormat="1" ht="15.75" thickBot="1">
      <c r="A8" s="366" t="s">
        <v>2372</v>
      </c>
      <c r="B8" s="367"/>
      <c r="C8" s="372" t="s">
        <v>2474</v>
      </c>
      <c r="D8" s="369">
        <v>100</v>
      </c>
      <c r="E8" s="372"/>
      <c r="F8" s="371">
        <f>SUMIF(49:49,E8,50:50)-SUMIF(49:49,C8,50:50)+100</f>
        <v>0</v>
      </c>
      <c r="G8" s="372"/>
      <c r="H8" s="369">
        <f>SUMIF(49:49,G8,50:50)-SUMIF(49:49,C8,50:50)+100</f>
        <v>0</v>
      </c>
      <c r="I8" s="372"/>
      <c r="J8" s="369">
        <f>SUMIF(49:49,I8,50:50)-SUMIF(49:49,C8,50:50)+100</f>
        <v>0</v>
      </c>
      <c r="K8" s="566"/>
      <c r="L8" s="2945"/>
      <c r="M8" s="2946"/>
      <c r="N8" s="2946"/>
      <c r="O8" s="2946"/>
      <c r="P8" s="3308" t="s">
        <v>2374</v>
      </c>
      <c r="Q8" s="3309"/>
      <c r="R8" s="707" t="s">
        <v>17</v>
      </c>
      <c r="S8" s="708">
        <f t="shared" si="0"/>
        <v>0</v>
      </c>
      <c r="T8" s="707" t="s">
        <v>17</v>
      </c>
      <c r="U8" s="708">
        <f t="shared" si="1"/>
        <v>0</v>
      </c>
      <c r="V8" s="707" t="s">
        <v>17</v>
      </c>
      <c r="W8" s="708">
        <f t="shared" si="2"/>
        <v>0</v>
      </c>
      <c r="X8" s="709"/>
      <c r="Y8" s="3308" t="s">
        <v>2374</v>
      </c>
      <c r="Z8" s="3309"/>
      <c r="AA8" s="710" t="e">
        <f t="shared" ref="AA8:AA34" si="3">D8/F8</f>
        <v>#DIV/0!</v>
      </c>
      <c r="AB8" s="710" t="e">
        <f t="shared" ref="AB8:AB34" si="4">D8/H8</f>
        <v>#DIV/0!</v>
      </c>
      <c r="AC8" s="710" t="e">
        <f t="shared" ref="AC8:AC34" si="5">D8/J8</f>
        <v>#DIV/0!</v>
      </c>
    </row>
    <row r="9" spans="1:29" s="113" customFormat="1">
      <c r="A9" s="373" t="s">
        <v>2375</v>
      </c>
      <c r="B9" s="67" t="s">
        <v>2376</v>
      </c>
      <c r="C9" s="374"/>
      <c r="D9" s="129">
        <v>100</v>
      </c>
      <c r="E9" s="377"/>
      <c r="F9" s="376">
        <f>SUMIF(51:51,E9,52:52)-SUMIF(51:51,C9,52:52)+100</f>
        <v>100</v>
      </c>
      <c r="G9" s="377"/>
      <c r="H9" s="129">
        <f>SUMIF(51:51,G9,52:52)-SUMIF(51:51,C9,52:52)+100</f>
        <v>100</v>
      </c>
      <c r="I9" s="377"/>
      <c r="J9" s="129">
        <f>SUMIF(51:51,I9,52:52)-SUMIF(51:51,C9,52:52)+100</f>
        <v>100</v>
      </c>
      <c r="K9" s="566"/>
      <c r="L9" s="2945"/>
      <c r="M9" s="2946"/>
      <c r="N9" s="2946"/>
      <c r="O9" s="3000"/>
      <c r="P9" s="3346" t="s">
        <v>2377</v>
      </c>
      <c r="Q9" s="1526" t="str">
        <f t="shared" ref="Q9:Q14" si="6">B9</f>
        <v>用途</v>
      </c>
      <c r="R9" s="707" t="s">
        <v>17</v>
      </c>
      <c r="S9" s="708">
        <f t="shared" si="0"/>
        <v>100</v>
      </c>
      <c r="T9" s="707" t="s">
        <v>17</v>
      </c>
      <c r="U9" s="708">
        <f t="shared" si="1"/>
        <v>100</v>
      </c>
      <c r="V9" s="707" t="s">
        <v>17</v>
      </c>
      <c r="W9" s="708">
        <f t="shared" si="2"/>
        <v>100</v>
      </c>
      <c r="X9" s="709"/>
      <c r="Y9" s="3280" t="s">
        <v>2378</v>
      </c>
      <c r="Z9" s="55" t="str">
        <f t="shared" ref="Z9:Z14" si="7">Q9</f>
        <v>用途</v>
      </c>
      <c r="AA9" s="710">
        <f t="shared" si="3"/>
        <v>1</v>
      </c>
      <c r="AB9" s="710">
        <f t="shared" si="4"/>
        <v>1</v>
      </c>
      <c r="AC9" s="710">
        <f t="shared" si="5"/>
        <v>1</v>
      </c>
    </row>
    <row r="10" spans="1:29" s="384" customFormat="1" ht="27">
      <c r="A10" s="378"/>
      <c r="B10" s="379" t="s">
        <v>2379</v>
      </c>
      <c r="C10" s="380"/>
      <c r="D10" s="130">
        <v>100</v>
      </c>
      <c r="E10" s="380"/>
      <c r="F10" s="382">
        <f>SUMIF(53:53,E10,54:54)-SUMIF(53:53,C10,54:54)+100</f>
        <v>100</v>
      </c>
      <c r="G10" s="380"/>
      <c r="H10" s="130">
        <f>SUMIF(53:53,G10,54:54)-SUMIF(53:53,C10,54:54)+100</f>
        <v>100</v>
      </c>
      <c r="I10" s="380"/>
      <c r="J10" s="130">
        <f>SUMIF(53:53,I10,54:54)-SUMIF(53:53,C10,54:54)+100</f>
        <v>100</v>
      </c>
      <c r="K10" s="567"/>
      <c r="L10" s="2947"/>
      <c r="M10" s="2948"/>
      <c r="N10" s="2948"/>
      <c r="O10" s="3001"/>
      <c r="P10" s="3346"/>
      <c r="Q10" s="1526" t="str">
        <f t="shared" si="6"/>
        <v>土地使用年限（年）</v>
      </c>
      <c r="R10" s="707" t="s">
        <v>17</v>
      </c>
      <c r="S10" s="708">
        <f t="shared" si="0"/>
        <v>100</v>
      </c>
      <c r="T10" s="707" t="s">
        <v>17</v>
      </c>
      <c r="U10" s="708">
        <f t="shared" si="1"/>
        <v>100</v>
      </c>
      <c r="V10" s="707" t="s">
        <v>17</v>
      </c>
      <c r="W10" s="708">
        <f t="shared" si="2"/>
        <v>100</v>
      </c>
      <c r="X10" s="709"/>
      <c r="Y10" s="3280"/>
      <c r="Z10" s="55" t="str">
        <f t="shared" si="7"/>
        <v>土地使用年限（年）</v>
      </c>
      <c r="AA10" s="710">
        <f t="shared" si="3"/>
        <v>1</v>
      </c>
      <c r="AB10" s="710">
        <f t="shared" si="4"/>
        <v>1</v>
      </c>
      <c r="AC10" s="710">
        <f t="shared" si="5"/>
        <v>1</v>
      </c>
    </row>
    <row r="11" spans="1:29" ht="15">
      <c r="A11" s="385"/>
      <c r="B11" s="2078">
        <v>111</v>
      </c>
      <c r="C11" s="389"/>
      <c r="D11" s="130">
        <v>100</v>
      </c>
      <c r="E11" s="426"/>
      <c r="F11" s="382">
        <f>SUMIF(55:55,E11,56:56)-SUMIF(55:55,C11,56:56)+100</f>
        <v>100</v>
      </c>
      <c r="G11" s="426"/>
      <c r="H11" s="130">
        <f>SUMIF(55:55,G11,56:56)-SUMIF(55:55,C11,56:56)+100</f>
        <v>100</v>
      </c>
      <c r="I11" s="426"/>
      <c r="J11" s="130">
        <f>SUMIF(55:55,I11,56:56)-SUMIF(55:55,C11,56:56)+100</f>
        <v>100</v>
      </c>
      <c r="K11" s="568"/>
      <c r="L11" s="2949"/>
      <c r="M11" s="2944"/>
      <c r="N11" s="2944"/>
      <c r="O11" s="3002"/>
      <c r="P11" s="3346"/>
      <c r="Q11" s="1526">
        <f t="shared" si="6"/>
        <v>111</v>
      </c>
      <c r="R11" s="707" t="s">
        <v>17</v>
      </c>
      <c r="S11" s="708">
        <f t="shared" si="0"/>
        <v>100</v>
      </c>
      <c r="T11" s="707" t="s">
        <v>17</v>
      </c>
      <c r="U11" s="708">
        <f t="shared" si="1"/>
        <v>100</v>
      </c>
      <c r="V11" s="707" t="s">
        <v>17</v>
      </c>
      <c r="W11" s="708">
        <f t="shared" si="2"/>
        <v>100</v>
      </c>
      <c r="X11" s="709"/>
      <c r="Y11" s="3280"/>
      <c r="Z11" s="55">
        <f t="shared" si="7"/>
        <v>111</v>
      </c>
      <c r="AA11" s="710">
        <f t="shared" si="3"/>
        <v>1</v>
      </c>
      <c r="AB11" s="710">
        <f t="shared" si="4"/>
        <v>1</v>
      </c>
      <c r="AC11" s="710">
        <f t="shared" si="5"/>
        <v>1</v>
      </c>
    </row>
    <row r="12" spans="1:29" s="113" customFormat="1" ht="15">
      <c r="A12" s="388"/>
      <c r="B12" s="2078">
        <v>111</v>
      </c>
      <c r="C12" s="389"/>
      <c r="D12" s="390">
        <v>100</v>
      </c>
      <c r="E12" s="426"/>
      <c r="F12" s="382">
        <f>SUMIF(57:57,E12,58:58)-SUMIF(57:57,C12,58:58)+100</f>
        <v>100</v>
      </c>
      <c r="G12" s="426"/>
      <c r="H12" s="130">
        <f>SUMIF(57:57,G12,58:58)-SUMIF(57:57,C12,58:58)+100</f>
        <v>100</v>
      </c>
      <c r="I12" s="426"/>
      <c r="J12" s="130">
        <f>SUMIF(57:57,I12,58:58)-SUMIF(57:57,C12,58:58)+100</f>
        <v>100</v>
      </c>
      <c r="K12" s="568"/>
      <c r="L12" s="2945"/>
      <c r="M12" s="2946"/>
      <c r="N12" s="2946"/>
      <c r="O12" s="3000"/>
      <c r="P12" s="3346"/>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710">
        <f>D12/J12</f>
        <v>1</v>
      </c>
    </row>
    <row r="13" spans="1:29" ht="15.75" thickBot="1">
      <c r="A13" s="385"/>
      <c r="B13" s="2078">
        <v>111</v>
      </c>
      <c r="C13" s="391"/>
      <c r="D13" s="392">
        <v>100</v>
      </c>
      <c r="E13" s="426"/>
      <c r="F13" s="382">
        <f>SUMIF(59:59,E13,60:60)-SUMIF(59:59,C13,60:60)+100</f>
        <v>100</v>
      </c>
      <c r="G13" s="2160"/>
      <c r="H13" s="395">
        <f>SUMIF(59:59,G13,60:60)-SUMIF(59:59,C13,60:60)+100</f>
        <v>100</v>
      </c>
      <c r="I13" s="426"/>
      <c r="J13" s="392">
        <f>SUMIF(59:59,I13,60:60)-SUMIF(59:59,C13,60:60)+100</f>
        <v>100</v>
      </c>
      <c r="K13" s="568"/>
      <c r="L13" s="2950"/>
      <c r="M13" s="2944"/>
      <c r="N13" s="2944"/>
      <c r="O13" s="3002"/>
      <c r="P13" s="3346"/>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710">
        <f t="shared" si="5"/>
        <v>1</v>
      </c>
    </row>
    <row r="14" spans="1:29" ht="85.5">
      <c r="A14" s="397" t="s">
        <v>2381</v>
      </c>
      <c r="B14" s="65" t="s">
        <v>2531</v>
      </c>
      <c r="C14" s="215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50"/>
      <c r="M14" s="2944"/>
      <c r="N14" s="2944"/>
      <c r="O14" s="3002"/>
      <c r="P14" s="3339" t="s">
        <v>2382</v>
      </c>
      <c r="Q14" s="1535" t="str">
        <f t="shared" si="6"/>
        <v>交通便捷度</v>
      </c>
      <c r="R14" s="711" t="s">
        <v>17</v>
      </c>
      <c r="S14" s="712">
        <f t="shared" si="0"/>
        <v>100</v>
      </c>
      <c r="T14" s="711" t="s">
        <v>17</v>
      </c>
      <c r="U14" s="712">
        <f t="shared" si="1"/>
        <v>100</v>
      </c>
      <c r="V14" s="711" t="s">
        <v>17</v>
      </c>
      <c r="W14" s="712">
        <f t="shared" si="2"/>
        <v>100</v>
      </c>
      <c r="X14" s="1538"/>
      <c r="Y14" s="3339" t="s">
        <v>2382</v>
      </c>
      <c r="Z14" s="1539" t="str">
        <f t="shared" si="7"/>
        <v>交通便捷度</v>
      </c>
      <c r="AA14" s="1536">
        <f t="shared" si="3"/>
        <v>1</v>
      </c>
      <c r="AB14" s="1536">
        <f t="shared" si="4"/>
        <v>1</v>
      </c>
      <c r="AC14" s="1536">
        <f t="shared" si="5"/>
        <v>1</v>
      </c>
    </row>
    <row r="15" spans="1:29" ht="15">
      <c r="A15" s="385"/>
      <c r="B15" s="403"/>
      <c r="C15" s="404"/>
      <c r="D15" s="405"/>
      <c r="E15" s="404"/>
      <c r="F15" s="406"/>
      <c r="G15" s="404"/>
      <c r="H15" s="407"/>
      <c r="I15" s="404"/>
      <c r="J15" s="405"/>
      <c r="K15" s="570"/>
      <c r="L15" s="2950"/>
      <c r="M15" s="2944"/>
      <c r="N15" s="2944"/>
      <c r="O15" s="3002"/>
      <c r="P15" s="3340"/>
      <c r="Q15" s="1535"/>
      <c r="R15" s="711"/>
      <c r="S15" s="712"/>
      <c r="T15" s="711"/>
      <c r="U15" s="712"/>
      <c r="V15" s="711"/>
      <c r="W15" s="712"/>
      <c r="X15" s="1538"/>
      <c r="Y15" s="3340"/>
      <c r="Z15" s="1539"/>
      <c r="AA15" s="1536">
        <v>1</v>
      </c>
      <c r="AB15" s="1536">
        <v>1</v>
      </c>
      <c r="AC15" s="1536">
        <v>1</v>
      </c>
    </row>
    <row r="16" spans="1:29" ht="42.75">
      <c r="A16" s="385"/>
      <c r="B16" s="408" t="s">
        <v>2510</v>
      </c>
      <c r="C16" s="2085"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50"/>
      <c r="M16" s="2944"/>
      <c r="N16" s="2944"/>
      <c r="O16" s="3002"/>
      <c r="P16" s="3340"/>
      <c r="Q16" s="1535" t="str">
        <f>B16</f>
        <v>公共配套设施</v>
      </c>
      <c r="R16" s="711" t="s">
        <v>17</v>
      </c>
      <c r="S16" s="712">
        <f>F16</f>
        <v>100</v>
      </c>
      <c r="T16" s="711" t="s">
        <v>17</v>
      </c>
      <c r="U16" s="712">
        <f>H16</f>
        <v>100</v>
      </c>
      <c r="V16" s="711" t="s">
        <v>17</v>
      </c>
      <c r="W16" s="712">
        <f>J16</f>
        <v>100</v>
      </c>
      <c r="X16" s="1538"/>
      <c r="Y16" s="3340"/>
      <c r="Z16" s="1539" t="str">
        <f>Q16</f>
        <v>公共配套设施</v>
      </c>
      <c r="AA16" s="1536">
        <f t="shared" si="3"/>
        <v>1</v>
      </c>
      <c r="AB16" s="1536">
        <f t="shared" si="4"/>
        <v>1</v>
      </c>
      <c r="AC16" s="1536">
        <f t="shared" si="5"/>
        <v>1</v>
      </c>
    </row>
    <row r="17" spans="1:29" ht="15">
      <c r="A17" s="385"/>
      <c r="B17" s="413"/>
      <c r="C17" s="2086"/>
      <c r="D17" s="405"/>
      <c r="E17" s="404"/>
      <c r="F17" s="406"/>
      <c r="G17" s="404"/>
      <c r="H17" s="405"/>
      <c r="I17" s="404"/>
      <c r="J17" s="405"/>
      <c r="K17" s="570"/>
      <c r="L17" s="2950"/>
      <c r="M17" s="2944"/>
      <c r="N17" s="2944"/>
      <c r="O17" s="3002"/>
      <c r="P17" s="3340"/>
      <c r="Q17" s="1535"/>
      <c r="R17" s="711"/>
      <c r="S17" s="712"/>
      <c r="T17" s="711"/>
      <c r="U17" s="712"/>
      <c r="V17" s="711"/>
      <c r="W17" s="712"/>
      <c r="X17" s="1538"/>
      <c r="Y17" s="3340"/>
      <c r="Z17" s="1539"/>
      <c r="AA17" s="1536">
        <v>1</v>
      </c>
      <c r="AB17" s="1536">
        <v>1</v>
      </c>
      <c r="AC17" s="1536">
        <v>1</v>
      </c>
    </row>
    <row r="18" spans="1:29" ht="28.5">
      <c r="A18" s="385"/>
      <c r="B18" s="1290" t="s">
        <v>2511</v>
      </c>
      <c r="C18" s="2085"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50"/>
      <c r="M18" s="2944"/>
      <c r="N18" s="2944"/>
      <c r="O18" s="3002"/>
      <c r="P18" s="3340"/>
      <c r="Q18" s="1535" t="str">
        <f>B18</f>
        <v>基础设施水平</v>
      </c>
      <c r="R18" s="711" t="s">
        <v>17</v>
      </c>
      <c r="S18" s="712">
        <f>F18</f>
        <v>100</v>
      </c>
      <c r="T18" s="711" t="s">
        <v>17</v>
      </c>
      <c r="U18" s="712">
        <f>H18</f>
        <v>100</v>
      </c>
      <c r="V18" s="711" t="s">
        <v>17</v>
      </c>
      <c r="W18" s="712">
        <f>J18</f>
        <v>100</v>
      </c>
      <c r="X18" s="1538"/>
      <c r="Y18" s="3340"/>
      <c r="Z18" s="1539" t="str">
        <f>Q18</f>
        <v>基础设施水平</v>
      </c>
      <c r="AA18" s="1536">
        <f t="shared" ref="AA18" si="8">D18/F18</f>
        <v>1</v>
      </c>
      <c r="AB18" s="1536">
        <f t="shared" ref="AB18" si="9">D18/H18</f>
        <v>1</v>
      </c>
      <c r="AC18" s="1536">
        <f t="shared" ref="AC18" si="10">D18/J18</f>
        <v>1</v>
      </c>
    </row>
    <row r="19" spans="1:29" ht="15">
      <c r="A19" s="385"/>
      <c r="B19" s="1290"/>
      <c r="C19" s="2086"/>
      <c r="D19" s="407"/>
      <c r="E19" s="2086"/>
      <c r="F19" s="410"/>
      <c r="G19" s="2086"/>
      <c r="H19" s="405"/>
      <c r="I19" s="404"/>
      <c r="J19" s="405"/>
      <c r="K19" s="1289"/>
      <c r="L19" s="2950"/>
      <c r="M19" s="2944"/>
      <c r="N19" s="2944"/>
      <c r="O19" s="3002"/>
      <c r="P19" s="3340"/>
      <c r="Q19" s="1535"/>
      <c r="R19" s="711"/>
      <c r="S19" s="712"/>
      <c r="T19" s="711"/>
      <c r="U19" s="712"/>
      <c r="V19" s="711"/>
      <c r="W19" s="712"/>
      <c r="X19" s="1538"/>
      <c r="Y19" s="3340"/>
      <c r="Z19" s="1539"/>
      <c r="AA19" s="1536">
        <v>1</v>
      </c>
      <c r="AB19" s="1536">
        <v>1</v>
      </c>
      <c r="AC19" s="1536">
        <v>1</v>
      </c>
    </row>
    <row r="20" spans="1:29" ht="57">
      <c r="A20" s="385"/>
      <c r="B20" s="408" t="s">
        <v>2532</v>
      </c>
      <c r="C20" s="2085"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50"/>
      <c r="M20" s="2944"/>
      <c r="N20" s="2944"/>
      <c r="O20" s="3002"/>
      <c r="P20" s="3340"/>
      <c r="Q20" s="1535" t="str">
        <f>B20</f>
        <v>自然及人文环境</v>
      </c>
      <c r="R20" s="711" t="s">
        <v>17</v>
      </c>
      <c r="S20" s="712">
        <f>F20</f>
        <v>100</v>
      </c>
      <c r="T20" s="711" t="s">
        <v>17</v>
      </c>
      <c r="U20" s="712">
        <f>H20</f>
        <v>100</v>
      </c>
      <c r="V20" s="711" t="s">
        <v>17</v>
      </c>
      <c r="W20" s="712">
        <f>J20</f>
        <v>100</v>
      </c>
      <c r="X20" s="1538"/>
      <c r="Y20" s="3340"/>
      <c r="Z20" s="1539" t="str">
        <f>Q20</f>
        <v>自然及人文环境</v>
      </c>
      <c r="AA20" s="1536">
        <f t="shared" si="3"/>
        <v>1</v>
      </c>
      <c r="AB20" s="1536">
        <f t="shared" si="4"/>
        <v>1</v>
      </c>
      <c r="AC20" s="1536">
        <f t="shared" si="5"/>
        <v>1</v>
      </c>
    </row>
    <row r="21" spans="1:29" ht="15">
      <c r="A21" s="385"/>
      <c r="B21" s="413"/>
      <c r="C21" s="404"/>
      <c r="D21" s="405"/>
      <c r="E21" s="404"/>
      <c r="F21" s="406"/>
      <c r="G21" s="404"/>
      <c r="H21" s="405"/>
      <c r="I21" s="404"/>
      <c r="J21" s="405"/>
      <c r="K21" s="570"/>
      <c r="L21" s="2950"/>
      <c r="M21" s="2944"/>
      <c r="N21" s="2944"/>
      <c r="O21" s="3002"/>
      <c r="P21" s="3340"/>
      <c r="Q21" s="1535"/>
      <c r="R21" s="711"/>
      <c r="S21" s="712"/>
      <c r="T21" s="711"/>
      <c r="U21" s="712"/>
      <c r="V21" s="711"/>
      <c r="W21" s="712"/>
      <c r="X21" s="1538"/>
      <c r="Y21" s="3340"/>
      <c r="Z21" s="1539"/>
      <c r="AA21" s="1536">
        <v>1</v>
      </c>
      <c r="AB21" s="1536">
        <v>1</v>
      </c>
      <c r="AC21" s="1536">
        <v>1</v>
      </c>
    </row>
    <row r="22" spans="1:29" ht="15">
      <c r="A22" s="385"/>
      <c r="B22" s="408" t="s">
        <v>2533</v>
      </c>
      <c r="C22" s="571"/>
      <c r="D22" s="407">
        <v>100</v>
      </c>
      <c r="E22" s="571"/>
      <c r="F22" s="418">
        <f>SUMIF(69:69,E22,70:70)-SUMIF(69:69,C22,70:70)+100</f>
        <v>100</v>
      </c>
      <c r="G22" s="571"/>
      <c r="H22" s="392">
        <f>SUMIF(69:69,G22,70:70)-SUMIF(69:69,C22,70:70)+100</f>
        <v>100</v>
      </c>
      <c r="I22" s="571"/>
      <c r="J22" s="392">
        <f>SUMIF(69:69,I22,70:70)-SUMIF(69:69,C22,70:70)+100</f>
        <v>100</v>
      </c>
      <c r="K22" s="567"/>
      <c r="L22" s="2950"/>
      <c r="M22" s="2944"/>
      <c r="N22" s="2944"/>
      <c r="O22" s="3002"/>
      <c r="P22" s="3340"/>
      <c r="Q22" s="1535" t="str">
        <f>B22</f>
        <v>楼层</v>
      </c>
      <c r="R22" s="711" t="s">
        <v>17</v>
      </c>
      <c r="S22" s="712">
        <f>F22</f>
        <v>100</v>
      </c>
      <c r="T22" s="711" t="s">
        <v>17</v>
      </c>
      <c r="U22" s="712">
        <f>H22</f>
        <v>100</v>
      </c>
      <c r="V22" s="711" t="s">
        <v>17</v>
      </c>
      <c r="W22" s="712">
        <f>J22</f>
        <v>100</v>
      </c>
      <c r="X22" s="1538"/>
      <c r="Y22" s="3340"/>
      <c r="Z22" s="1539" t="str">
        <f>Q22</f>
        <v>楼层</v>
      </c>
      <c r="AA22" s="1536">
        <f t="shared" si="3"/>
        <v>1</v>
      </c>
      <c r="AB22" s="1536">
        <f t="shared" si="4"/>
        <v>1</v>
      </c>
      <c r="AC22" s="1536">
        <f t="shared" si="5"/>
        <v>1</v>
      </c>
    </row>
    <row r="23" spans="1:29" ht="15">
      <c r="A23" s="362"/>
      <c r="B23" s="2078">
        <v>111</v>
      </c>
      <c r="C23" s="389"/>
      <c r="D23" s="392">
        <v>100</v>
      </c>
      <c r="E23" s="391"/>
      <c r="F23" s="418">
        <f>SUMIF(71:71,E23,72:72)-SUMIF(71:71,C23,72:72)+100</f>
        <v>100</v>
      </c>
      <c r="G23" s="391"/>
      <c r="H23" s="392">
        <f>SUMIF(71:71,G23,72:72)-SUMIF(71:71,C23,72:72)+100</f>
        <v>100</v>
      </c>
      <c r="I23" s="391"/>
      <c r="J23" s="392">
        <f>SUMIF(71:71,I23,72:72)-SUMIF(71:71,C23,72:72)+100</f>
        <v>100</v>
      </c>
      <c r="K23" s="568"/>
      <c r="L23" s="2950"/>
      <c r="M23" s="2944"/>
      <c r="N23" s="2944"/>
      <c r="O23" s="3002"/>
      <c r="P23" s="3340"/>
      <c r="Q23" s="1535">
        <f>B23</f>
        <v>111</v>
      </c>
      <c r="R23" s="711" t="s">
        <v>17</v>
      </c>
      <c r="S23" s="712">
        <f>F23</f>
        <v>100</v>
      </c>
      <c r="T23" s="711" t="s">
        <v>17</v>
      </c>
      <c r="U23" s="712">
        <f>H23</f>
        <v>100</v>
      </c>
      <c r="V23" s="711" t="s">
        <v>17</v>
      </c>
      <c r="W23" s="712">
        <f>J23</f>
        <v>100</v>
      </c>
      <c r="X23" s="1538"/>
      <c r="Y23" s="3340"/>
      <c r="Z23" s="1539">
        <f>Q23</f>
        <v>111</v>
      </c>
      <c r="AA23" s="1536">
        <f t="shared" si="3"/>
        <v>1</v>
      </c>
      <c r="AB23" s="1536">
        <f t="shared" si="4"/>
        <v>1</v>
      </c>
      <c r="AC23" s="1536">
        <f t="shared" si="5"/>
        <v>1</v>
      </c>
    </row>
    <row r="24" spans="1:29" ht="15">
      <c r="A24" s="385"/>
      <c r="B24" s="2078">
        <v>111</v>
      </c>
      <c r="C24" s="389"/>
      <c r="D24" s="392">
        <v>100</v>
      </c>
      <c r="E24" s="391"/>
      <c r="F24" s="418">
        <f>SUMIF(73:73,E24,74:74)-SUMIF(73:73,C24,74:74)+100</f>
        <v>100</v>
      </c>
      <c r="G24" s="391"/>
      <c r="H24" s="392">
        <f>SUMIF(73:73,G24,74:74)-SUMIF(73:73,C24,74:74)+100</f>
        <v>100</v>
      </c>
      <c r="I24" s="391"/>
      <c r="J24" s="392">
        <f>SUMIF(73:73,I24,74:74)-SUMIF(73:73,C24,74:74)+100</f>
        <v>100</v>
      </c>
      <c r="K24" s="568"/>
      <c r="L24" s="2950"/>
      <c r="M24" s="2944"/>
      <c r="N24" s="2944"/>
      <c r="O24" s="3002"/>
      <c r="P24" s="3340"/>
      <c r="Q24" s="1535">
        <f t="shared" ref="Q24:Q34" si="11">B24</f>
        <v>111</v>
      </c>
      <c r="R24" s="711" t="s">
        <v>17</v>
      </c>
      <c r="S24" s="712">
        <f>F24</f>
        <v>100</v>
      </c>
      <c r="T24" s="711" t="s">
        <v>17</v>
      </c>
      <c r="U24" s="712">
        <f>H24</f>
        <v>100</v>
      </c>
      <c r="V24" s="711" t="s">
        <v>17</v>
      </c>
      <c r="W24" s="712">
        <f>J24</f>
        <v>100</v>
      </c>
      <c r="X24" s="1538"/>
      <c r="Y24" s="3340"/>
      <c r="Z24" s="1539">
        <f>Q24</f>
        <v>111</v>
      </c>
      <c r="AA24" s="1536">
        <f t="shared" si="3"/>
        <v>1</v>
      </c>
      <c r="AB24" s="1536">
        <f t="shared" si="4"/>
        <v>1</v>
      </c>
      <c r="AC24" s="1536">
        <f t="shared" si="5"/>
        <v>1</v>
      </c>
    </row>
    <row r="25" spans="1:29" s="113" customFormat="1" ht="15.75" thickBot="1">
      <c r="A25" s="388"/>
      <c r="B25" s="2078">
        <v>111</v>
      </c>
      <c r="C25" s="2161"/>
      <c r="D25" s="619">
        <v>100</v>
      </c>
      <c r="E25" s="2161"/>
      <c r="F25" s="620">
        <f>SUMIF(75:75,E25,76:76)-SUMIF(75:75,C25,76:76)+100</f>
        <v>100</v>
      </c>
      <c r="G25" s="2161"/>
      <c r="H25" s="619">
        <f>SUMIF(75:75,G25,76:76)-SUMIF(75:75,C25,76:76)+100</f>
        <v>100</v>
      </c>
      <c r="I25" s="2161"/>
      <c r="J25" s="619">
        <f>SUMIF(75:75,I25,76:76)-SUMIF(75:75,C25,76:76)+100</f>
        <v>100</v>
      </c>
      <c r="K25" s="568"/>
      <c r="L25" s="2945"/>
      <c r="M25" s="2946"/>
      <c r="N25" s="2946"/>
      <c r="O25" s="3000"/>
      <c r="P25" s="3340"/>
      <c r="Q25" s="1526">
        <f t="shared" si="11"/>
        <v>111</v>
      </c>
      <c r="R25" s="707" t="s">
        <v>17</v>
      </c>
      <c r="S25" s="708">
        <f>F25</f>
        <v>100</v>
      </c>
      <c r="T25" s="707" t="s">
        <v>17</v>
      </c>
      <c r="U25" s="708">
        <f>H25</f>
        <v>100</v>
      </c>
      <c r="V25" s="707" t="s">
        <v>17</v>
      </c>
      <c r="W25" s="708">
        <f>J25</f>
        <v>100</v>
      </c>
      <c r="X25" s="709"/>
      <c r="Y25" s="3340"/>
      <c r="Z25" s="55">
        <f>Q25</f>
        <v>111</v>
      </c>
      <c r="AA25" s="1536">
        <f>D25/F25</f>
        <v>1</v>
      </c>
      <c r="AB25" s="1536">
        <f>D25/H25</f>
        <v>1</v>
      </c>
      <c r="AC25" s="1536">
        <f>D25/J25</f>
        <v>1</v>
      </c>
    </row>
    <row r="26" spans="1:29" ht="28.5">
      <c r="A26" s="423" t="s">
        <v>2385</v>
      </c>
      <c r="B26" s="67" t="s">
        <v>2536</v>
      </c>
      <c r="C26" s="2152"/>
      <c r="D26" s="424">
        <v>100</v>
      </c>
      <c r="E26" s="2152"/>
      <c r="F26" s="621">
        <f>SUMIF(77:77,E26,78:78)-SUMIF(77:77,C26,78:78)+100</f>
        <v>100</v>
      </c>
      <c r="G26" s="2152"/>
      <c r="H26" s="424">
        <f>SUMIF(77:77,G26,78:78)-SUMIF(77:77,C26,78:78)+100</f>
        <v>100</v>
      </c>
      <c r="I26" s="2152"/>
      <c r="J26" s="424">
        <f>SUMIF(77:77,I26,78:78)-SUMIF(77:77,C26,78:78)+100</f>
        <v>100</v>
      </c>
      <c r="K26" s="567"/>
      <c r="L26" s="2950"/>
      <c r="M26" s="2944"/>
      <c r="N26" s="2944"/>
      <c r="O26" s="3002"/>
      <c r="P26" s="3371"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344" t="s">
        <v>2387</v>
      </c>
      <c r="Z26" s="1539" t="str">
        <f t="shared" ref="Z26:Z34" si="15">Q26</f>
        <v>公共部分装修</v>
      </c>
      <c r="AA26" s="1536">
        <f t="shared" si="3"/>
        <v>1</v>
      </c>
      <c r="AB26" s="1536">
        <f t="shared" si="4"/>
        <v>1</v>
      </c>
      <c r="AC26" s="1536">
        <f t="shared" si="5"/>
        <v>1</v>
      </c>
    </row>
    <row r="27" spans="1:29" s="428" customFormat="1" ht="15">
      <c r="A27" s="425"/>
      <c r="B27" s="379" t="s">
        <v>2537</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9"/>
      <c r="M27" s="2951"/>
      <c r="N27" s="2951"/>
      <c r="O27" s="3003"/>
      <c r="P27" s="3344"/>
      <c r="Q27" s="713" t="str">
        <f t="shared" si="11"/>
        <v>成新率</v>
      </c>
      <c r="R27" s="714" t="s">
        <v>17</v>
      </c>
      <c r="S27" s="715" t="e">
        <f t="shared" si="12"/>
        <v>#N/A</v>
      </c>
      <c r="T27" s="714" t="s">
        <v>17</v>
      </c>
      <c r="U27" s="715" t="e">
        <f t="shared" si="13"/>
        <v>#N/A</v>
      </c>
      <c r="V27" s="714" t="s">
        <v>17</v>
      </c>
      <c r="W27" s="715" t="e">
        <f t="shared" si="14"/>
        <v>#N/A</v>
      </c>
      <c r="X27" s="716"/>
      <c r="Y27" s="3344"/>
      <c r="Z27" s="717" t="str">
        <f t="shared" si="15"/>
        <v>成新率</v>
      </c>
      <c r="AA27" s="1536" t="e">
        <f t="shared" si="3"/>
        <v>#N/A</v>
      </c>
      <c r="AB27" s="1536" t="e">
        <f t="shared" si="4"/>
        <v>#N/A</v>
      </c>
      <c r="AC27" s="1536" t="e">
        <f t="shared" si="5"/>
        <v>#N/A</v>
      </c>
    </row>
    <row r="28" spans="1:29" ht="15">
      <c r="A28" s="429"/>
      <c r="B28" s="379" t="s">
        <v>2538</v>
      </c>
      <c r="C28" s="417"/>
      <c r="D28" s="392">
        <v>100</v>
      </c>
      <c r="E28" s="417"/>
      <c r="F28" s="418">
        <f>SUMIF(82:82,E28,83:83)-SUMIF(82:82,C28,83:83)+100</f>
        <v>100</v>
      </c>
      <c r="G28" s="417"/>
      <c r="H28" s="392">
        <f>SUMIF(82:82,G28,83:83)-SUMIF(82:82,C28,83:83)+100</f>
        <v>100</v>
      </c>
      <c r="I28" s="417"/>
      <c r="J28" s="392">
        <f>SUMIF(82:82,I28,83:83)-SUMIF(82:82,C28,83:83)+100</f>
        <v>100</v>
      </c>
      <c r="K28" s="567"/>
      <c r="L28" s="2950"/>
      <c r="M28" s="2944"/>
      <c r="N28" s="2944"/>
      <c r="O28" s="3002"/>
      <c r="P28" s="3344"/>
      <c r="Q28" s="1535" t="str">
        <f t="shared" si="11"/>
        <v>物业等级</v>
      </c>
      <c r="R28" s="711" t="s">
        <v>17</v>
      </c>
      <c r="S28" s="712">
        <f t="shared" si="12"/>
        <v>100</v>
      </c>
      <c r="T28" s="711" t="s">
        <v>17</v>
      </c>
      <c r="U28" s="712">
        <f t="shared" si="13"/>
        <v>100</v>
      </c>
      <c r="V28" s="711" t="s">
        <v>17</v>
      </c>
      <c r="W28" s="712">
        <f t="shared" si="14"/>
        <v>100</v>
      </c>
      <c r="X28" s="1538"/>
      <c r="Y28" s="3344"/>
      <c r="Z28" s="1539" t="str">
        <f t="shared" si="15"/>
        <v>物业等级</v>
      </c>
      <c r="AA28" s="1536">
        <f t="shared" si="3"/>
        <v>1</v>
      </c>
      <c r="AB28" s="1536">
        <f t="shared" si="4"/>
        <v>1</v>
      </c>
      <c r="AC28" s="1536">
        <f t="shared" si="5"/>
        <v>1</v>
      </c>
    </row>
    <row r="29" spans="1:29" ht="15">
      <c r="A29" s="429"/>
      <c r="B29" s="379" t="s">
        <v>2558</v>
      </c>
      <c r="C29" s="611"/>
      <c r="D29" s="392">
        <v>100</v>
      </c>
      <c r="E29" s="611"/>
      <c r="F29" s="418">
        <f>SUMIF(84:84,E29,85:85)-SUMIF(84:84,C29,85:85)+100</f>
        <v>100</v>
      </c>
      <c r="G29" s="611"/>
      <c r="H29" s="392">
        <f>SUMIF(84:84,G29,85:85)-SUMIF(84:84,C29,85:85)+100</f>
        <v>100</v>
      </c>
      <c r="I29" s="611"/>
      <c r="J29" s="392">
        <f>SUMIF(84:84,I29,85:85)-SUMIF(84:84,C29,85:85)+100</f>
        <v>100</v>
      </c>
      <c r="K29" s="567"/>
      <c r="L29" s="2950"/>
      <c r="M29" s="2944"/>
      <c r="N29" s="2944"/>
      <c r="O29" s="3002"/>
      <c r="P29" s="3344"/>
      <c r="Q29" s="1535" t="str">
        <f t="shared" si="11"/>
        <v>有无电梯</v>
      </c>
      <c r="R29" s="711" t="s">
        <v>17</v>
      </c>
      <c r="S29" s="712">
        <f t="shared" si="12"/>
        <v>100</v>
      </c>
      <c r="T29" s="711" t="s">
        <v>17</v>
      </c>
      <c r="U29" s="712">
        <f t="shared" si="13"/>
        <v>100</v>
      </c>
      <c r="V29" s="711" t="s">
        <v>17</v>
      </c>
      <c r="W29" s="712">
        <f t="shared" si="14"/>
        <v>100</v>
      </c>
      <c r="X29" s="1538"/>
      <c r="Y29" s="3344"/>
      <c r="Z29" s="1539" t="str">
        <f t="shared" si="15"/>
        <v>有无电梯</v>
      </c>
      <c r="AA29" s="1536">
        <f t="shared" si="3"/>
        <v>1</v>
      </c>
      <c r="AB29" s="1536">
        <f t="shared" si="4"/>
        <v>1</v>
      </c>
      <c r="AC29" s="1536">
        <f t="shared" si="5"/>
        <v>1</v>
      </c>
    </row>
    <row r="30" spans="1:29" ht="15">
      <c r="A30" s="429"/>
      <c r="B30" s="379" t="s">
        <v>2559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50"/>
      <c r="M30" s="2944"/>
      <c r="N30" s="2944"/>
      <c r="O30" s="3002"/>
      <c r="P30" s="3344"/>
      <c r="Q30" s="1535" t="str">
        <f t="shared" si="11"/>
        <v>建筑面积</v>
      </c>
      <c r="R30" s="711" t="s">
        <v>17</v>
      </c>
      <c r="S30" s="712" t="e">
        <f t="shared" si="12"/>
        <v>#N/A</v>
      </c>
      <c r="T30" s="711" t="s">
        <v>17</v>
      </c>
      <c r="U30" s="712" t="e">
        <f t="shared" si="13"/>
        <v>#N/A</v>
      </c>
      <c r="V30" s="711" t="s">
        <v>17</v>
      </c>
      <c r="W30" s="712" t="e">
        <f t="shared" si="14"/>
        <v>#N/A</v>
      </c>
      <c r="X30" s="1538"/>
      <c r="Y30" s="3344"/>
      <c r="Z30" s="1539" t="str">
        <f t="shared" si="15"/>
        <v>建筑面积</v>
      </c>
      <c r="AA30" s="1536" t="e">
        <f t="shared" si="3"/>
        <v>#N/A</v>
      </c>
      <c r="AB30" s="1536" t="e">
        <f t="shared" si="4"/>
        <v>#N/A</v>
      </c>
      <c r="AC30" s="1536" t="e">
        <f t="shared" si="5"/>
        <v>#N/A</v>
      </c>
    </row>
    <row r="31" spans="1:29" s="113" customFormat="1" ht="15">
      <c r="A31" s="430"/>
      <c r="B31" s="379" t="s">
        <v>2560</v>
      </c>
      <c r="C31" s="611"/>
      <c r="D31" s="130">
        <v>100</v>
      </c>
      <c r="E31" s="611"/>
      <c r="F31" s="418">
        <f>SUMIF(89:89,E31,90:90)-SUMIF(89:89,C31,90:90)+100</f>
        <v>100</v>
      </c>
      <c r="G31" s="611"/>
      <c r="H31" s="392">
        <f>SUMIF(89:89,G31,90:90)-SUMIF(89:89,C31,90:90)+100</f>
        <v>100</v>
      </c>
      <c r="I31" s="611"/>
      <c r="J31" s="392">
        <f>SUMIF(89:89,I31,90:90)-SUMIF(89:89,C31,90:90)+100</f>
        <v>100</v>
      </c>
      <c r="K31" s="567"/>
      <c r="L31" s="2945"/>
      <c r="M31" s="2946"/>
      <c r="N31" s="2946"/>
      <c r="O31" s="3000"/>
      <c r="P31" s="3344"/>
      <c r="Q31" s="1526" t="str">
        <f t="shared" si="11"/>
        <v>是否封闭</v>
      </c>
      <c r="R31" s="707" t="s">
        <v>17</v>
      </c>
      <c r="S31" s="708">
        <f t="shared" si="12"/>
        <v>100</v>
      </c>
      <c r="T31" s="707" t="s">
        <v>17</v>
      </c>
      <c r="U31" s="708">
        <f t="shared" si="13"/>
        <v>100</v>
      </c>
      <c r="V31" s="707" t="s">
        <v>17</v>
      </c>
      <c r="W31" s="708">
        <f t="shared" si="14"/>
        <v>100</v>
      </c>
      <c r="X31" s="709"/>
      <c r="Y31" s="3344"/>
      <c r="Z31" s="55" t="str">
        <f t="shared" si="15"/>
        <v>是否封闭</v>
      </c>
      <c r="AA31" s="710">
        <f t="shared" si="3"/>
        <v>1</v>
      </c>
      <c r="AB31" s="710">
        <f t="shared" si="4"/>
        <v>1</v>
      </c>
      <c r="AC31" s="710">
        <f t="shared" si="5"/>
        <v>1</v>
      </c>
    </row>
    <row r="32" spans="1:29" ht="15">
      <c r="A32" s="429"/>
      <c r="B32" s="2078">
        <v>111</v>
      </c>
      <c r="C32" s="389"/>
      <c r="D32" s="392">
        <v>100</v>
      </c>
      <c r="E32" s="426"/>
      <c r="F32" s="418">
        <f>SUMIF(91:91,E32,92:92)-SUMIF(91:91,C32,92:92)+100</f>
        <v>100</v>
      </c>
      <c r="G32" s="426"/>
      <c r="H32" s="392">
        <f>SUMIF(91:91,G32,92:92)-SUMIF(91:91,C32,92:92)+100</f>
        <v>100</v>
      </c>
      <c r="I32" s="426"/>
      <c r="J32" s="392">
        <f>SUMIF(91:91,I32,92:92)-SUMIF(91:91,C32,92:92)+100</f>
        <v>100</v>
      </c>
      <c r="K32" s="568"/>
      <c r="L32" s="2950"/>
      <c r="M32" s="2944"/>
      <c r="N32" s="2944"/>
      <c r="O32" s="3002"/>
      <c r="P32" s="3344" t="s">
        <v>2387</v>
      </c>
      <c r="Q32" s="1535">
        <f t="shared" si="11"/>
        <v>111</v>
      </c>
      <c r="R32" s="711" t="s">
        <v>17</v>
      </c>
      <c r="S32" s="712">
        <f t="shared" si="12"/>
        <v>100</v>
      </c>
      <c r="T32" s="711" t="s">
        <v>17</v>
      </c>
      <c r="U32" s="712">
        <f t="shared" si="13"/>
        <v>100</v>
      </c>
      <c r="V32" s="711" t="s">
        <v>17</v>
      </c>
      <c r="W32" s="712">
        <f t="shared" si="14"/>
        <v>100</v>
      </c>
      <c r="X32" s="1538"/>
      <c r="Y32" s="3344" t="s">
        <v>2387</v>
      </c>
      <c r="Z32" s="1539">
        <f t="shared" si="15"/>
        <v>111</v>
      </c>
      <c r="AA32" s="1536">
        <f t="shared" si="3"/>
        <v>1</v>
      </c>
      <c r="AB32" s="1536">
        <f t="shared" si="4"/>
        <v>1</v>
      </c>
      <c r="AC32" s="1536">
        <f t="shared" si="5"/>
        <v>1</v>
      </c>
    </row>
    <row r="33" spans="1:30" ht="15">
      <c r="A33" s="429"/>
      <c r="B33" s="2078">
        <v>111</v>
      </c>
      <c r="C33" s="389"/>
      <c r="D33" s="392">
        <v>100</v>
      </c>
      <c r="E33" s="426"/>
      <c r="F33" s="418">
        <f>SUMIF(93:93,E33,94:94)-SUMIF(93:93,C33,94:94)+100</f>
        <v>100</v>
      </c>
      <c r="G33" s="426"/>
      <c r="H33" s="392">
        <f>SUMIF(93:93,G33,94:94)-SUMIF(93:93,C33,94:94)+100</f>
        <v>100</v>
      </c>
      <c r="I33" s="426"/>
      <c r="J33" s="392">
        <f>SUMIF(93:93,I33,94:94)-SUMIF(93:93,C33,94:94)+100</f>
        <v>100</v>
      </c>
      <c r="K33" s="568"/>
      <c r="L33" s="2950"/>
      <c r="M33" s="2944"/>
      <c r="N33" s="2944"/>
      <c r="O33" s="3002"/>
      <c r="P33" s="3344"/>
      <c r="Q33" s="1535">
        <f t="shared" si="11"/>
        <v>111</v>
      </c>
      <c r="R33" s="711" t="s">
        <v>17</v>
      </c>
      <c r="S33" s="712">
        <f t="shared" si="12"/>
        <v>100</v>
      </c>
      <c r="T33" s="711" t="s">
        <v>17</v>
      </c>
      <c r="U33" s="712">
        <f t="shared" si="13"/>
        <v>100</v>
      </c>
      <c r="V33" s="711" t="s">
        <v>17</v>
      </c>
      <c r="W33" s="712">
        <f t="shared" si="14"/>
        <v>100</v>
      </c>
      <c r="X33" s="1538"/>
      <c r="Y33" s="3344"/>
      <c r="Z33" s="1539">
        <f t="shared" si="15"/>
        <v>111</v>
      </c>
      <c r="AA33" s="1536">
        <f t="shared" si="3"/>
        <v>1</v>
      </c>
      <c r="AB33" s="1536">
        <f t="shared" si="4"/>
        <v>1</v>
      </c>
      <c r="AC33" s="1536">
        <f t="shared" si="5"/>
        <v>1</v>
      </c>
    </row>
    <row r="34" spans="1:30" ht="15.75" thickBot="1">
      <c r="A34" s="435"/>
      <c r="B34" s="2080">
        <v>111</v>
      </c>
      <c r="C34" s="394"/>
      <c r="D34" s="395">
        <v>100</v>
      </c>
      <c r="E34" s="2160"/>
      <c r="F34" s="396">
        <f>SUMIF(95:95,E34,96:96)-SUMIF(95:95,C34,96:96)+100</f>
        <v>100</v>
      </c>
      <c r="G34" s="2160"/>
      <c r="H34" s="395">
        <f>SUMIF(95:95,G34,96:96)-SUMIF(95:95,C34,96:96)+100</f>
        <v>100</v>
      </c>
      <c r="I34" s="2160"/>
      <c r="J34" s="395">
        <f>SUMIF(95:95,I34,96:96)-SUMIF(95:95,C34,96:96)+100</f>
        <v>100</v>
      </c>
      <c r="K34" s="568"/>
      <c r="L34" s="2950"/>
      <c r="M34" s="2944"/>
      <c r="N34" s="2944"/>
      <c r="O34" s="3002"/>
      <c r="P34" s="3344"/>
      <c r="Q34" s="1535">
        <f t="shared" si="11"/>
        <v>111</v>
      </c>
      <c r="R34" s="711" t="s">
        <v>17</v>
      </c>
      <c r="S34" s="712">
        <f t="shared" si="12"/>
        <v>100</v>
      </c>
      <c r="T34" s="711" t="s">
        <v>17</v>
      </c>
      <c r="U34" s="712">
        <f t="shared" si="13"/>
        <v>100</v>
      </c>
      <c r="V34" s="711" t="s">
        <v>17</v>
      </c>
      <c r="W34" s="712">
        <f t="shared" si="14"/>
        <v>100</v>
      </c>
      <c r="X34" s="1538"/>
      <c r="Y34" s="3344"/>
      <c r="Z34" s="1539">
        <f t="shared" si="15"/>
        <v>111</v>
      </c>
      <c r="AA34" s="1536">
        <f t="shared" si="3"/>
        <v>1</v>
      </c>
      <c r="AB34" s="1536">
        <f t="shared" si="4"/>
        <v>1</v>
      </c>
      <c r="AC34" s="1536">
        <f t="shared" si="5"/>
        <v>1</v>
      </c>
    </row>
    <row r="35" spans="1:30" ht="15">
      <c r="A35" s="436" t="s">
        <v>2399</v>
      </c>
      <c r="B35" s="437"/>
      <c r="C35" s="1313" t="s">
        <v>1</v>
      </c>
      <c r="D35" s="1314"/>
      <c r="E35" s="1315"/>
      <c r="F35" s="1316"/>
      <c r="G35" s="1317"/>
      <c r="H35" s="1318"/>
      <c r="I35" s="1315"/>
      <c r="J35" s="1318"/>
      <c r="K35" s="720"/>
      <c r="L35" s="2952"/>
      <c r="M35" s="2953"/>
      <c r="N35" s="2944"/>
      <c r="O35" s="2953"/>
      <c r="P35" s="3346" t="str">
        <f>A35</f>
        <v>成交单价（元/平方米）</v>
      </c>
      <c r="Q35" s="3346"/>
      <c r="R35" s="3347">
        <f>E35</f>
        <v>0</v>
      </c>
      <c r="S35" s="3347"/>
      <c r="T35" s="3347">
        <f>G35</f>
        <v>0</v>
      </c>
      <c r="U35" s="3347"/>
      <c r="V35" s="3347">
        <f>I35</f>
        <v>0</v>
      </c>
      <c r="W35" s="3347"/>
      <c r="X35" s="696"/>
      <c r="Y35" s="718"/>
      <c r="Z35" s="696"/>
      <c r="AA35" s="696"/>
      <c r="AB35" s="696"/>
      <c r="AC35" s="696"/>
    </row>
    <row r="36" spans="1:30" ht="15.75" thickBot="1">
      <c r="A36" s="443" t="s">
        <v>2491</v>
      </c>
      <c r="B36" s="444"/>
      <c r="C36" s="1319" t="e">
        <f>R37</f>
        <v>#DIV/0!</v>
      </c>
      <c r="D36" s="2537" t="s">
        <v>2881</v>
      </c>
      <c r="E36" s="1320" t="e">
        <f>R36</f>
        <v>#DIV/0!</v>
      </c>
      <c r="F36" s="2538"/>
      <c r="G36" s="1319" t="e">
        <f>T36</f>
        <v>#DIV/0!</v>
      </c>
      <c r="H36" s="2538"/>
      <c r="I36" s="1320" t="e">
        <f>V36</f>
        <v>#DIV/0!</v>
      </c>
      <c r="J36" s="2538"/>
      <c r="K36" s="2540">
        <f>F36+H36+J36</f>
        <v>0</v>
      </c>
      <c r="L36" s="2952"/>
      <c r="M36" s="2953"/>
      <c r="N36" s="2944"/>
      <c r="O36" s="2953"/>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6"/>
      <c r="Y36" s="696"/>
      <c r="Z36" s="696"/>
      <c r="AA36" s="696"/>
      <c r="AB36" s="696"/>
      <c r="AC36" s="696"/>
    </row>
    <row r="37" spans="1:30" ht="15.75" thickBot="1">
      <c r="A37" s="447" t="s">
        <v>2492</v>
      </c>
      <c r="B37" s="448"/>
      <c r="C37" s="1322" t="e">
        <f>R37</f>
        <v>#DIV/0!</v>
      </c>
      <c r="D37" s="1322"/>
      <c r="E37" s="1322"/>
      <c r="F37" s="1322"/>
      <c r="G37" s="1322"/>
      <c r="H37" s="1322"/>
      <c r="I37" s="1322"/>
      <c r="J37" s="1322"/>
      <c r="K37" s="721"/>
      <c r="L37" s="2952"/>
      <c r="M37" s="2953"/>
      <c r="N37" s="2953"/>
      <c r="O37" s="2953"/>
      <c r="P37" s="3348" t="str">
        <f>A37</f>
        <v>估价对象XX用房的比较价值（楼面单价，元/平方米）</v>
      </c>
      <c r="Q37" s="3349"/>
      <c r="R37" s="3372" t="e">
        <f>IF(F1="售价",ROUND(IF(D36="简单平均",AVERAGE(R36:W36),R36*F36+T36*H36+V36*J36),0),ROUND(IF(D36="简单平均",AVERAGE(R36:V36),R36*F36+T36*H36+V36*J36),1))</f>
        <v>#DIV/0!</v>
      </c>
      <c r="S37" s="3372"/>
      <c r="T37" s="3372"/>
      <c r="U37" s="3372"/>
      <c r="V37" s="3372"/>
      <c r="W37" s="3372"/>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2" t="s">
        <v>2493</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2" t="s">
        <v>2494</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7" customFormat="1" ht="13.5" customHeight="1">
      <c r="A42" s="2956"/>
      <c r="B42" s="2956"/>
      <c r="C42" s="452" t="s">
        <v>2495</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7"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3" customFormat="1" ht="15">
      <c r="A46" s="460" t="s">
        <v>2370</v>
      </c>
      <c r="B46" s="461"/>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3" customFormat="1" ht="15">
      <c r="A47" s="464"/>
      <c r="B47" s="465"/>
      <c r="C47" s="1342">
        <v>100</v>
      </c>
      <c r="D47" s="467"/>
      <c r="E47" s="467"/>
      <c r="F47" s="467"/>
      <c r="G47" s="467"/>
      <c r="H47" s="467"/>
      <c r="I47" s="467"/>
      <c r="J47" s="467"/>
      <c r="K47" s="467"/>
      <c r="L47" s="467"/>
      <c r="M47" s="468"/>
      <c r="N47" s="467"/>
      <c r="O47" s="469"/>
      <c r="P47" s="2967"/>
      <c r="Q47" s="2887"/>
      <c r="R47" s="2887"/>
      <c r="S47" s="2887"/>
      <c r="T47" s="2887"/>
      <c r="U47" s="2887"/>
      <c r="V47" s="2887"/>
      <c r="W47" s="2887"/>
      <c r="X47" s="2887"/>
      <c r="Y47" s="2887"/>
      <c r="Z47" s="2887"/>
      <c r="AA47" s="2887"/>
      <c r="AB47" s="2887"/>
      <c r="AC47" s="2887"/>
      <c r="AD47" s="2887"/>
    </row>
    <row r="48" spans="1:30" s="113" customFormat="1" ht="15.75" thickBot="1">
      <c r="A48" s="470" t="s">
        <v>2407</v>
      </c>
      <c r="B48" s="471"/>
      <c r="C48" s="472"/>
      <c r="D48" s="473"/>
      <c r="E48" s="473"/>
      <c r="F48" s="473"/>
      <c r="G48" s="473"/>
      <c r="H48" s="473"/>
      <c r="I48" s="473"/>
      <c r="J48" s="473"/>
      <c r="K48" s="473"/>
      <c r="L48" s="473"/>
      <c r="M48" s="474"/>
      <c r="N48" s="473"/>
      <c r="O48" s="475"/>
      <c r="P48" s="2967"/>
      <c r="Q48" s="2967"/>
      <c r="R48" s="2887"/>
      <c r="S48" s="2887"/>
      <c r="T48" s="2887"/>
      <c r="U48" s="2887"/>
      <c r="V48" s="2887"/>
      <c r="W48" s="2887"/>
      <c r="X48" s="2887"/>
      <c r="Y48" s="2887"/>
      <c r="Z48" s="2887"/>
      <c r="AA48" s="2887"/>
      <c r="AB48" s="2887"/>
      <c r="AC48" s="2887"/>
      <c r="AD48" s="2887"/>
    </row>
    <row r="49" spans="1:30" s="113" customFormat="1" ht="15">
      <c r="A49" s="476" t="s">
        <v>2372</v>
      </c>
      <c r="B49" s="465"/>
      <c r="C49" s="477" t="s">
        <v>2474</v>
      </c>
      <c r="D49" s="478"/>
      <c r="E49" s="478"/>
      <c r="F49" s="478"/>
      <c r="G49" s="478"/>
      <c r="H49" s="478"/>
      <c r="I49" s="478"/>
      <c r="J49" s="478"/>
      <c r="K49" s="478"/>
      <c r="L49" s="479"/>
      <c r="M49" s="480"/>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6"/>
      <c r="B50" s="465"/>
      <c r="C50" s="593">
        <v>100</v>
      </c>
      <c r="D50" s="467"/>
      <c r="E50" s="467"/>
      <c r="F50" s="467"/>
      <c r="G50" s="467"/>
      <c r="H50" s="467"/>
      <c r="I50" s="467"/>
      <c r="J50" s="467"/>
      <c r="K50" s="467"/>
      <c r="L50" s="467"/>
      <c r="M50" s="469"/>
      <c r="N50" s="2980"/>
      <c r="O50" s="2980"/>
      <c r="P50" s="2967"/>
      <c r="Q50" s="2967"/>
      <c r="R50" s="2887"/>
      <c r="S50" s="2887"/>
      <c r="T50" s="2887"/>
      <c r="U50" s="2887"/>
      <c r="V50" s="2887"/>
      <c r="W50" s="2887"/>
      <c r="X50" s="2887"/>
      <c r="Y50" s="2887"/>
      <c r="Z50" s="2887"/>
      <c r="AA50" s="2887"/>
      <c r="AB50" s="2887"/>
      <c r="AC50" s="2887"/>
      <c r="AD50" s="2887"/>
    </row>
    <row r="51" spans="1:30">
      <c r="A51" s="482" t="s">
        <v>2410</v>
      </c>
      <c r="B51" s="483" t="s">
        <v>2376</v>
      </c>
      <c r="C51" s="484">
        <f>C9</f>
        <v>0</v>
      </c>
      <c r="D51" s="485"/>
      <c r="E51" s="485"/>
      <c r="F51" s="485"/>
      <c r="G51" s="485"/>
      <c r="H51" s="485"/>
      <c r="I51" s="485"/>
      <c r="J51" s="485"/>
      <c r="K51" s="486"/>
      <c r="L51" s="487"/>
      <c r="M51" s="488"/>
      <c r="N51" s="2981"/>
      <c r="O51" s="2981"/>
      <c r="P51" s="3006"/>
      <c r="Q51" s="2967"/>
      <c r="R51" s="2953"/>
      <c r="S51" s="2953"/>
      <c r="T51" s="2953"/>
      <c r="U51" s="2953"/>
      <c r="V51" s="2953"/>
      <c r="W51" s="2953"/>
      <c r="X51" s="2953"/>
      <c r="Y51" s="2953"/>
      <c r="Z51" s="2953"/>
      <c r="AA51" s="2953"/>
      <c r="AB51" s="2953"/>
      <c r="AC51" s="2953"/>
      <c r="AD51" s="2953"/>
    </row>
    <row r="52" spans="1:30" ht="15.75" thickBot="1">
      <c r="A52" s="489"/>
      <c r="B52" s="490"/>
      <c r="C52" s="491">
        <v>100</v>
      </c>
      <c r="D52" s="491"/>
      <c r="E52" s="491"/>
      <c r="F52" s="491"/>
      <c r="G52" s="491"/>
      <c r="H52" s="491"/>
      <c r="I52" s="491"/>
      <c r="J52" s="491"/>
      <c r="K52" s="491"/>
      <c r="L52" s="491"/>
      <c r="M52" s="492"/>
      <c r="N52" s="2982"/>
      <c r="O52" s="2982"/>
      <c r="P52" s="3006"/>
      <c r="Q52" s="2967"/>
      <c r="R52" s="2953"/>
      <c r="S52" s="2953"/>
      <c r="T52" s="2953"/>
      <c r="U52" s="2953"/>
      <c r="V52" s="2953"/>
      <c r="W52" s="2953"/>
      <c r="X52" s="2953"/>
      <c r="Y52" s="2953"/>
      <c r="Z52" s="2953"/>
      <c r="AA52" s="2953"/>
      <c r="AB52" s="2953"/>
      <c r="AC52" s="2953"/>
      <c r="AD52" s="2953"/>
    </row>
    <row r="53" spans="1:30" ht="27.75" thickTop="1">
      <c r="A53" s="489"/>
      <c r="B53" s="493" t="s">
        <v>2379</v>
      </c>
      <c r="C53" s="494" t="s">
        <v>2411</v>
      </c>
      <c r="D53" s="494" t="s">
        <v>2412</v>
      </c>
      <c r="E53" s="494" t="s">
        <v>2413</v>
      </c>
      <c r="F53" s="494" t="s">
        <v>2414</v>
      </c>
      <c r="G53" s="494" t="s">
        <v>2415</v>
      </c>
      <c r="H53" s="494" t="s">
        <v>2416</v>
      </c>
      <c r="I53" s="494" t="s">
        <v>2417</v>
      </c>
      <c r="J53" s="494"/>
      <c r="K53" s="495"/>
      <c r="L53" s="496"/>
      <c r="M53" s="497"/>
      <c r="N53" s="2981"/>
      <c r="O53" s="2981"/>
      <c r="P53" s="3006"/>
      <c r="Q53" s="2967"/>
      <c r="R53" s="2953"/>
      <c r="S53" s="2953"/>
      <c r="T53" s="2953"/>
      <c r="U53" s="2953"/>
      <c r="V53" s="2953"/>
      <c r="W53" s="2953"/>
      <c r="X53" s="2953"/>
      <c r="Y53" s="2953"/>
      <c r="Z53" s="2953"/>
      <c r="AA53" s="2953"/>
      <c r="AB53" s="2953"/>
      <c r="AC53" s="2953"/>
      <c r="AD53" s="2953"/>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2"/>
      <c r="O54" s="2982"/>
      <c r="P54" s="3006"/>
      <c r="Q54" s="2967"/>
      <c r="R54" s="2953"/>
      <c r="S54" s="2953"/>
      <c r="T54" s="2953"/>
      <c r="U54" s="2953"/>
      <c r="V54" s="2953"/>
      <c r="W54" s="2953"/>
      <c r="X54" s="2953"/>
      <c r="Y54" s="2953"/>
      <c r="Z54" s="2953"/>
      <c r="AA54" s="2953"/>
      <c r="AB54" s="2953"/>
      <c r="AC54" s="2953"/>
      <c r="AD54" s="2953"/>
    </row>
    <row r="55" spans="1:30" ht="15.75" thickTop="1">
      <c r="A55" s="489"/>
      <c r="B55" s="614">
        <f>B11</f>
        <v>111</v>
      </c>
      <c r="C55" s="504"/>
      <c r="D55" s="504"/>
      <c r="E55" s="504"/>
      <c r="F55" s="504"/>
      <c r="G55" s="504"/>
      <c r="H55" s="504"/>
      <c r="I55" s="504"/>
      <c r="J55" s="504"/>
      <c r="K55" s="505"/>
      <c r="L55" s="506"/>
      <c r="M55" s="507"/>
      <c r="N55" s="2981"/>
      <c r="O55" s="2981"/>
      <c r="P55" s="3006"/>
      <c r="Q55" s="2967"/>
      <c r="R55" s="2953"/>
      <c r="S55" s="2953"/>
      <c r="T55" s="2953"/>
      <c r="U55" s="2953"/>
      <c r="V55" s="2953"/>
      <c r="W55" s="2953"/>
      <c r="X55" s="2953"/>
      <c r="Y55" s="2953"/>
      <c r="Z55" s="2953"/>
      <c r="AA55" s="2953"/>
      <c r="AB55" s="2953"/>
      <c r="AC55" s="2953"/>
      <c r="AD55" s="2953"/>
    </row>
    <row r="56" spans="1:30" ht="15.75" thickBot="1">
      <c r="A56" s="489"/>
      <c r="B56" s="490"/>
      <c r="C56" s="515"/>
      <c r="D56" s="491"/>
      <c r="E56" s="491"/>
      <c r="F56" s="491"/>
      <c r="G56" s="491"/>
      <c r="H56" s="491"/>
      <c r="I56" s="491"/>
      <c r="J56" s="491"/>
      <c r="K56" s="491"/>
      <c r="L56" s="491"/>
      <c r="M56" s="492"/>
      <c r="N56" s="2982"/>
      <c r="O56" s="2982"/>
      <c r="P56" s="3006"/>
      <c r="Q56" s="2967"/>
      <c r="R56" s="2953"/>
      <c r="S56" s="2953"/>
      <c r="T56" s="2953"/>
      <c r="U56" s="2953"/>
      <c r="V56" s="2953"/>
      <c r="W56" s="2953"/>
      <c r="X56" s="2953"/>
      <c r="Y56" s="2953"/>
      <c r="Z56" s="2953"/>
      <c r="AA56" s="2953"/>
      <c r="AB56" s="2953"/>
      <c r="AC56" s="2953"/>
      <c r="AD56" s="2953"/>
    </row>
    <row r="57" spans="1:30" s="428" customFormat="1" ht="15.75" thickTop="1">
      <c r="A57" s="508"/>
      <c r="B57" s="493">
        <f>B12</f>
        <v>111</v>
      </c>
      <c r="C57" s="504"/>
      <c r="D57" s="504"/>
      <c r="E57" s="504"/>
      <c r="F57" s="504"/>
      <c r="G57" s="509"/>
      <c r="H57" s="510"/>
      <c r="I57" s="510"/>
      <c r="J57" s="510"/>
      <c r="K57" s="510"/>
      <c r="L57" s="511"/>
      <c r="M57" s="512"/>
      <c r="N57" s="2983"/>
      <c r="O57" s="2983"/>
      <c r="P57" s="3007"/>
      <c r="Q57" s="2974"/>
      <c r="R57" s="2975"/>
      <c r="S57" s="2975"/>
      <c r="T57" s="2975"/>
      <c r="U57" s="2975"/>
      <c r="V57" s="2975"/>
      <c r="W57" s="2975"/>
      <c r="X57" s="2975"/>
      <c r="Y57" s="2975"/>
      <c r="Z57" s="2975"/>
      <c r="AA57" s="2975"/>
      <c r="AB57" s="2975"/>
      <c r="AC57" s="2975"/>
      <c r="AD57" s="2975"/>
    </row>
    <row r="58" spans="1:30" s="428" customFormat="1" ht="15.75" thickBot="1">
      <c r="A58" s="508"/>
      <c r="B58" s="498"/>
      <c r="C58" s="515"/>
      <c r="D58" s="491"/>
      <c r="E58" s="491"/>
      <c r="F58" s="491"/>
      <c r="G58" s="491"/>
      <c r="H58" s="491"/>
      <c r="I58" s="491"/>
      <c r="J58" s="491"/>
      <c r="K58" s="491"/>
      <c r="L58" s="491"/>
      <c r="M58" s="492"/>
      <c r="N58" s="2982"/>
      <c r="O58" s="2982"/>
      <c r="P58" s="3007"/>
      <c r="Q58" s="2974"/>
      <c r="R58" s="2975"/>
      <c r="S58" s="2975"/>
      <c r="T58" s="2975"/>
      <c r="U58" s="2975"/>
      <c r="V58" s="2975"/>
      <c r="W58" s="2975"/>
      <c r="X58" s="2975"/>
      <c r="Y58" s="2975"/>
      <c r="Z58" s="2975"/>
      <c r="AA58" s="2975"/>
      <c r="AB58" s="2975"/>
      <c r="AC58" s="2975"/>
      <c r="AD58" s="2975"/>
    </row>
    <row r="59" spans="1:30" s="428" customFormat="1" ht="15.75" thickTop="1">
      <c r="A59" s="508"/>
      <c r="B59" s="493">
        <f>B13</f>
        <v>111</v>
      </c>
      <c r="C59" s="504"/>
      <c r="D59" s="504"/>
      <c r="E59" s="504"/>
      <c r="F59" s="504"/>
      <c r="G59" s="509"/>
      <c r="H59" s="510"/>
      <c r="I59" s="510"/>
      <c r="J59" s="510"/>
      <c r="K59" s="510"/>
      <c r="L59" s="511"/>
      <c r="M59" s="512"/>
      <c r="N59" s="2983"/>
      <c r="O59" s="2983"/>
      <c r="P59" s="2951"/>
      <c r="Q59" s="2977"/>
      <c r="R59" s="2975"/>
      <c r="S59" s="2975"/>
      <c r="T59" s="2975"/>
      <c r="U59" s="2975"/>
      <c r="V59" s="2975"/>
      <c r="W59" s="2975"/>
      <c r="X59" s="2975"/>
      <c r="Y59" s="2975"/>
      <c r="Z59" s="2975"/>
      <c r="AA59" s="2975"/>
      <c r="AB59" s="2975"/>
      <c r="AC59" s="2975"/>
      <c r="AD59" s="2975"/>
    </row>
    <row r="60" spans="1:30" s="428" customFormat="1" ht="15.75" thickBot="1">
      <c r="A60" s="508"/>
      <c r="B60" s="498"/>
      <c r="C60" s="515"/>
      <c r="D60" s="515"/>
      <c r="E60" s="515"/>
      <c r="F60" s="515"/>
      <c r="G60" s="515"/>
      <c r="H60" s="517"/>
      <c r="I60" s="517"/>
      <c r="J60" s="517"/>
      <c r="K60" s="517"/>
      <c r="L60" s="517"/>
      <c r="M60" s="518"/>
      <c r="N60" s="2983"/>
      <c r="O60" s="2983"/>
      <c r="P60" s="3007"/>
      <c r="Q60" s="2974"/>
      <c r="R60" s="2975"/>
      <c r="S60" s="2975"/>
      <c r="T60" s="2975"/>
      <c r="U60" s="2975"/>
      <c r="V60" s="2975"/>
      <c r="W60" s="2975"/>
      <c r="X60" s="2975"/>
      <c r="Y60" s="2975"/>
      <c r="Z60" s="2975"/>
      <c r="AA60" s="2975"/>
      <c r="AB60" s="2975"/>
      <c r="AC60" s="2975"/>
      <c r="AD60" s="2975"/>
    </row>
    <row r="61" spans="1:30" ht="15" thickTop="1">
      <c r="A61" s="482" t="s">
        <v>2381</v>
      </c>
      <c r="B61" s="483" t="s">
        <v>2424</v>
      </c>
      <c r="C61" s="528" t="s">
        <v>2419</v>
      </c>
      <c r="D61" s="528" t="s">
        <v>2420</v>
      </c>
      <c r="E61" s="528" t="s">
        <v>2421</v>
      </c>
      <c r="F61" s="528" t="s">
        <v>2422</v>
      </c>
      <c r="G61" s="528" t="s">
        <v>2423</v>
      </c>
      <c r="H61" s="484"/>
      <c r="I61" s="484"/>
      <c r="J61" s="484"/>
      <c r="K61" s="529"/>
      <c r="L61" s="530"/>
      <c r="M61" s="531"/>
      <c r="N61" s="2981"/>
      <c r="O61" s="2981"/>
      <c r="P61" s="3008"/>
      <c r="Q61" s="2967"/>
      <c r="R61" s="2953"/>
      <c r="S61" s="2953"/>
      <c r="T61" s="2953"/>
      <c r="U61" s="2953"/>
      <c r="V61" s="2953"/>
      <c r="W61" s="2953"/>
      <c r="X61" s="2953"/>
      <c r="Y61" s="2953"/>
      <c r="Z61" s="2953"/>
      <c r="AA61" s="2953"/>
      <c r="AB61" s="2953"/>
      <c r="AC61" s="2953"/>
      <c r="AD61" s="2953"/>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2"/>
      <c r="O62" s="2982"/>
      <c r="P62" s="3006"/>
      <c r="Q62" s="2967"/>
      <c r="R62" s="2953"/>
      <c r="S62" s="2953"/>
      <c r="T62" s="2953"/>
      <c r="U62" s="2953"/>
      <c r="V62" s="2953"/>
      <c r="W62" s="2953"/>
      <c r="X62" s="2953"/>
      <c r="Y62" s="2953"/>
      <c r="Z62" s="2953"/>
      <c r="AA62" s="2953"/>
      <c r="AB62" s="2953"/>
      <c r="AC62" s="2953"/>
      <c r="AD62" s="2953"/>
    </row>
    <row r="63" spans="1:30" ht="27.75" thickTop="1">
      <c r="A63" s="489"/>
      <c r="B63" s="493" t="s">
        <v>2561</v>
      </c>
      <c r="C63" s="533" t="s">
        <v>2419</v>
      </c>
      <c r="D63" s="533" t="s">
        <v>2420</v>
      </c>
      <c r="E63" s="533" t="s">
        <v>2421</v>
      </c>
      <c r="F63" s="533" t="s">
        <v>2422</v>
      </c>
      <c r="G63" s="533" t="s">
        <v>2423</v>
      </c>
      <c r="H63" s="494"/>
      <c r="I63" s="494"/>
      <c r="J63" s="494"/>
      <c r="K63" s="495"/>
      <c r="L63" s="496"/>
      <c r="M63" s="497"/>
      <c r="N63" s="2981"/>
      <c r="O63" s="2981"/>
      <c r="P63" s="3006"/>
      <c r="Q63" s="2967"/>
      <c r="R63" s="2953"/>
      <c r="S63" s="2953"/>
      <c r="T63" s="2953"/>
      <c r="U63" s="2953"/>
      <c r="V63" s="2953"/>
      <c r="W63" s="2953"/>
      <c r="X63" s="2953"/>
      <c r="Y63" s="2953"/>
      <c r="Z63" s="2953"/>
      <c r="AA63" s="2953"/>
      <c r="AB63" s="2953"/>
      <c r="AC63" s="2953"/>
      <c r="AD63" s="2953"/>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2"/>
      <c r="O64" s="2982"/>
      <c r="P64" s="3006"/>
      <c r="Q64" s="2967"/>
      <c r="R64" s="2953"/>
      <c r="S64" s="2953"/>
      <c r="T64" s="2953"/>
      <c r="U64" s="2953"/>
      <c r="V64" s="2953"/>
      <c r="W64" s="2953"/>
      <c r="X64" s="2953"/>
      <c r="Y64" s="2953"/>
      <c r="Z64" s="2953"/>
      <c r="AA64" s="2953"/>
      <c r="AB64" s="2953"/>
      <c r="AC64" s="2953"/>
      <c r="AD64" s="2953"/>
    </row>
    <row r="65" spans="1:30" ht="15.75" thickTop="1">
      <c r="A65" s="489"/>
      <c r="B65" s="501" t="s">
        <v>2511</v>
      </c>
      <c r="C65" s="614" t="s">
        <v>2497</v>
      </c>
      <c r="D65" s="614" t="s">
        <v>2498</v>
      </c>
      <c r="E65" s="614" t="s">
        <v>2499</v>
      </c>
      <c r="F65" s="614" t="s">
        <v>2500</v>
      </c>
      <c r="G65" s="614" t="s">
        <v>2501</v>
      </c>
      <c r="H65" s="494"/>
      <c r="I65" s="494"/>
      <c r="J65" s="494"/>
      <c r="K65" s="494"/>
      <c r="L65" s="494"/>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2"/>
      <c r="O66" s="2982"/>
      <c r="P66" s="3006"/>
      <c r="Q66" s="2967"/>
      <c r="R66" s="2953"/>
      <c r="S66" s="2953"/>
      <c r="T66" s="2953"/>
      <c r="U66" s="2953"/>
      <c r="V66" s="2953"/>
      <c r="W66" s="2953"/>
      <c r="X66" s="2953"/>
      <c r="Y66" s="2953"/>
      <c r="Z66" s="2953"/>
      <c r="AA66" s="2953"/>
      <c r="AB66" s="2953"/>
      <c r="AC66" s="2953"/>
      <c r="AD66" s="2953"/>
    </row>
    <row r="67" spans="1:30" ht="15.75" thickTop="1">
      <c r="A67" s="489"/>
      <c r="B67" s="493" t="s">
        <v>2431</v>
      </c>
      <c r="C67" s="533" t="s">
        <v>2419</v>
      </c>
      <c r="D67" s="533" t="s">
        <v>2420</v>
      </c>
      <c r="E67" s="533" t="s">
        <v>2421</v>
      </c>
      <c r="F67" s="533" t="s">
        <v>2422</v>
      </c>
      <c r="G67" s="533" t="s">
        <v>2423</v>
      </c>
      <c r="H67" s="494"/>
      <c r="I67" s="494"/>
      <c r="J67" s="494"/>
      <c r="K67" s="495"/>
      <c r="L67" s="496"/>
      <c r="M67" s="497"/>
      <c r="N67" s="2981"/>
      <c r="O67" s="2981"/>
      <c r="P67" s="3006"/>
      <c r="Q67" s="2967"/>
      <c r="R67" s="2953"/>
      <c r="S67" s="2953"/>
      <c r="T67" s="2953"/>
      <c r="U67" s="2953"/>
      <c r="V67" s="2953"/>
      <c r="W67" s="2953"/>
      <c r="X67" s="2953"/>
      <c r="Y67" s="2953"/>
      <c r="Z67" s="2953"/>
      <c r="AA67" s="2953"/>
      <c r="AB67" s="2953"/>
      <c r="AC67" s="2953"/>
      <c r="AD67" s="2953"/>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2"/>
      <c r="O68" s="2982"/>
      <c r="P68" s="3006"/>
      <c r="Q68" s="2967"/>
      <c r="R68" s="2953"/>
      <c r="S68" s="2953"/>
      <c r="T68" s="2953"/>
      <c r="U68" s="2953"/>
      <c r="V68" s="2953"/>
      <c r="W68" s="2953"/>
      <c r="X68" s="2953"/>
      <c r="Y68" s="2953"/>
      <c r="Z68" s="2953"/>
      <c r="AA68" s="2953"/>
      <c r="AB68" s="2953"/>
      <c r="AC68" s="2953"/>
      <c r="AD68" s="2953"/>
    </row>
    <row r="69" spans="1:30" ht="15.75" thickTop="1">
      <c r="A69" s="489"/>
      <c r="B69" s="493" t="s">
        <v>2550</v>
      </c>
      <c r="C69" s="509"/>
      <c r="D69" s="509"/>
      <c r="E69" s="509"/>
      <c r="F69" s="509"/>
      <c r="G69" s="509"/>
      <c r="H69" s="538"/>
      <c r="I69" s="538"/>
      <c r="J69" s="538"/>
      <c r="K69" s="539"/>
      <c r="L69" s="540"/>
      <c r="M69" s="541"/>
      <c r="N69" s="2981"/>
      <c r="O69" s="2981"/>
      <c r="P69" s="3006"/>
      <c r="Q69" s="2967"/>
      <c r="R69" s="2953"/>
      <c r="S69" s="2953"/>
      <c r="T69" s="2953"/>
      <c r="U69" s="2953"/>
      <c r="V69" s="2953"/>
      <c r="W69" s="2953"/>
      <c r="X69" s="2953"/>
      <c r="Y69" s="2953"/>
      <c r="Z69" s="2953"/>
      <c r="AA69" s="2953"/>
      <c r="AB69" s="2953"/>
      <c r="AC69" s="2953"/>
      <c r="AD69" s="2953"/>
    </row>
    <row r="70" spans="1:30" ht="15.75" thickBot="1">
      <c r="A70" s="489"/>
      <c r="B70" s="498"/>
      <c r="C70" s="499">
        <v>100</v>
      </c>
      <c r="D70" s="499">
        <f>C70-$K22</f>
        <v>100</v>
      </c>
      <c r="E70" s="499"/>
      <c r="F70" s="499"/>
      <c r="G70" s="499"/>
      <c r="H70" s="499"/>
      <c r="I70" s="499"/>
      <c r="J70" s="499"/>
      <c r="K70" s="499"/>
      <c r="L70" s="499"/>
      <c r="M70" s="500"/>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4"/>
      <c r="B71" s="493">
        <f>B23</f>
        <v>111</v>
      </c>
      <c r="C71" s="504"/>
      <c r="D71" s="504"/>
      <c r="E71" s="504"/>
      <c r="F71" s="504"/>
      <c r="G71" s="509"/>
      <c r="H71" s="509"/>
      <c r="I71" s="509"/>
      <c r="J71" s="509"/>
      <c r="K71" s="509"/>
      <c r="L71" s="535"/>
      <c r="M71" s="536"/>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4"/>
      <c r="B72" s="498"/>
      <c r="C72" s="515"/>
      <c r="D72" s="491"/>
      <c r="E72" s="491"/>
      <c r="F72" s="491"/>
      <c r="G72" s="491"/>
      <c r="H72" s="491"/>
      <c r="I72" s="491"/>
      <c r="J72" s="491"/>
      <c r="K72" s="491"/>
      <c r="L72" s="491"/>
      <c r="M72" s="492"/>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4"/>
      <c r="B73" s="493">
        <f>B24</f>
        <v>111</v>
      </c>
      <c r="C73" s="504"/>
      <c r="D73" s="504"/>
      <c r="E73" s="504"/>
      <c r="F73" s="504"/>
      <c r="G73" s="509"/>
      <c r="H73" s="509"/>
      <c r="I73" s="509"/>
      <c r="J73" s="509"/>
      <c r="K73" s="509"/>
      <c r="L73" s="509"/>
      <c r="M73" s="536"/>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4"/>
      <c r="B74" s="498"/>
      <c r="C74" s="515"/>
      <c r="D74" s="491"/>
      <c r="E74" s="491"/>
      <c r="F74" s="491"/>
      <c r="G74" s="491"/>
      <c r="H74" s="491"/>
      <c r="I74" s="491"/>
      <c r="J74" s="491"/>
      <c r="K74" s="491"/>
      <c r="L74" s="491"/>
      <c r="M74" s="492"/>
      <c r="N74" s="2982"/>
      <c r="O74" s="2982"/>
      <c r="P74" s="3006"/>
      <c r="Q74" s="2967"/>
      <c r="R74" s="2887"/>
      <c r="S74" s="2887"/>
      <c r="T74" s="2887"/>
      <c r="U74" s="2887"/>
      <c r="V74" s="2887"/>
      <c r="W74" s="2887"/>
      <c r="X74" s="2887"/>
      <c r="Y74" s="2887"/>
      <c r="Z74" s="2887"/>
      <c r="AA74" s="2887"/>
      <c r="AB74" s="2887"/>
      <c r="AC74" s="2887"/>
      <c r="AD74" s="2887"/>
    </row>
    <row r="75" spans="1:30" s="428" customFormat="1" ht="15.75" thickTop="1">
      <c r="A75" s="508"/>
      <c r="B75" s="493">
        <f>B25</f>
        <v>111</v>
      </c>
      <c r="C75" s="504"/>
      <c r="D75" s="504"/>
      <c r="E75" s="504"/>
      <c r="F75" s="504"/>
      <c r="G75" s="509"/>
      <c r="H75" s="510"/>
      <c r="I75" s="510"/>
      <c r="J75" s="510"/>
      <c r="K75" s="510"/>
      <c r="L75" s="511"/>
      <c r="M75" s="512"/>
      <c r="N75" s="2983"/>
      <c r="O75" s="2983"/>
      <c r="P75" s="3007"/>
      <c r="Q75" s="2974"/>
      <c r="R75" s="2975"/>
      <c r="S75" s="2975"/>
      <c r="T75" s="2975"/>
      <c r="U75" s="2975"/>
      <c r="V75" s="2975"/>
      <c r="W75" s="2975"/>
      <c r="X75" s="2975"/>
      <c r="Y75" s="2975"/>
      <c r="Z75" s="2975"/>
      <c r="AA75" s="2975"/>
      <c r="AB75" s="2975"/>
      <c r="AC75" s="2975"/>
      <c r="AD75" s="2975"/>
    </row>
    <row r="76" spans="1:30" s="428" customFormat="1" ht="15.75" thickBot="1">
      <c r="A76" s="508"/>
      <c r="B76" s="498"/>
      <c r="C76" s="515"/>
      <c r="D76" s="515"/>
      <c r="E76" s="515"/>
      <c r="F76" s="515"/>
      <c r="G76" s="491"/>
      <c r="H76" s="491"/>
      <c r="I76" s="491"/>
      <c r="J76" s="491"/>
      <c r="K76" s="491"/>
      <c r="L76" s="491"/>
      <c r="M76" s="492"/>
      <c r="N76" s="2983"/>
      <c r="O76" s="2983"/>
      <c r="P76" s="3007"/>
      <c r="Q76" s="2974"/>
      <c r="R76" s="2975"/>
      <c r="S76" s="2975"/>
      <c r="T76" s="2975"/>
      <c r="U76" s="2975"/>
      <c r="V76" s="2975"/>
      <c r="W76" s="2975"/>
      <c r="X76" s="2975"/>
      <c r="Y76" s="2975"/>
      <c r="Z76" s="2975"/>
      <c r="AA76" s="2975"/>
      <c r="AB76" s="2975"/>
      <c r="AC76" s="2975"/>
      <c r="AD76" s="2975"/>
    </row>
    <row r="77" spans="1:30" ht="15" thickTop="1">
      <c r="A77" s="482" t="s">
        <v>2385</v>
      </c>
      <c r="B77" s="483" t="s">
        <v>2438</v>
      </c>
      <c r="C77" s="509"/>
      <c r="D77" s="509"/>
      <c r="E77" s="485"/>
      <c r="F77" s="485"/>
      <c r="G77" s="485"/>
      <c r="H77" s="485"/>
      <c r="I77" s="485"/>
      <c r="J77" s="485"/>
      <c r="K77" s="486"/>
      <c r="L77" s="487"/>
      <c r="M77" s="488"/>
      <c r="N77" s="2981"/>
      <c r="O77" s="2981"/>
      <c r="P77" s="3006"/>
      <c r="Q77" s="2967"/>
      <c r="R77" s="2953"/>
      <c r="S77" s="2953"/>
      <c r="T77" s="2953"/>
      <c r="U77" s="2953"/>
      <c r="V77" s="2953"/>
      <c r="W77" s="2953"/>
      <c r="X77" s="2953"/>
      <c r="Y77" s="2953"/>
      <c r="Z77" s="2953"/>
      <c r="AA77" s="2953"/>
      <c r="AB77" s="2953"/>
      <c r="AC77" s="2953"/>
      <c r="AD77" s="2953"/>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9"/>
      <c r="B79" s="493" t="s">
        <v>2553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80"/>
      <c r="O79" s="2980"/>
      <c r="P79" s="3006"/>
      <c r="Q79" s="2967"/>
      <c r="R79" s="2953"/>
      <c r="S79" s="2953"/>
      <c r="T79" s="2953"/>
      <c r="U79" s="2953"/>
      <c r="V79" s="2953"/>
      <c r="W79" s="2953"/>
      <c r="X79" s="2953"/>
      <c r="Y79" s="2953"/>
      <c r="Z79" s="2953"/>
      <c r="AA79" s="2953"/>
      <c r="AB79" s="2953"/>
      <c r="AC79" s="2953"/>
      <c r="AD79" s="2953"/>
    </row>
    <row r="80" spans="1:30" ht="15">
      <c r="A80" s="489"/>
      <c r="B80" s="501"/>
      <c r="C80" s="558">
        <v>0.5</v>
      </c>
      <c r="D80" s="558">
        <v>0.6</v>
      </c>
      <c r="E80" s="558">
        <v>0.7</v>
      </c>
      <c r="F80" s="558">
        <v>0.8</v>
      </c>
      <c r="G80" s="558">
        <v>0.9</v>
      </c>
      <c r="H80" s="558">
        <v>1.0001</v>
      </c>
      <c r="I80" s="614"/>
      <c r="J80" s="614"/>
      <c r="K80" s="622"/>
      <c r="L80" s="623"/>
      <c r="M80" s="624"/>
      <c r="N80" s="2980"/>
      <c r="O80" s="2980"/>
      <c r="P80" s="3006"/>
      <c r="Q80" s="2967"/>
      <c r="R80" s="2953"/>
      <c r="S80" s="2953"/>
      <c r="T80" s="2953"/>
      <c r="U80" s="2953"/>
      <c r="V80" s="2953"/>
      <c r="W80" s="2953"/>
      <c r="X80" s="2953"/>
      <c r="Y80" s="2953"/>
      <c r="Z80" s="2953"/>
      <c r="AA80" s="2953"/>
      <c r="AB80" s="2953"/>
      <c r="AC80" s="2953"/>
      <c r="AD80" s="2953"/>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4"/>
      <c r="B82" s="501" t="s">
        <v>2554</v>
      </c>
      <c r="C82" s="509"/>
      <c r="D82" s="509"/>
      <c r="E82" s="538"/>
      <c r="F82" s="538"/>
      <c r="G82" s="538"/>
      <c r="H82" s="538"/>
      <c r="I82" s="538"/>
      <c r="J82" s="538"/>
      <c r="K82" s="539"/>
      <c r="L82" s="540"/>
      <c r="M82" s="541"/>
      <c r="N82" s="2981"/>
      <c r="O82" s="2981"/>
      <c r="P82" s="3006"/>
      <c r="Q82" s="2967"/>
      <c r="R82" s="2953"/>
      <c r="S82" s="2953"/>
      <c r="T82" s="2953"/>
      <c r="U82" s="2953"/>
      <c r="V82" s="2953"/>
      <c r="W82" s="2953"/>
      <c r="X82" s="2953"/>
      <c r="Y82" s="2953"/>
      <c r="Z82" s="2953"/>
      <c r="AA82" s="2953"/>
      <c r="AB82" s="2953"/>
      <c r="AC82" s="2953"/>
      <c r="AD82" s="2953"/>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4"/>
      <c r="B84" s="493" t="s">
        <v>2562</v>
      </c>
      <c r="C84" s="509"/>
      <c r="D84" s="509"/>
      <c r="E84" s="509"/>
      <c r="F84" s="509"/>
      <c r="G84" s="509"/>
      <c r="H84" s="509"/>
      <c r="I84" s="538"/>
      <c r="J84" s="538"/>
      <c r="K84" s="539"/>
      <c r="L84" s="540"/>
      <c r="M84" s="541"/>
      <c r="N84" s="2981"/>
      <c r="O84" s="2981"/>
      <c r="P84" s="3006"/>
      <c r="Q84" s="2967"/>
      <c r="R84" s="2953"/>
      <c r="S84" s="2953"/>
      <c r="T84" s="2953"/>
      <c r="U84" s="2953"/>
      <c r="V84" s="2953"/>
      <c r="W84" s="2953"/>
      <c r="X84" s="2953"/>
      <c r="Y84" s="2953"/>
      <c r="Z84" s="2953"/>
      <c r="AA84" s="2953"/>
      <c r="AB84" s="2953"/>
      <c r="AC84" s="2953"/>
      <c r="AD84" s="2953"/>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4"/>
      <c r="B86" s="501" t="s">
        <v>2563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4"/>
      <c r="B87" s="501"/>
      <c r="C87" s="550"/>
      <c r="D87" s="550"/>
      <c r="E87" s="550"/>
      <c r="F87" s="550"/>
      <c r="G87" s="550"/>
      <c r="H87" s="550"/>
      <c r="I87" s="550"/>
      <c r="J87" s="551"/>
      <c r="K87" s="551"/>
      <c r="L87" s="552"/>
      <c r="M87" s="553"/>
      <c r="N87" s="2981"/>
      <c r="O87" s="2981"/>
      <c r="P87" s="3006"/>
      <c r="Q87" s="2967"/>
      <c r="R87" s="2953"/>
      <c r="S87" s="2953"/>
      <c r="T87" s="2953"/>
      <c r="U87" s="2953"/>
      <c r="V87" s="2953"/>
      <c r="W87" s="2953"/>
      <c r="X87" s="2953"/>
      <c r="Y87" s="2953"/>
      <c r="Z87" s="2953"/>
      <c r="AA87" s="2953"/>
      <c r="AB87" s="2953"/>
      <c r="AC87" s="2953"/>
      <c r="AD87" s="2953"/>
    </row>
    <row r="88" spans="1:30" ht="15.75" thickBot="1">
      <c r="A88" s="489"/>
      <c r="B88" s="498"/>
      <c r="C88" s="515"/>
      <c r="D88" s="491"/>
      <c r="E88" s="491"/>
      <c r="F88" s="491"/>
      <c r="G88" s="491"/>
      <c r="H88" s="491"/>
      <c r="I88" s="491"/>
      <c r="J88" s="491"/>
      <c r="K88" s="491"/>
      <c r="L88" s="491"/>
      <c r="M88" s="491"/>
      <c r="N88" s="2982"/>
      <c r="O88" s="2982"/>
      <c r="P88" s="3006"/>
      <c r="Q88" s="2967"/>
      <c r="R88" s="2953"/>
      <c r="S88" s="2953"/>
      <c r="T88" s="2953"/>
      <c r="U88" s="2953"/>
      <c r="V88" s="2953"/>
      <c r="W88" s="2953"/>
      <c r="X88" s="2953"/>
      <c r="Y88" s="2953"/>
      <c r="Z88" s="2953"/>
      <c r="AA88" s="2953"/>
      <c r="AB88" s="2953"/>
      <c r="AC88" s="2953"/>
      <c r="AD88" s="2953"/>
    </row>
    <row r="89" spans="1:30" s="428" customFormat="1" ht="15" thickTop="1">
      <c r="A89" s="548"/>
      <c r="B89" s="493" t="s">
        <v>2564</v>
      </c>
      <c r="C89" s="509"/>
      <c r="D89" s="509"/>
      <c r="E89" s="509"/>
      <c r="F89" s="509"/>
      <c r="G89" s="509"/>
      <c r="H89" s="509"/>
      <c r="I89" s="509"/>
      <c r="J89" s="509"/>
      <c r="K89" s="509"/>
      <c r="L89" s="509"/>
      <c r="M89" s="536"/>
      <c r="N89" s="2983"/>
      <c r="O89" s="2983"/>
      <c r="P89" s="3007"/>
      <c r="Q89" s="2974"/>
      <c r="R89" s="2975"/>
      <c r="S89" s="2975"/>
      <c r="T89" s="2975"/>
      <c r="U89" s="2975"/>
      <c r="V89" s="2975"/>
      <c r="W89" s="2975"/>
      <c r="X89" s="2975"/>
      <c r="Y89" s="2975"/>
      <c r="Z89" s="2975"/>
      <c r="AA89" s="2975"/>
      <c r="AB89" s="2975"/>
      <c r="AC89" s="2975"/>
      <c r="AD89" s="2975"/>
    </row>
    <row r="90" spans="1:30" s="428" customFormat="1" ht="15.75" thickBot="1">
      <c r="A90" s="508"/>
      <c r="B90" s="498"/>
      <c r="C90" s="515"/>
      <c r="D90" s="491"/>
      <c r="E90" s="491"/>
      <c r="F90" s="491"/>
      <c r="G90" s="491"/>
      <c r="H90" s="491"/>
      <c r="I90" s="491"/>
      <c r="J90" s="491"/>
      <c r="K90" s="491"/>
      <c r="L90" s="491"/>
      <c r="M90" s="492"/>
      <c r="N90" s="2983"/>
      <c r="O90" s="2983"/>
      <c r="P90" s="3007"/>
      <c r="Q90" s="2974"/>
      <c r="R90" s="2975"/>
      <c r="S90" s="2975"/>
      <c r="T90" s="2975"/>
      <c r="U90" s="2975"/>
      <c r="V90" s="2975"/>
      <c r="W90" s="2975"/>
      <c r="X90" s="2975"/>
      <c r="Y90" s="2975"/>
      <c r="Z90" s="2975"/>
      <c r="AA90" s="2975"/>
      <c r="AB90" s="2975"/>
      <c r="AC90" s="2975"/>
      <c r="AD90" s="2975"/>
    </row>
    <row r="91" spans="1:30" ht="15" thickTop="1">
      <c r="A91" s="554"/>
      <c r="B91" s="493">
        <f>B32</f>
        <v>111</v>
      </c>
      <c r="C91" s="504"/>
      <c r="D91" s="504"/>
      <c r="E91" s="504"/>
      <c r="F91" s="504"/>
      <c r="G91" s="509"/>
      <c r="H91" s="510"/>
      <c r="I91" s="510"/>
      <c r="J91" s="510"/>
      <c r="K91" s="510"/>
      <c r="L91" s="511"/>
      <c r="M91" s="512"/>
      <c r="N91" s="2981"/>
      <c r="O91" s="2981"/>
      <c r="P91" s="3006"/>
      <c r="Q91" s="2967"/>
      <c r="R91" s="2953"/>
      <c r="S91" s="2953"/>
      <c r="T91" s="2953"/>
      <c r="U91" s="2953"/>
      <c r="V91" s="2953"/>
      <c r="W91" s="2953"/>
      <c r="X91" s="2953"/>
      <c r="Y91" s="2953"/>
      <c r="Z91" s="2953"/>
      <c r="AA91" s="2953"/>
      <c r="AB91" s="2953"/>
      <c r="AC91" s="2953"/>
      <c r="AD91" s="2953"/>
    </row>
    <row r="92" spans="1:30" ht="15.75" thickBot="1">
      <c r="A92" s="489"/>
      <c r="B92" s="498"/>
      <c r="C92" s="515"/>
      <c r="D92" s="491"/>
      <c r="E92" s="491"/>
      <c r="F92" s="491"/>
      <c r="G92" s="515"/>
      <c r="H92" s="517"/>
      <c r="I92" s="517"/>
      <c r="J92" s="517"/>
      <c r="K92" s="517"/>
      <c r="L92" s="517"/>
      <c r="M92" s="518"/>
      <c r="N92" s="2982"/>
      <c r="O92" s="2982"/>
      <c r="P92" s="3006"/>
      <c r="Q92" s="2967"/>
      <c r="R92" s="2953"/>
      <c r="S92" s="2953"/>
      <c r="T92" s="2953"/>
      <c r="U92" s="2953"/>
      <c r="V92" s="2953"/>
      <c r="W92" s="2953"/>
      <c r="X92" s="2953"/>
      <c r="Y92" s="2953"/>
      <c r="Z92" s="2953"/>
      <c r="AA92" s="2953"/>
      <c r="AB92" s="2953"/>
      <c r="AC92" s="2953"/>
      <c r="AD92" s="2953"/>
    </row>
    <row r="93" spans="1:30" ht="15" thickTop="1">
      <c r="A93" s="554"/>
      <c r="B93" s="493">
        <f>B33</f>
        <v>111</v>
      </c>
      <c r="C93" s="504"/>
      <c r="D93" s="504"/>
      <c r="E93" s="504"/>
      <c r="F93" s="504"/>
      <c r="G93" s="509"/>
      <c r="H93" s="510"/>
      <c r="I93" s="510"/>
      <c r="J93" s="510"/>
      <c r="K93" s="510"/>
      <c r="L93" s="511"/>
      <c r="M93" s="512"/>
      <c r="N93" s="2981"/>
      <c r="O93" s="2981"/>
      <c r="P93" s="3006"/>
      <c r="Q93" s="2967"/>
      <c r="R93" s="2953"/>
      <c r="S93" s="2953"/>
      <c r="T93" s="2953"/>
      <c r="U93" s="2953"/>
      <c r="V93" s="2953"/>
      <c r="W93" s="2953"/>
      <c r="X93" s="2953"/>
      <c r="Y93" s="2953"/>
      <c r="Z93" s="2953"/>
      <c r="AA93" s="2953"/>
      <c r="AB93" s="2953"/>
      <c r="AC93" s="2953"/>
      <c r="AD93" s="2953"/>
    </row>
    <row r="94" spans="1:30" ht="15.75" thickBot="1">
      <c r="A94" s="489"/>
      <c r="B94" s="498"/>
      <c r="C94" s="515"/>
      <c r="D94" s="491"/>
      <c r="E94" s="491"/>
      <c r="F94" s="491"/>
      <c r="G94" s="515"/>
      <c r="H94" s="517"/>
      <c r="I94" s="517"/>
      <c r="J94" s="517"/>
      <c r="K94" s="517"/>
      <c r="L94" s="517"/>
      <c r="M94" s="518"/>
      <c r="N94" s="2982"/>
      <c r="O94" s="2982"/>
      <c r="P94" s="3006"/>
      <c r="Q94" s="2967"/>
      <c r="R94" s="2953"/>
      <c r="S94" s="2953"/>
      <c r="T94" s="2953"/>
      <c r="U94" s="2953"/>
      <c r="V94" s="2953"/>
      <c r="W94" s="2953"/>
      <c r="X94" s="2953"/>
      <c r="Y94" s="2953"/>
      <c r="Z94" s="2953"/>
      <c r="AA94" s="2953"/>
      <c r="AB94" s="2953"/>
      <c r="AC94" s="2953"/>
      <c r="AD94" s="2953"/>
    </row>
    <row r="95" spans="1:30" ht="15" thickTop="1">
      <c r="A95" s="554"/>
      <c r="B95" s="590">
        <f>B34</f>
        <v>111</v>
      </c>
      <c r="C95" s="504"/>
      <c r="D95" s="504"/>
      <c r="E95" s="504"/>
      <c r="F95" s="504"/>
      <c r="G95" s="509"/>
      <c r="H95" s="510"/>
      <c r="I95" s="510"/>
      <c r="J95" s="510"/>
      <c r="K95" s="510"/>
      <c r="L95" s="511"/>
      <c r="M95" s="512"/>
      <c r="N95" s="2982"/>
      <c r="O95" s="2982"/>
      <c r="P95" s="3009"/>
      <c r="Q95" s="2996"/>
      <c r="R95" s="2953"/>
      <c r="S95" s="2953"/>
      <c r="T95" s="2953"/>
      <c r="U95" s="2953"/>
      <c r="V95" s="2953"/>
      <c r="W95" s="2953"/>
      <c r="X95" s="2953"/>
      <c r="Y95" s="2953"/>
      <c r="Z95" s="2953"/>
      <c r="AA95" s="2953"/>
      <c r="AB95" s="2953"/>
      <c r="AC95" s="2953"/>
      <c r="AD95" s="2953"/>
    </row>
    <row r="96" spans="1:30" ht="15.75" thickBot="1">
      <c r="A96" s="489"/>
      <c r="B96" s="498"/>
      <c r="C96" s="515"/>
      <c r="D96" s="515"/>
      <c r="E96" s="515"/>
      <c r="F96" s="515"/>
      <c r="G96" s="515"/>
      <c r="H96" s="517"/>
      <c r="I96" s="517"/>
      <c r="J96" s="517"/>
      <c r="K96" s="517"/>
      <c r="L96" s="517"/>
      <c r="M96" s="518"/>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 type="list" allowBlank="1" showInputMessage="1" showErrorMessage="1" sqref="D36"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2565</v>
      </c>
      <c r="B1" s="353"/>
      <c r="C1" s="354" t="s">
        <v>2617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2149</v>
      </c>
      <c r="B2" s="625"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6" customFormat="1" ht="28.5" customHeight="1" thickBot="1">
      <c r="A3" s="207" t="s">
        <v>2151</v>
      </c>
      <c r="B3" s="564" t="e">
        <f>ROUND(IF(D3="",B2*10000/'数据-汇总表'!E3,B2*10000/D3),0)</f>
        <v>#DIV/0!</v>
      </c>
      <c r="C3" s="207" t="s">
        <v>2567</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9" t="s">
        <v>2467</v>
      </c>
      <c r="B4" s="360"/>
      <c r="C4" s="3324" t="s">
        <v>2468</v>
      </c>
      <c r="D4" s="3325"/>
      <c r="E4" s="3326" t="s">
        <v>2469</v>
      </c>
      <c r="F4" s="3327"/>
      <c r="G4" s="3324" t="s">
        <v>2470</v>
      </c>
      <c r="H4" s="3325"/>
      <c r="I4" s="3324" t="s">
        <v>2471</v>
      </c>
      <c r="J4" s="3325"/>
      <c r="K4" s="565" t="s">
        <v>2472</v>
      </c>
      <c r="L4" s="2943"/>
      <c r="M4" s="2944"/>
      <c r="N4" s="2944"/>
      <c r="O4" s="2944"/>
      <c r="P4" s="3328" t="s">
        <v>2473</v>
      </c>
      <c r="Q4" s="3329"/>
      <c r="R4" s="3310" t="s">
        <v>2469</v>
      </c>
      <c r="S4" s="3311"/>
      <c r="T4" s="3310" t="s">
        <v>2470</v>
      </c>
      <c r="U4" s="3311"/>
      <c r="V4" s="3307" t="s">
        <v>2471</v>
      </c>
      <c r="W4" s="3307"/>
      <c r="X4" s="1538"/>
      <c r="Y4" s="3310" t="s">
        <v>2473</v>
      </c>
      <c r="Z4" s="3311"/>
      <c r="AA4" s="3304" t="s">
        <v>2469</v>
      </c>
      <c r="AB4" s="3305" t="s">
        <v>2470</v>
      </c>
      <c r="AC4" s="3304" t="s">
        <v>2471</v>
      </c>
    </row>
    <row r="5" spans="1:29" ht="15">
      <c r="A5" s="362"/>
      <c r="B5" s="363"/>
      <c r="C5" s="3316" t="s">
        <v>2364</v>
      </c>
      <c r="D5" s="3317"/>
      <c r="E5" s="3314" t="s">
        <v>2365</v>
      </c>
      <c r="F5" s="3315"/>
      <c r="G5" s="3316" t="s">
        <v>2366</v>
      </c>
      <c r="H5" s="3317"/>
      <c r="I5" s="3316" t="s">
        <v>2367</v>
      </c>
      <c r="J5" s="3317"/>
      <c r="K5" s="565"/>
      <c r="L5" s="2943"/>
      <c r="M5" s="2944"/>
      <c r="N5" s="2944"/>
      <c r="O5" s="2944"/>
      <c r="P5" s="3330"/>
      <c r="Q5" s="3331"/>
      <c r="R5" s="3312"/>
      <c r="S5" s="3313"/>
      <c r="T5" s="3312"/>
      <c r="U5" s="3313"/>
      <c r="V5" s="3307"/>
      <c r="W5" s="3307"/>
      <c r="X5" s="1538"/>
      <c r="Y5" s="3312"/>
      <c r="Z5" s="3313"/>
      <c r="AA5" s="3305"/>
      <c r="AB5" s="3305"/>
      <c r="AC5" s="3305"/>
    </row>
    <row r="6" spans="1:29" ht="15.75" thickBot="1">
      <c r="A6" s="364"/>
      <c r="B6" s="365"/>
      <c r="C6" s="3418" t="s">
        <v>2618</v>
      </c>
      <c r="D6" s="3419"/>
      <c r="E6" s="3420" t="s">
        <v>2618</v>
      </c>
      <c r="F6" s="3421"/>
      <c r="G6" s="3418" t="s">
        <v>2618</v>
      </c>
      <c r="H6" s="3419"/>
      <c r="I6" s="3418" t="s">
        <v>2618</v>
      </c>
      <c r="J6" s="3419"/>
      <c r="K6" s="565" t="s">
        <v>2369</v>
      </c>
      <c r="L6" s="2943"/>
      <c r="M6" s="2944"/>
      <c r="N6" s="2944"/>
      <c r="O6" s="2944"/>
      <c r="P6" s="3332"/>
      <c r="Q6" s="3333"/>
      <c r="R6" s="3312"/>
      <c r="S6" s="3313"/>
      <c r="T6" s="3334"/>
      <c r="U6" s="3335"/>
      <c r="V6" s="3307"/>
      <c r="W6" s="3307"/>
      <c r="X6" s="1538"/>
      <c r="Y6" s="3334"/>
      <c r="Z6" s="3335"/>
      <c r="AA6" s="3306"/>
      <c r="AB6" s="3306"/>
      <c r="AC6" s="3306"/>
    </row>
    <row r="7" spans="1:29" s="113" customFormat="1" ht="15.75" thickBot="1">
      <c r="A7" s="366" t="s">
        <v>2370</v>
      </c>
      <c r="B7" s="367"/>
      <c r="C7" s="368">
        <f>'数据-取费表'!B2</f>
        <v>44131</v>
      </c>
      <c r="D7" s="369">
        <v>100</v>
      </c>
      <c r="E7" s="370"/>
      <c r="F7" s="371">
        <f>SUMIF(65:65,YEAR(E7)&amp;"-"&amp;INT((MONTH(E7)+2)/3),66:66)</f>
        <v>0</v>
      </c>
      <c r="G7" s="2159"/>
      <c r="H7" s="369">
        <f>SUMIF(65:65,YEAR(G7)&amp;"-"&amp;INT((MONTH(G7)+2)/3),66:66)</f>
        <v>0</v>
      </c>
      <c r="I7" s="2159"/>
      <c r="J7" s="369">
        <f>SUMIF(65:65,YEAR(I7)&amp;"-"&amp;INT((MONTH(I7)+2)/3),66:66)</f>
        <v>0</v>
      </c>
      <c r="K7" s="566"/>
      <c r="L7" s="2945"/>
      <c r="M7" s="2946"/>
      <c r="N7" s="2946"/>
      <c r="O7" s="2946"/>
      <c r="P7" s="3308" t="s">
        <v>2371</v>
      </c>
      <c r="Q7" s="3336"/>
      <c r="R7" s="707" t="s">
        <v>17</v>
      </c>
      <c r="S7" s="708">
        <f t="shared" ref="S7:S15" si="0">F7</f>
        <v>0</v>
      </c>
      <c r="T7" s="707" t="s">
        <v>17</v>
      </c>
      <c r="U7" s="708">
        <f t="shared" ref="U7:U15" si="1">H7</f>
        <v>0</v>
      </c>
      <c r="V7" s="707" t="s">
        <v>17</v>
      </c>
      <c r="W7" s="708">
        <f t="shared" ref="W7:W15" si="2">J7</f>
        <v>0</v>
      </c>
      <c r="X7" s="709"/>
      <c r="Y7" s="3308" t="s">
        <v>2371</v>
      </c>
      <c r="Z7" s="3309"/>
      <c r="AA7" s="710" t="e">
        <f>D7/F7</f>
        <v>#DIV/0!</v>
      </c>
      <c r="AB7" s="710" t="e">
        <f>D7/H7</f>
        <v>#DIV/0!</v>
      </c>
      <c r="AC7" s="710" t="e">
        <f>D7/J7</f>
        <v>#DIV/0!</v>
      </c>
    </row>
    <row r="8" spans="1:29" s="113" customFormat="1" ht="15.75" thickBot="1">
      <c r="A8" s="366" t="s">
        <v>2372</v>
      </c>
      <c r="B8" s="367"/>
      <c r="C8" s="372" t="s">
        <v>2373</v>
      </c>
      <c r="D8" s="369">
        <v>100</v>
      </c>
      <c r="E8" s="372"/>
      <c r="F8" s="371">
        <f>SUMIF(68:68,E8,69:69)-SUMIF(68:68,C8,69:69)+100</f>
        <v>0</v>
      </c>
      <c r="G8" s="372"/>
      <c r="H8" s="369">
        <f>SUMIF(68:68,G8,69:69)-SUMIF(68:68,C8,69:69)+100</f>
        <v>0</v>
      </c>
      <c r="I8" s="372"/>
      <c r="J8" s="369">
        <f>SUMIF(68:68,I8,69:69)-SUMIF(68:68,C8,69:69)+100</f>
        <v>0</v>
      </c>
      <c r="K8" s="566"/>
      <c r="L8" s="2945"/>
      <c r="M8" s="2946"/>
      <c r="N8" s="2946"/>
      <c r="O8" s="2946"/>
      <c r="P8" s="3308" t="s">
        <v>2374</v>
      </c>
      <c r="Q8" s="3309"/>
      <c r="R8" s="707" t="s">
        <v>17</v>
      </c>
      <c r="S8" s="708">
        <f t="shared" si="0"/>
        <v>0</v>
      </c>
      <c r="T8" s="707" t="s">
        <v>17</v>
      </c>
      <c r="U8" s="708">
        <f t="shared" si="1"/>
        <v>0</v>
      </c>
      <c r="V8" s="707" t="s">
        <v>17</v>
      </c>
      <c r="W8" s="708">
        <f t="shared" si="2"/>
        <v>0</v>
      </c>
      <c r="X8" s="709"/>
      <c r="Y8" s="3308" t="s">
        <v>2374</v>
      </c>
      <c r="Z8" s="3309"/>
      <c r="AA8" s="710" t="e">
        <f t="shared" ref="AA8:AA40" si="3">D8/F8</f>
        <v>#DIV/0!</v>
      </c>
      <c r="AB8" s="710" t="e">
        <f t="shared" ref="AB8:AB40" si="4">D8/H8</f>
        <v>#DIV/0!</v>
      </c>
      <c r="AC8" s="710" t="e">
        <f t="shared" ref="AC8:AC40" si="5">D8/J8</f>
        <v>#DIV/0!</v>
      </c>
    </row>
    <row r="9" spans="1:29" s="113" customFormat="1">
      <c r="A9" s="373" t="s">
        <v>2375</v>
      </c>
      <c r="B9" s="67" t="s">
        <v>2376</v>
      </c>
      <c r="C9" s="2162"/>
      <c r="D9" s="129">
        <v>100</v>
      </c>
      <c r="E9" s="2162"/>
      <c r="F9" s="129">
        <f>SUMIF(70:70,E9,71:71)-SUMIF(70:70,C9,71:71)+100</f>
        <v>100</v>
      </c>
      <c r="G9" s="2162"/>
      <c r="H9" s="129">
        <f>SUMIF(70:70,G9,71:71)-SUMIF(70:70,C9,71:71)+100</f>
        <v>100</v>
      </c>
      <c r="I9" s="2162"/>
      <c r="J9" s="129">
        <f>SUMIF(70:70,I9,71:71)-SUMIF(70:70,C9,71:71)+100</f>
        <v>100</v>
      </c>
      <c r="K9" s="566"/>
      <c r="L9" s="2945"/>
      <c r="M9" s="2946"/>
      <c r="N9" s="2946"/>
      <c r="O9" s="3000"/>
      <c r="P9" s="3346" t="s">
        <v>2377</v>
      </c>
      <c r="Q9" s="1526" t="str">
        <f t="shared" ref="Q9:Q15" si="6">B9</f>
        <v>用途</v>
      </c>
      <c r="R9" s="707" t="s">
        <v>17</v>
      </c>
      <c r="S9" s="708">
        <f t="shared" si="0"/>
        <v>100</v>
      </c>
      <c r="T9" s="707" t="s">
        <v>17</v>
      </c>
      <c r="U9" s="708">
        <f t="shared" si="1"/>
        <v>100</v>
      </c>
      <c r="V9" s="707" t="s">
        <v>17</v>
      </c>
      <c r="W9" s="708">
        <f t="shared" si="2"/>
        <v>100</v>
      </c>
      <c r="X9" s="709"/>
      <c r="Y9" s="3280" t="s">
        <v>2378</v>
      </c>
      <c r="Z9" s="55" t="str">
        <f t="shared" ref="Z9:Z15" si="7">Q9</f>
        <v>用途</v>
      </c>
      <c r="AA9" s="710">
        <f t="shared" si="3"/>
        <v>1</v>
      </c>
      <c r="AB9" s="710">
        <f t="shared" si="4"/>
        <v>1</v>
      </c>
      <c r="AC9" s="710">
        <f t="shared" si="5"/>
        <v>1</v>
      </c>
    </row>
    <row r="10" spans="1:29" s="384" customFormat="1" ht="27">
      <c r="A10" s="378"/>
      <c r="B10" s="379" t="s">
        <v>2379</v>
      </c>
      <c r="C10" s="389"/>
      <c r="D10" s="130">
        <v>100</v>
      </c>
      <c r="E10" s="389"/>
      <c r="F10" s="130">
        <f>ROUND(100/'数据-取费表'!G16,0)</f>
        <v>105</v>
      </c>
      <c r="G10" s="389"/>
      <c r="H10" s="130">
        <f>ROUND(100/'数据-取费表'!G16,0)</f>
        <v>105</v>
      </c>
      <c r="I10" s="389"/>
      <c r="J10" s="130">
        <f>ROUND(100/'数据-取费表'!G16,0)</f>
        <v>105</v>
      </c>
      <c r="K10" s="626"/>
      <c r="L10" s="2947"/>
      <c r="M10" s="2948"/>
      <c r="N10" s="2948"/>
      <c r="O10" s="3001"/>
      <c r="P10" s="3346"/>
      <c r="Q10" s="1526" t="str">
        <f t="shared" si="6"/>
        <v>土地使用年限（年）</v>
      </c>
      <c r="R10" s="707" t="s">
        <v>17</v>
      </c>
      <c r="S10" s="708">
        <f t="shared" si="0"/>
        <v>105</v>
      </c>
      <c r="T10" s="707" t="s">
        <v>17</v>
      </c>
      <c r="U10" s="708">
        <f t="shared" si="1"/>
        <v>105</v>
      </c>
      <c r="V10" s="707" t="s">
        <v>17</v>
      </c>
      <c r="W10" s="708">
        <f t="shared" si="2"/>
        <v>105</v>
      </c>
      <c r="X10" s="709"/>
      <c r="Y10" s="3280"/>
      <c r="Z10" s="55" t="str">
        <f t="shared" si="7"/>
        <v>土地使用年限（年）</v>
      </c>
      <c r="AA10" s="710">
        <f t="shared" si="3"/>
        <v>0.95238095238095233</v>
      </c>
      <c r="AB10" s="710">
        <f t="shared" si="4"/>
        <v>0.95238095238095233</v>
      </c>
      <c r="AC10" s="710">
        <f t="shared" si="5"/>
        <v>0.95238095238095233</v>
      </c>
    </row>
    <row r="11" spans="1:29" ht="15">
      <c r="A11" s="385"/>
      <c r="B11" s="379" t="s">
        <v>2380</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9"/>
      <c r="M11" s="2944"/>
      <c r="N11" s="2944"/>
      <c r="O11" s="3002"/>
      <c r="P11" s="3346"/>
      <c r="Q11" s="1526" t="str">
        <f t="shared" si="6"/>
        <v>容积率</v>
      </c>
      <c r="R11" s="707" t="s">
        <v>17</v>
      </c>
      <c r="S11" s="708" t="e">
        <f t="shared" si="0"/>
        <v>#N/A</v>
      </c>
      <c r="T11" s="707" t="s">
        <v>17</v>
      </c>
      <c r="U11" s="708" t="e">
        <f t="shared" si="1"/>
        <v>#N/A</v>
      </c>
      <c r="V11" s="707" t="s">
        <v>17</v>
      </c>
      <c r="W11" s="708" t="e">
        <f t="shared" si="2"/>
        <v>#N/A</v>
      </c>
      <c r="X11" s="709"/>
      <c r="Y11" s="3280"/>
      <c r="Z11" s="55" t="str">
        <f t="shared" si="7"/>
        <v>容积率</v>
      </c>
      <c r="AA11" s="710" t="e">
        <f t="shared" si="3"/>
        <v>#N/A</v>
      </c>
      <c r="AB11" s="710" t="e">
        <f t="shared" si="4"/>
        <v>#N/A</v>
      </c>
      <c r="AC11" s="710" t="e">
        <f t="shared" si="5"/>
        <v>#N/A</v>
      </c>
    </row>
    <row r="12" spans="1:29" s="113" customFormat="1" ht="15">
      <c r="A12" s="388"/>
      <c r="B12" s="2078">
        <v>111</v>
      </c>
      <c r="C12" s="389"/>
      <c r="D12" s="390">
        <v>100</v>
      </c>
      <c r="E12" s="504"/>
      <c r="F12" s="130">
        <f>SUMIF(77:77,E12,78:78)-SUMIF(77:77,C12,78:78)+100</f>
        <v>100</v>
      </c>
      <c r="G12" s="628"/>
      <c r="H12" s="130">
        <f>SUMIF(77:77,G12,78:78)-SUMIF(77:77,C12,78:78)+100</f>
        <v>100</v>
      </c>
      <c r="I12" s="504"/>
      <c r="J12" s="130">
        <f>SUMIF(77:77,I12,78:78)-SUMIF(77:77,C12,78:78)+100</f>
        <v>100</v>
      </c>
      <c r="K12" s="626"/>
      <c r="L12" s="2945"/>
      <c r="M12" s="2946"/>
      <c r="N12" s="2946"/>
      <c r="O12" s="3000"/>
      <c r="P12" s="3346"/>
      <c r="Q12" s="1526">
        <f t="shared" si="6"/>
        <v>111</v>
      </c>
      <c r="R12" s="707" t="s">
        <v>17</v>
      </c>
      <c r="S12" s="708">
        <f t="shared" si="0"/>
        <v>100</v>
      </c>
      <c r="T12" s="707" t="s">
        <v>17</v>
      </c>
      <c r="U12" s="708">
        <f t="shared" si="1"/>
        <v>100</v>
      </c>
      <c r="V12" s="707" t="s">
        <v>17</v>
      </c>
      <c r="W12" s="708">
        <f t="shared" si="2"/>
        <v>100</v>
      </c>
      <c r="X12" s="709"/>
      <c r="Y12" s="3280"/>
      <c r="Z12" s="55">
        <f t="shared" si="7"/>
        <v>111</v>
      </c>
      <c r="AA12" s="710">
        <f>D12/F12</f>
        <v>1</v>
      </c>
      <c r="AB12" s="710">
        <f>D12/H12</f>
        <v>1</v>
      </c>
      <c r="AC12" s="710">
        <f>D12/J12</f>
        <v>1</v>
      </c>
    </row>
    <row r="13" spans="1:29" ht="15">
      <c r="A13" s="385"/>
      <c r="B13" s="2078">
        <v>111</v>
      </c>
      <c r="C13" s="391"/>
      <c r="D13" s="392">
        <v>100</v>
      </c>
      <c r="E13" s="504"/>
      <c r="F13" s="130">
        <f>SUMIF(79:79,E13,80:80)-SUMIF(79:79,C13,80:80)+100</f>
        <v>100</v>
      </c>
      <c r="G13" s="628"/>
      <c r="H13" s="392">
        <f>SUMIF(79:79,G13,80:80)-SUMIF(79:79,C13,80:80)+100</f>
        <v>100</v>
      </c>
      <c r="I13" s="504"/>
      <c r="J13" s="392">
        <f>SUMIF(79:79,I13,80:80)-SUMIF(79:79,C13,80:80)+100</f>
        <v>100</v>
      </c>
      <c r="K13" s="626"/>
      <c r="L13" s="2950"/>
      <c r="M13" s="2944"/>
      <c r="N13" s="2944"/>
      <c r="O13" s="3002"/>
      <c r="P13" s="3346"/>
      <c r="Q13" s="1526">
        <f t="shared" si="6"/>
        <v>111</v>
      </c>
      <c r="R13" s="707" t="s">
        <v>17</v>
      </c>
      <c r="S13" s="708">
        <f t="shared" si="0"/>
        <v>100</v>
      </c>
      <c r="T13" s="707" t="s">
        <v>17</v>
      </c>
      <c r="U13" s="708">
        <f t="shared" si="1"/>
        <v>100</v>
      </c>
      <c r="V13" s="707" t="s">
        <v>17</v>
      </c>
      <c r="W13" s="708">
        <f t="shared" si="2"/>
        <v>100</v>
      </c>
      <c r="X13" s="709"/>
      <c r="Y13" s="3280"/>
      <c r="Z13" s="55">
        <f t="shared" si="7"/>
        <v>111</v>
      </c>
      <c r="AA13" s="710">
        <f t="shared" si="3"/>
        <v>1</v>
      </c>
      <c r="AB13" s="710">
        <f t="shared" si="4"/>
        <v>1</v>
      </c>
      <c r="AC13" s="710">
        <f t="shared" si="5"/>
        <v>1</v>
      </c>
    </row>
    <row r="14" spans="1:29" ht="15.75" thickBot="1">
      <c r="A14" s="393"/>
      <c r="B14" s="2080">
        <v>111</v>
      </c>
      <c r="C14" s="394"/>
      <c r="D14" s="395">
        <v>100</v>
      </c>
      <c r="E14" s="504"/>
      <c r="F14" s="395">
        <f>SUMIF(81:81,E14,82:82)-SUMIF(81:81,C14,82:82)+100</f>
        <v>100</v>
      </c>
      <c r="G14" s="628"/>
      <c r="H14" s="395">
        <f>SUMIF(81:81,G14,82:82)-SUMIF(81:81,C14,82:82)+100</f>
        <v>100</v>
      </c>
      <c r="I14" s="504"/>
      <c r="J14" s="395">
        <f>SUMIF(81:81,I14,82:82)-SUMIF(81:81,C14,82:82)+100</f>
        <v>100</v>
      </c>
      <c r="K14" s="626"/>
      <c r="L14" s="2950"/>
      <c r="M14" s="2944"/>
      <c r="N14" s="2944"/>
      <c r="O14" s="3002"/>
      <c r="P14" s="3346"/>
      <c r="Q14" s="1526">
        <f t="shared" si="6"/>
        <v>111</v>
      </c>
      <c r="R14" s="707" t="s">
        <v>17</v>
      </c>
      <c r="S14" s="708">
        <f t="shared" si="0"/>
        <v>100</v>
      </c>
      <c r="T14" s="707" t="s">
        <v>17</v>
      </c>
      <c r="U14" s="708">
        <f t="shared" si="1"/>
        <v>100</v>
      </c>
      <c r="V14" s="707" t="s">
        <v>17</v>
      </c>
      <c r="W14" s="708">
        <f t="shared" si="2"/>
        <v>100</v>
      </c>
      <c r="X14" s="709"/>
      <c r="Y14" s="3280"/>
      <c r="Z14" s="55">
        <f t="shared" si="7"/>
        <v>111</v>
      </c>
      <c r="AA14" s="710">
        <f t="shared" si="3"/>
        <v>1</v>
      </c>
      <c r="AB14" s="710">
        <f t="shared" si="4"/>
        <v>1</v>
      </c>
      <c r="AC14" s="710">
        <f t="shared" si="5"/>
        <v>1</v>
      </c>
    </row>
    <row r="15" spans="1:29" ht="57">
      <c r="A15" s="397" t="s">
        <v>2381</v>
      </c>
      <c r="B15" s="583" t="s">
        <v>2619</v>
      </c>
      <c r="C15" s="215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50"/>
      <c r="M15" s="2944"/>
      <c r="N15" s="2944"/>
      <c r="O15" s="3002"/>
      <c r="P15" s="3339" t="s">
        <v>2382</v>
      </c>
      <c r="Q15" s="1535" t="str">
        <f t="shared" si="6"/>
        <v>产业集聚程度</v>
      </c>
      <c r="R15" s="711" t="s">
        <v>17</v>
      </c>
      <c r="S15" s="712">
        <f t="shared" si="0"/>
        <v>100</v>
      </c>
      <c r="T15" s="711" t="s">
        <v>17</v>
      </c>
      <c r="U15" s="712">
        <f t="shared" si="1"/>
        <v>100</v>
      </c>
      <c r="V15" s="711" t="s">
        <v>17</v>
      </c>
      <c r="W15" s="712">
        <f t="shared" si="2"/>
        <v>100</v>
      </c>
      <c r="X15" s="1538"/>
      <c r="Y15" s="3339" t="s">
        <v>2382</v>
      </c>
      <c r="Z15" s="1539" t="str">
        <f t="shared" si="7"/>
        <v>产业集聚程度</v>
      </c>
      <c r="AA15" s="1536">
        <f t="shared" si="3"/>
        <v>1</v>
      </c>
      <c r="AB15" s="1536">
        <f t="shared" si="4"/>
        <v>1</v>
      </c>
      <c r="AC15" s="1536">
        <f t="shared" si="5"/>
        <v>1</v>
      </c>
    </row>
    <row r="16" spans="1:29" ht="15">
      <c r="A16" s="385"/>
      <c r="B16" s="584"/>
      <c r="C16" s="404"/>
      <c r="D16" s="405"/>
      <c r="E16" s="2089"/>
      <c r="F16" s="405"/>
      <c r="G16" s="2089"/>
      <c r="H16" s="407"/>
      <c r="I16" s="2089"/>
      <c r="J16" s="405"/>
      <c r="K16" s="626"/>
      <c r="L16" s="2950"/>
      <c r="M16" s="2944"/>
      <c r="N16" s="2944"/>
      <c r="O16" s="3002"/>
      <c r="P16" s="3340"/>
      <c r="Q16" s="1535"/>
      <c r="R16" s="711"/>
      <c r="S16" s="712"/>
      <c r="T16" s="711"/>
      <c r="U16" s="712"/>
      <c r="V16" s="711"/>
      <c r="W16" s="712"/>
      <c r="X16" s="1538"/>
      <c r="Y16" s="3340"/>
      <c r="Z16" s="1539"/>
      <c r="AA16" s="1536">
        <v>1</v>
      </c>
      <c r="AB16" s="1536">
        <v>1</v>
      </c>
      <c r="AC16" s="1536">
        <v>1</v>
      </c>
    </row>
    <row r="17" spans="1:29" ht="85.5">
      <c r="A17" s="385"/>
      <c r="B17" s="585" t="s">
        <v>2531</v>
      </c>
      <c r="C17" s="2085"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50"/>
      <c r="M17" s="2944"/>
      <c r="N17" s="2944"/>
      <c r="O17" s="3002"/>
      <c r="P17" s="3340"/>
      <c r="Q17" s="1535" t="str">
        <f>B17</f>
        <v>交通便捷度</v>
      </c>
      <c r="R17" s="711" t="s">
        <v>17</v>
      </c>
      <c r="S17" s="712">
        <f>F17</f>
        <v>100</v>
      </c>
      <c r="T17" s="711" t="s">
        <v>17</v>
      </c>
      <c r="U17" s="712">
        <f>H17</f>
        <v>100</v>
      </c>
      <c r="V17" s="711" t="s">
        <v>17</v>
      </c>
      <c r="W17" s="712">
        <f>J17</f>
        <v>100</v>
      </c>
      <c r="X17" s="1538"/>
      <c r="Y17" s="3340"/>
      <c r="Z17" s="1539" t="str">
        <f>Q17</f>
        <v>交通便捷度</v>
      </c>
      <c r="AA17" s="1536">
        <f t="shared" si="3"/>
        <v>1</v>
      </c>
      <c r="AB17" s="1536">
        <f t="shared" si="4"/>
        <v>1</v>
      </c>
      <c r="AC17" s="1536">
        <f t="shared" si="5"/>
        <v>1</v>
      </c>
    </row>
    <row r="18" spans="1:29" ht="15">
      <c r="A18" s="385"/>
      <c r="B18" s="586"/>
      <c r="C18" s="404"/>
      <c r="D18" s="405"/>
      <c r="E18" s="2083"/>
      <c r="F18" s="405"/>
      <c r="G18" s="2083"/>
      <c r="H18" s="405"/>
      <c r="I18" s="2082"/>
      <c r="J18" s="405"/>
      <c r="K18" s="626"/>
      <c r="L18" s="2950"/>
      <c r="M18" s="2944"/>
      <c r="N18" s="2944"/>
      <c r="O18" s="3002"/>
      <c r="P18" s="3340"/>
      <c r="Q18" s="1535"/>
      <c r="R18" s="711"/>
      <c r="S18" s="712"/>
      <c r="T18" s="711"/>
      <c r="U18" s="712"/>
      <c r="V18" s="711"/>
      <c r="W18" s="712"/>
      <c r="X18" s="1538"/>
      <c r="Y18" s="3340"/>
      <c r="Z18" s="1539"/>
      <c r="AA18" s="1536">
        <v>1</v>
      </c>
      <c r="AB18" s="1536">
        <v>1</v>
      </c>
      <c r="AC18" s="1536">
        <v>1</v>
      </c>
    </row>
    <row r="19" spans="1:29" ht="15">
      <c r="A19" s="385"/>
      <c r="B19" s="585" t="s">
        <v>2569</v>
      </c>
      <c r="C19" s="2085">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50"/>
      <c r="M19" s="2944"/>
      <c r="N19" s="2944"/>
      <c r="O19" s="3002"/>
      <c r="P19" s="3340"/>
      <c r="Q19" s="1535" t="str">
        <f t="shared" ref="Q19:Q33" si="8">B19</f>
        <v>区域土地利用方向</v>
      </c>
      <c r="R19" s="711" t="s">
        <v>17</v>
      </c>
      <c r="S19" s="712">
        <f>F19</f>
        <v>100</v>
      </c>
      <c r="T19" s="711" t="s">
        <v>17</v>
      </c>
      <c r="U19" s="712">
        <f>H19</f>
        <v>100</v>
      </c>
      <c r="V19" s="711" t="s">
        <v>17</v>
      </c>
      <c r="W19" s="712">
        <f>J19</f>
        <v>100</v>
      </c>
      <c r="X19" s="1538"/>
      <c r="Y19" s="3340"/>
      <c r="Z19" s="1539" t="str">
        <f>Q19</f>
        <v>区域土地利用方向</v>
      </c>
      <c r="AA19" s="1536">
        <f t="shared" si="3"/>
        <v>1</v>
      </c>
      <c r="AB19" s="1536">
        <f t="shared" si="4"/>
        <v>1</v>
      </c>
      <c r="AC19" s="1536">
        <f t="shared" si="5"/>
        <v>1</v>
      </c>
    </row>
    <row r="20" spans="1:29" ht="15">
      <c r="A20" s="362"/>
      <c r="B20" s="586"/>
      <c r="C20" s="404"/>
      <c r="D20" s="405"/>
      <c r="E20" s="2083"/>
      <c r="F20" s="405"/>
      <c r="G20" s="2083"/>
      <c r="H20" s="405"/>
      <c r="I20" s="2083"/>
      <c r="J20" s="405"/>
      <c r="K20" s="748"/>
      <c r="L20" s="2950"/>
      <c r="M20" s="2944"/>
      <c r="N20" s="2944"/>
      <c r="O20" s="3002"/>
      <c r="P20" s="3340"/>
      <c r="Q20" s="1535"/>
      <c r="R20" s="711"/>
      <c r="S20" s="712"/>
      <c r="T20" s="711"/>
      <c r="U20" s="712"/>
      <c r="V20" s="711"/>
      <c r="W20" s="712"/>
      <c r="X20" s="1538"/>
      <c r="Y20" s="3340"/>
      <c r="Z20" s="1539"/>
      <c r="AA20" s="1536"/>
      <c r="AB20" s="1536"/>
      <c r="AC20" s="1536"/>
    </row>
    <row r="21" spans="1:29" ht="71.25">
      <c r="A21" s="362"/>
      <c r="B21" s="585" t="s">
        <v>2620</v>
      </c>
      <c r="C21" s="2085"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50"/>
      <c r="M21" s="2944"/>
      <c r="N21" s="2944"/>
      <c r="O21" s="3002"/>
      <c r="P21" s="3340"/>
      <c r="Q21" s="1535" t="str">
        <f t="shared" si="8"/>
        <v>环境状况</v>
      </c>
      <c r="R21" s="711" t="s">
        <v>17</v>
      </c>
      <c r="S21" s="712">
        <f>F21</f>
        <v>100</v>
      </c>
      <c r="T21" s="711" t="s">
        <v>17</v>
      </c>
      <c r="U21" s="712">
        <f>H21</f>
        <v>100</v>
      </c>
      <c r="V21" s="711" t="s">
        <v>17</v>
      </c>
      <c r="W21" s="712">
        <f>J21</f>
        <v>100</v>
      </c>
      <c r="X21" s="1538"/>
      <c r="Y21" s="3340"/>
      <c r="Z21" s="1539" t="str">
        <f>Q21</f>
        <v>环境状况</v>
      </c>
      <c r="AA21" s="1536">
        <f t="shared" si="3"/>
        <v>1</v>
      </c>
      <c r="AB21" s="1536">
        <f t="shared" si="4"/>
        <v>1</v>
      </c>
      <c r="AC21" s="1536">
        <f t="shared" si="5"/>
        <v>1</v>
      </c>
    </row>
    <row r="22" spans="1:29" ht="15">
      <c r="A22" s="362"/>
      <c r="B22" s="586"/>
      <c r="C22" s="404"/>
      <c r="D22" s="405"/>
      <c r="E22" s="2089"/>
      <c r="F22" s="405"/>
      <c r="G22" s="2089"/>
      <c r="H22" s="405"/>
      <c r="I22" s="404"/>
      <c r="J22" s="405"/>
      <c r="K22" s="626"/>
      <c r="L22" s="2950"/>
      <c r="M22" s="2944"/>
      <c r="N22" s="2944"/>
      <c r="O22" s="3002"/>
      <c r="P22" s="3340"/>
      <c r="Q22" s="1535"/>
      <c r="R22" s="711"/>
      <c r="S22" s="712"/>
      <c r="T22" s="711"/>
      <c r="U22" s="712"/>
      <c r="V22" s="711"/>
      <c r="W22" s="712"/>
      <c r="X22" s="1538"/>
      <c r="Y22" s="3340"/>
      <c r="Z22" s="1539"/>
      <c r="AA22" s="1536">
        <v>1</v>
      </c>
      <c r="AB22" s="1536">
        <v>1</v>
      </c>
      <c r="AC22" s="1536">
        <v>1</v>
      </c>
    </row>
    <row r="23" spans="1:29" s="113" customFormat="1" ht="42.75">
      <c r="A23" s="603"/>
      <c r="B23" s="587" t="s">
        <v>2476</v>
      </c>
      <c r="C23" s="2085"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5"/>
      <c r="M23" s="2946"/>
      <c r="N23" s="2946"/>
      <c r="O23" s="3000"/>
      <c r="P23" s="3340"/>
      <c r="Q23" s="1526" t="str">
        <f t="shared" si="8"/>
        <v>公共配套设施</v>
      </c>
      <c r="R23" s="707" t="s">
        <v>17</v>
      </c>
      <c r="S23" s="708">
        <f>F23</f>
        <v>100</v>
      </c>
      <c r="T23" s="707" t="s">
        <v>17</v>
      </c>
      <c r="U23" s="708">
        <f>H23</f>
        <v>100</v>
      </c>
      <c r="V23" s="707" t="s">
        <v>17</v>
      </c>
      <c r="W23" s="708">
        <f>J23</f>
        <v>100</v>
      </c>
      <c r="X23" s="709"/>
      <c r="Y23" s="3340"/>
      <c r="Z23" s="55" t="str">
        <f>Q23</f>
        <v>公共配套设施</v>
      </c>
      <c r="AA23" s="1536">
        <f>D23/F23</f>
        <v>1</v>
      </c>
      <c r="AB23" s="1536">
        <f>D23/H23</f>
        <v>1</v>
      </c>
      <c r="AC23" s="1536">
        <f>D23/J23</f>
        <v>1</v>
      </c>
    </row>
    <row r="24" spans="1:29" s="113" customFormat="1" ht="15">
      <c r="A24" s="603"/>
      <c r="B24" s="586"/>
      <c r="C24" s="2163"/>
      <c r="D24" s="405"/>
      <c r="E24" s="2089"/>
      <c r="F24" s="405"/>
      <c r="G24" s="2089"/>
      <c r="H24" s="405"/>
      <c r="I24" s="404"/>
      <c r="J24" s="405"/>
      <c r="K24" s="626"/>
      <c r="L24" s="2945"/>
      <c r="M24" s="2946"/>
      <c r="N24" s="2946"/>
      <c r="O24" s="3000"/>
      <c r="P24" s="3340"/>
      <c r="Q24" s="1526"/>
      <c r="R24" s="707"/>
      <c r="S24" s="708"/>
      <c r="T24" s="707"/>
      <c r="U24" s="708"/>
      <c r="V24" s="707"/>
      <c r="W24" s="708"/>
      <c r="X24" s="709"/>
      <c r="Y24" s="3340"/>
      <c r="Z24" s="55"/>
      <c r="AA24" s="710">
        <v>1</v>
      </c>
      <c r="AB24" s="710">
        <v>1</v>
      </c>
      <c r="AC24" s="710">
        <v>1</v>
      </c>
    </row>
    <row r="25" spans="1:29" s="113" customFormat="1" ht="28.5">
      <c r="A25" s="603"/>
      <c r="B25" s="587" t="s">
        <v>2477</v>
      </c>
      <c r="C25" s="2085"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5"/>
      <c r="M25" s="2946"/>
      <c r="N25" s="2946"/>
      <c r="O25" s="3000"/>
      <c r="P25" s="3340"/>
      <c r="Q25" s="1526" t="str">
        <f t="shared" ref="Q25" si="9">B25</f>
        <v>基础设施水平</v>
      </c>
      <c r="R25" s="707" t="s">
        <v>17</v>
      </c>
      <c r="S25" s="708">
        <f>F25</f>
        <v>100</v>
      </c>
      <c r="T25" s="707" t="s">
        <v>17</v>
      </c>
      <c r="U25" s="708">
        <f>H25</f>
        <v>100</v>
      </c>
      <c r="V25" s="707" t="s">
        <v>17</v>
      </c>
      <c r="W25" s="708">
        <f>J25</f>
        <v>100</v>
      </c>
      <c r="X25" s="709"/>
      <c r="Y25" s="3340"/>
      <c r="Z25" s="55" t="str">
        <f>Q25</f>
        <v>基础设施水平</v>
      </c>
      <c r="AA25" s="1536">
        <f>D25/F25</f>
        <v>1</v>
      </c>
      <c r="AB25" s="1536">
        <f>D25/H25</f>
        <v>1</v>
      </c>
      <c r="AC25" s="1536">
        <f>D25/J25</f>
        <v>1</v>
      </c>
    </row>
    <row r="26" spans="1:29" s="113" customFormat="1" ht="15">
      <c r="A26" s="603"/>
      <c r="B26" s="586"/>
      <c r="C26" s="2163"/>
      <c r="D26" s="405"/>
      <c r="E26" s="2164"/>
      <c r="F26" s="405"/>
      <c r="G26" s="2164"/>
      <c r="H26" s="405"/>
      <c r="I26" s="2164"/>
      <c r="J26" s="405"/>
      <c r="K26" s="626"/>
      <c r="L26" s="2945"/>
      <c r="M26" s="2946"/>
      <c r="N26" s="2946"/>
      <c r="O26" s="3000"/>
      <c r="P26" s="3340"/>
      <c r="Q26" s="1526"/>
      <c r="R26" s="707"/>
      <c r="S26" s="708"/>
      <c r="T26" s="707"/>
      <c r="U26" s="708"/>
      <c r="V26" s="707"/>
      <c r="W26" s="708"/>
      <c r="X26" s="709"/>
      <c r="Y26" s="3340"/>
      <c r="Z26" s="55"/>
      <c r="AA26" s="710">
        <v>1</v>
      </c>
      <c r="AB26" s="710">
        <v>1</v>
      </c>
      <c r="AC26" s="710">
        <v>1</v>
      </c>
    </row>
    <row r="27" spans="1:29" ht="15">
      <c r="A27" s="385"/>
      <c r="B27" s="586" t="s">
        <v>2478</v>
      </c>
      <c r="C27" s="571"/>
      <c r="D27" s="392">
        <v>100</v>
      </c>
      <c r="E27" s="588"/>
      <c r="F27" s="392">
        <f>SUMIF(95:95,E27,96:96)-SUMIF(95:95,C27,96:96)+100</f>
        <v>100</v>
      </c>
      <c r="G27" s="588"/>
      <c r="H27" s="392">
        <f>SUMIF(95:95,G27,96:96)-SUMIF(95:95,C27,96:96)+100</f>
        <v>100</v>
      </c>
      <c r="I27" s="588"/>
      <c r="J27" s="392">
        <f>SUMIF(95:95,I27,96:96)-SUMIF(95:95,C27,96:96)+100</f>
        <v>100</v>
      </c>
      <c r="K27" s="627"/>
      <c r="L27" s="2950"/>
      <c r="M27" s="2944"/>
      <c r="N27" s="2944"/>
      <c r="O27" s="3002"/>
      <c r="P27" s="3340"/>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340"/>
      <c r="Z27" s="1539" t="str">
        <f t="shared" ref="Z27:Z40" si="13">Q27</f>
        <v>临街状况</v>
      </c>
      <c r="AA27" s="1536">
        <f t="shared" si="3"/>
        <v>1</v>
      </c>
      <c r="AB27" s="1536">
        <f t="shared" si="4"/>
        <v>1</v>
      </c>
      <c r="AC27" s="1536">
        <f t="shared" si="5"/>
        <v>1</v>
      </c>
    </row>
    <row r="28" spans="1:29" ht="27">
      <c r="A28" s="385"/>
      <c r="B28" s="587" t="s">
        <v>2513</v>
      </c>
      <c r="C28" s="217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50"/>
      <c r="M28" s="2944"/>
      <c r="N28" s="2944"/>
      <c r="O28" s="3002"/>
      <c r="P28" s="3340"/>
      <c r="Q28" s="1535" t="str">
        <f t="shared" si="8"/>
        <v>毗邻道路的类型与等级</v>
      </c>
      <c r="R28" s="711" t="s">
        <v>17</v>
      </c>
      <c r="S28" s="712">
        <f t="shared" si="10"/>
        <v>100</v>
      </c>
      <c r="T28" s="711" t="s">
        <v>17</v>
      </c>
      <c r="U28" s="712">
        <f t="shared" si="11"/>
        <v>100</v>
      </c>
      <c r="V28" s="711" t="s">
        <v>17</v>
      </c>
      <c r="W28" s="712">
        <f t="shared" si="12"/>
        <v>100</v>
      </c>
      <c r="X28" s="1538"/>
      <c r="Y28" s="3340"/>
      <c r="Z28" s="1539" t="str">
        <f t="shared" si="13"/>
        <v>毗邻道路的类型与等级</v>
      </c>
      <c r="AA28" s="1536">
        <f t="shared" si="3"/>
        <v>1</v>
      </c>
      <c r="AB28" s="1536">
        <f t="shared" si="4"/>
        <v>1</v>
      </c>
      <c r="AC28" s="1536">
        <f t="shared" si="5"/>
        <v>1</v>
      </c>
    </row>
    <row r="29" spans="1:29" ht="15">
      <c r="A29" s="385"/>
      <c r="B29" s="586"/>
      <c r="C29" s="404"/>
      <c r="D29" s="405"/>
      <c r="E29" s="2089"/>
      <c r="F29" s="405"/>
      <c r="G29" s="2089"/>
      <c r="H29" s="405"/>
      <c r="I29" s="2089"/>
      <c r="J29" s="405"/>
      <c r="K29" s="568"/>
      <c r="L29" s="2950"/>
      <c r="M29" s="2944"/>
      <c r="N29" s="2944"/>
      <c r="O29" s="3002"/>
      <c r="P29" s="3340"/>
      <c r="Q29" s="1535"/>
      <c r="R29" s="711"/>
      <c r="S29" s="712"/>
      <c r="T29" s="711"/>
      <c r="U29" s="712"/>
      <c r="V29" s="711"/>
      <c r="W29" s="712"/>
      <c r="X29" s="1538"/>
      <c r="Y29" s="3340"/>
      <c r="Z29" s="1539"/>
      <c r="AA29" s="1536">
        <v>1</v>
      </c>
      <c r="AB29" s="1536">
        <v>1</v>
      </c>
      <c r="AC29" s="1536">
        <v>1</v>
      </c>
    </row>
    <row r="30" spans="1:29" ht="15">
      <c r="A30" s="385"/>
      <c r="B30" s="608" t="s">
        <v>2571</v>
      </c>
      <c r="C30" s="129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50"/>
      <c r="M30" s="2944"/>
      <c r="N30" s="2944"/>
      <c r="O30" s="3002"/>
      <c r="P30" s="3340"/>
      <c r="Q30" s="1535" t="str">
        <f t="shared" si="8"/>
        <v>土地级别</v>
      </c>
      <c r="R30" s="711" t="s">
        <v>17</v>
      </c>
      <c r="S30" s="712">
        <f t="shared" si="10"/>
        <v>100</v>
      </c>
      <c r="T30" s="711" t="s">
        <v>17</v>
      </c>
      <c r="U30" s="712">
        <f t="shared" si="11"/>
        <v>100</v>
      </c>
      <c r="V30" s="711" t="s">
        <v>17</v>
      </c>
      <c r="W30" s="712">
        <f t="shared" si="12"/>
        <v>100</v>
      </c>
      <c r="X30" s="1538"/>
      <c r="Y30" s="3340"/>
      <c r="Z30" s="1539" t="str">
        <f t="shared" si="13"/>
        <v>土地级别</v>
      </c>
      <c r="AA30" s="1536">
        <f t="shared" si="3"/>
        <v>1</v>
      </c>
      <c r="AB30" s="1536">
        <f t="shared" si="4"/>
        <v>1</v>
      </c>
      <c r="AC30" s="1536">
        <f t="shared" si="5"/>
        <v>1</v>
      </c>
    </row>
    <row r="31" spans="1:29" ht="15">
      <c r="A31" s="362"/>
      <c r="B31" s="215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50"/>
      <c r="M31" s="2944"/>
      <c r="N31" s="2944"/>
      <c r="O31" s="3002"/>
      <c r="P31" s="3340"/>
      <c r="Q31" s="1535">
        <f t="shared" si="8"/>
        <v>111</v>
      </c>
      <c r="R31" s="711" t="s">
        <v>17</v>
      </c>
      <c r="S31" s="712">
        <f t="shared" si="10"/>
        <v>100</v>
      </c>
      <c r="T31" s="711" t="s">
        <v>17</v>
      </c>
      <c r="U31" s="712">
        <f t="shared" si="11"/>
        <v>100</v>
      </c>
      <c r="V31" s="711" t="s">
        <v>17</v>
      </c>
      <c r="W31" s="712">
        <f t="shared" si="12"/>
        <v>100</v>
      </c>
      <c r="X31" s="1538"/>
      <c r="Y31" s="3340"/>
      <c r="Z31" s="1539">
        <f t="shared" si="13"/>
        <v>111</v>
      </c>
      <c r="AA31" s="1536">
        <f t="shared" si="3"/>
        <v>1</v>
      </c>
      <c r="AB31" s="1536">
        <f t="shared" si="4"/>
        <v>1</v>
      </c>
      <c r="AC31" s="1536">
        <f t="shared" si="5"/>
        <v>1</v>
      </c>
    </row>
    <row r="32" spans="1:29" ht="15">
      <c r="A32" s="629"/>
      <c r="B32" s="217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50"/>
      <c r="M32" s="2944"/>
      <c r="N32" s="2944"/>
      <c r="O32" s="3002"/>
      <c r="P32" s="3371" t="s">
        <v>2387</v>
      </c>
      <c r="Q32" s="1535">
        <f t="shared" si="8"/>
        <v>111</v>
      </c>
      <c r="R32" s="711" t="s">
        <v>17</v>
      </c>
      <c r="S32" s="712">
        <f t="shared" si="10"/>
        <v>100</v>
      </c>
      <c r="T32" s="711" t="s">
        <v>17</v>
      </c>
      <c r="U32" s="712">
        <f t="shared" si="11"/>
        <v>100</v>
      </c>
      <c r="V32" s="711" t="s">
        <v>17</v>
      </c>
      <c r="W32" s="712">
        <f t="shared" si="12"/>
        <v>100</v>
      </c>
      <c r="X32" s="1538"/>
      <c r="Y32" s="3344" t="s">
        <v>2387</v>
      </c>
      <c r="Z32" s="1539">
        <f t="shared" si="13"/>
        <v>111</v>
      </c>
      <c r="AA32" s="1536">
        <f t="shared" si="3"/>
        <v>1</v>
      </c>
      <c r="AB32" s="1536">
        <f t="shared" si="4"/>
        <v>1</v>
      </c>
      <c r="AC32" s="1536">
        <f t="shared" si="5"/>
        <v>1</v>
      </c>
    </row>
    <row r="33" spans="1:31" s="428" customFormat="1" ht="15.75" thickBot="1">
      <c r="A33" s="630"/>
      <c r="B33" s="217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9"/>
      <c r="M33" s="2951"/>
      <c r="N33" s="2951"/>
      <c r="O33" s="3003"/>
      <c r="P33" s="3344"/>
      <c r="Q33" s="1535">
        <f t="shared" si="8"/>
        <v>111</v>
      </c>
      <c r="R33" s="714" t="s">
        <v>17</v>
      </c>
      <c r="S33" s="715">
        <f t="shared" si="10"/>
        <v>100</v>
      </c>
      <c r="T33" s="714" t="s">
        <v>17</v>
      </c>
      <c r="U33" s="715">
        <f t="shared" si="11"/>
        <v>100</v>
      </c>
      <c r="V33" s="714" t="s">
        <v>17</v>
      </c>
      <c r="W33" s="715">
        <f t="shared" si="12"/>
        <v>100</v>
      </c>
      <c r="X33" s="716"/>
      <c r="Y33" s="3344"/>
      <c r="Z33" s="717">
        <f t="shared" si="13"/>
        <v>111</v>
      </c>
      <c r="AA33" s="1536">
        <f t="shared" si="3"/>
        <v>1</v>
      </c>
      <c r="AB33" s="1536">
        <f t="shared" si="4"/>
        <v>1</v>
      </c>
      <c r="AC33" s="1536">
        <f t="shared" si="5"/>
        <v>1</v>
      </c>
    </row>
    <row r="34" spans="1:31" ht="15">
      <c r="A34" s="397" t="s">
        <v>2385</v>
      </c>
      <c r="B34" s="413" t="s">
        <v>2572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50"/>
      <c r="M34" s="2944"/>
      <c r="N34" s="2944"/>
      <c r="O34" s="3002"/>
      <c r="P34" s="3344"/>
      <c r="Q34" s="1535" t="str">
        <f>B34</f>
        <v>宗地面积</v>
      </c>
      <c r="R34" s="711" t="s">
        <v>17</v>
      </c>
      <c r="S34" s="712" t="e">
        <f t="shared" si="10"/>
        <v>#N/A</v>
      </c>
      <c r="T34" s="711" t="s">
        <v>17</v>
      </c>
      <c r="U34" s="712" t="e">
        <f t="shared" si="11"/>
        <v>#N/A</v>
      </c>
      <c r="V34" s="711" t="s">
        <v>17</v>
      </c>
      <c r="W34" s="712" t="e">
        <f t="shared" si="12"/>
        <v>#N/A</v>
      </c>
      <c r="X34" s="1538"/>
      <c r="Y34" s="3344"/>
      <c r="Z34" s="1539" t="str">
        <f t="shared" si="13"/>
        <v>宗地面积</v>
      </c>
      <c r="AA34" s="1536" t="e">
        <f t="shared" si="3"/>
        <v>#N/A</v>
      </c>
      <c r="AB34" s="1536" t="e">
        <f t="shared" si="4"/>
        <v>#N/A</v>
      </c>
      <c r="AC34" s="1536" t="e">
        <f t="shared" si="5"/>
        <v>#N/A</v>
      </c>
    </row>
    <row r="35" spans="1:31" ht="15">
      <c r="A35" s="429"/>
      <c r="B35" s="379" t="s">
        <v>2573</v>
      </c>
      <c r="C35" s="2091"/>
      <c r="D35" s="392">
        <v>100</v>
      </c>
      <c r="E35" s="2091"/>
      <c r="F35" s="392">
        <f>SUMIF(110:110,E35,111:111)-SUMIF(110:110,C35,111:111)+100</f>
        <v>100</v>
      </c>
      <c r="G35" s="2091"/>
      <c r="H35" s="392">
        <f>SUMIF(110:110,G35,111:111)-SUMIF(110:110,C35,111:111)+100</f>
        <v>100</v>
      </c>
      <c r="I35" s="2091"/>
      <c r="J35" s="392">
        <f>SUMIF(110:110,I35,111:111)-SUMIF(110:110,C35,111:111)+100</f>
        <v>100</v>
      </c>
      <c r="K35" s="567"/>
      <c r="L35" s="2950"/>
      <c r="M35" s="2944"/>
      <c r="N35" s="2944"/>
      <c r="O35" s="3002"/>
      <c r="P35" s="3344"/>
      <c r="Q35" s="1535" t="str">
        <f t="shared" ref="Q35:Q40" si="14">B35</f>
        <v>宗地形状</v>
      </c>
      <c r="R35" s="711" t="s">
        <v>17</v>
      </c>
      <c r="S35" s="712">
        <f t="shared" si="10"/>
        <v>100</v>
      </c>
      <c r="T35" s="711" t="s">
        <v>17</v>
      </c>
      <c r="U35" s="712">
        <f t="shared" si="11"/>
        <v>100</v>
      </c>
      <c r="V35" s="711" t="s">
        <v>17</v>
      </c>
      <c r="W35" s="712">
        <f t="shared" si="12"/>
        <v>100</v>
      </c>
      <c r="X35" s="1538"/>
      <c r="Y35" s="3344"/>
      <c r="Z35" s="1539" t="str">
        <f t="shared" si="13"/>
        <v>宗地形状</v>
      </c>
      <c r="AA35" s="1536">
        <f t="shared" si="3"/>
        <v>1</v>
      </c>
      <c r="AB35" s="1536">
        <f t="shared" si="4"/>
        <v>1</v>
      </c>
      <c r="AC35" s="1536">
        <f t="shared" si="5"/>
        <v>1</v>
      </c>
    </row>
    <row r="36" spans="1:31" s="113" customFormat="1" ht="15">
      <c r="A36" s="430"/>
      <c r="B36" s="379" t="s">
        <v>2575</v>
      </c>
      <c r="C36" s="2165"/>
      <c r="D36" s="130">
        <v>100</v>
      </c>
      <c r="E36" s="2165"/>
      <c r="F36" s="392">
        <f>SUMIF(112:112,E36,113:113)-SUMIF(112:112,C36,113:113)+100</f>
        <v>100</v>
      </c>
      <c r="G36" s="2165"/>
      <c r="H36" s="392">
        <f>SUMIF(112:112,G36,113:113)-SUMIF(112:112,C36,113:113)+100</f>
        <v>100</v>
      </c>
      <c r="I36" s="2165"/>
      <c r="J36" s="392">
        <f>SUMIF(112:112,I36,113:113)-SUMIF(112:112,C36,113:113)+100</f>
        <v>100</v>
      </c>
      <c r="K36" s="567"/>
      <c r="L36" s="2945"/>
      <c r="M36" s="2946"/>
      <c r="N36" s="2946"/>
      <c r="O36" s="3000"/>
      <c r="P36" s="3344"/>
      <c r="Q36" s="1535" t="str">
        <f t="shared" si="14"/>
        <v>宗地开发程度</v>
      </c>
      <c r="R36" s="707" t="s">
        <v>17</v>
      </c>
      <c r="S36" s="708">
        <f t="shared" si="10"/>
        <v>100</v>
      </c>
      <c r="T36" s="707" t="s">
        <v>17</v>
      </c>
      <c r="U36" s="708">
        <f t="shared" si="11"/>
        <v>100</v>
      </c>
      <c r="V36" s="707" t="s">
        <v>17</v>
      </c>
      <c r="W36" s="708">
        <f t="shared" si="12"/>
        <v>100</v>
      </c>
      <c r="X36" s="709"/>
      <c r="Y36" s="3344"/>
      <c r="Z36" s="55" t="str">
        <f t="shared" si="13"/>
        <v>宗地开发程度</v>
      </c>
      <c r="AA36" s="710">
        <f t="shared" si="3"/>
        <v>1</v>
      </c>
      <c r="AB36" s="710">
        <f t="shared" si="4"/>
        <v>1</v>
      </c>
      <c r="AC36" s="710">
        <f t="shared" si="5"/>
        <v>1</v>
      </c>
    </row>
    <row r="37" spans="1:31" ht="15">
      <c r="A37" s="429"/>
      <c r="B37" s="379" t="s">
        <v>2576</v>
      </c>
      <c r="C37" s="2091"/>
      <c r="D37" s="392">
        <v>100</v>
      </c>
      <c r="E37" s="2091"/>
      <c r="F37" s="392">
        <f>SUMIF(114:114,E37,115:115)-SUMIF(114:114,C37,115:115)+100</f>
        <v>100</v>
      </c>
      <c r="G37" s="2091"/>
      <c r="H37" s="392">
        <f>SUMIF(114:114,G37,115:115)-SUMIF(114:114,C37,115:115)+100</f>
        <v>100</v>
      </c>
      <c r="I37" s="2091"/>
      <c r="J37" s="392">
        <f>SUMIF(114:114,I37,115:115)-SUMIF(114:114,C37,115:115)+100</f>
        <v>100</v>
      </c>
      <c r="K37" s="567"/>
      <c r="L37" s="2950"/>
      <c r="M37" s="2944"/>
      <c r="N37" s="2944"/>
      <c r="O37" s="3002"/>
      <c r="P37" s="3344" t="s">
        <v>2387</v>
      </c>
      <c r="Q37" s="1535" t="str">
        <f t="shared" si="14"/>
        <v>工程地质条件</v>
      </c>
      <c r="R37" s="711" t="s">
        <v>17</v>
      </c>
      <c r="S37" s="712">
        <f t="shared" si="10"/>
        <v>100</v>
      </c>
      <c r="T37" s="711" t="s">
        <v>17</v>
      </c>
      <c r="U37" s="712">
        <f t="shared" si="11"/>
        <v>100</v>
      </c>
      <c r="V37" s="711" t="s">
        <v>17</v>
      </c>
      <c r="W37" s="712">
        <f t="shared" si="12"/>
        <v>100</v>
      </c>
      <c r="X37" s="1538"/>
      <c r="Y37" s="3344" t="s">
        <v>2387</v>
      </c>
      <c r="Z37" s="1539" t="str">
        <f t="shared" si="13"/>
        <v>工程地质条件</v>
      </c>
      <c r="AA37" s="1536">
        <f t="shared" si="3"/>
        <v>1</v>
      </c>
      <c r="AB37" s="1536">
        <f t="shared" si="4"/>
        <v>1</v>
      </c>
      <c r="AC37" s="1536">
        <f t="shared" si="5"/>
        <v>1</v>
      </c>
    </row>
    <row r="38" spans="1:31" ht="15">
      <c r="A38" s="429"/>
      <c r="B38" s="129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50"/>
      <c r="M38" s="2944"/>
      <c r="N38" s="2944"/>
      <c r="O38" s="3002"/>
      <c r="P38" s="3344"/>
      <c r="Q38" s="1535">
        <f t="shared" si="14"/>
        <v>111</v>
      </c>
      <c r="R38" s="711" t="s">
        <v>17</v>
      </c>
      <c r="S38" s="712">
        <f t="shared" si="10"/>
        <v>100</v>
      </c>
      <c r="T38" s="711" t="s">
        <v>17</v>
      </c>
      <c r="U38" s="712">
        <f t="shared" si="11"/>
        <v>100</v>
      </c>
      <c r="V38" s="711" t="s">
        <v>17</v>
      </c>
      <c r="W38" s="712">
        <f t="shared" si="12"/>
        <v>100</v>
      </c>
      <c r="X38" s="1538"/>
      <c r="Y38" s="3344"/>
      <c r="Z38" s="1539">
        <f t="shared" si="13"/>
        <v>111</v>
      </c>
      <c r="AA38" s="1536">
        <f t="shared" si="3"/>
        <v>1</v>
      </c>
      <c r="AB38" s="1536">
        <f t="shared" si="4"/>
        <v>1</v>
      </c>
      <c r="AC38" s="1536">
        <f t="shared" si="5"/>
        <v>1</v>
      </c>
    </row>
    <row r="39" spans="1:31" ht="15">
      <c r="A39" s="429"/>
      <c r="B39" s="129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50"/>
      <c r="M39" s="2944"/>
      <c r="N39" s="2944"/>
      <c r="O39" s="3002"/>
      <c r="P39" s="3344"/>
      <c r="Q39" s="1535">
        <f t="shared" si="14"/>
        <v>111</v>
      </c>
      <c r="R39" s="711" t="s">
        <v>17</v>
      </c>
      <c r="S39" s="712">
        <f t="shared" si="10"/>
        <v>100</v>
      </c>
      <c r="T39" s="711" t="s">
        <v>17</v>
      </c>
      <c r="U39" s="712">
        <f t="shared" si="11"/>
        <v>100</v>
      </c>
      <c r="V39" s="711" t="s">
        <v>17</v>
      </c>
      <c r="W39" s="712">
        <f t="shared" si="12"/>
        <v>100</v>
      </c>
      <c r="X39" s="1538"/>
      <c r="Y39" s="3344"/>
      <c r="Z39" s="1539">
        <f t="shared" si="13"/>
        <v>111</v>
      </c>
      <c r="AA39" s="1536">
        <f t="shared" si="3"/>
        <v>1</v>
      </c>
      <c r="AB39" s="1536">
        <f t="shared" si="4"/>
        <v>1</v>
      </c>
      <c r="AC39" s="1536">
        <f t="shared" si="5"/>
        <v>1</v>
      </c>
    </row>
    <row r="40" spans="1:31" s="428" customFormat="1" ht="15.75" thickBot="1">
      <c r="A40" s="425"/>
      <c r="B40" s="1293">
        <v>111</v>
      </c>
      <c r="C40" s="2166"/>
      <c r="D40" s="131">
        <v>100</v>
      </c>
      <c r="E40" s="628"/>
      <c r="F40" s="395">
        <f>SUMIF(120:120,E40,121:121)-SUMIF(120:120,C40,121:121)+100</f>
        <v>100</v>
      </c>
      <c r="G40" s="628"/>
      <c r="H40" s="395">
        <f>SUMIF(120:120,G40,121:121)-SUMIF(120:120,C40,121:121)+100</f>
        <v>100</v>
      </c>
      <c r="I40" s="504"/>
      <c r="J40" s="395">
        <f>SUMIF(120:120,I40,121:121)-SUMIF(120:120,C40,121:121)+100</f>
        <v>100</v>
      </c>
      <c r="K40" s="635"/>
      <c r="L40" s="2949"/>
      <c r="M40" s="2951"/>
      <c r="N40" s="2951"/>
      <c r="O40" s="3003"/>
      <c r="P40" s="3344"/>
      <c r="Q40" s="1535">
        <f t="shared" si="14"/>
        <v>111</v>
      </c>
      <c r="R40" s="714" t="s">
        <v>17</v>
      </c>
      <c r="S40" s="715">
        <f t="shared" si="10"/>
        <v>100</v>
      </c>
      <c r="T40" s="714" t="s">
        <v>17</v>
      </c>
      <c r="U40" s="715">
        <f t="shared" si="11"/>
        <v>100</v>
      </c>
      <c r="V40" s="714" t="s">
        <v>17</v>
      </c>
      <c r="W40" s="715">
        <f t="shared" si="12"/>
        <v>100</v>
      </c>
      <c r="X40" s="716"/>
      <c r="Y40" s="3344"/>
      <c r="Z40" s="717">
        <f t="shared" si="13"/>
        <v>111</v>
      </c>
      <c r="AA40" s="1536">
        <f t="shared" si="3"/>
        <v>1</v>
      </c>
      <c r="AB40" s="1536">
        <f t="shared" si="4"/>
        <v>1</v>
      </c>
      <c r="AC40" s="1536">
        <f t="shared" si="5"/>
        <v>1</v>
      </c>
    </row>
    <row r="41" spans="1:31" ht="15">
      <c r="A41" s="436" t="s">
        <v>2542</v>
      </c>
      <c r="B41" s="2167" t="s">
        <v>2621</v>
      </c>
      <c r="C41" s="636" t="s">
        <v>1</v>
      </c>
      <c r="D41" s="438"/>
      <c r="E41" s="439"/>
      <c r="F41" s="440"/>
      <c r="G41" s="441"/>
      <c r="H41" s="442"/>
      <c r="I41" s="439"/>
      <c r="J41" s="442"/>
      <c r="K41" s="720"/>
      <c r="L41" s="2952"/>
      <c r="M41" s="2944"/>
      <c r="N41" s="2944"/>
      <c r="O41" s="2953"/>
      <c r="P41" s="3346" t="str">
        <f>A41</f>
        <v>成交单价</v>
      </c>
      <c r="Q41" s="3346"/>
      <c r="R41" s="3307">
        <f>E41</f>
        <v>0</v>
      </c>
      <c r="S41" s="3307"/>
      <c r="T41" s="3307">
        <f>G41</f>
        <v>0</v>
      </c>
      <c r="U41" s="3307"/>
      <c r="V41" s="3307">
        <f>I41</f>
        <v>0</v>
      </c>
      <c r="W41" s="3307"/>
      <c r="X41" s="696"/>
      <c r="Y41" s="718"/>
      <c r="Z41" s="696"/>
      <c r="AA41" s="696"/>
      <c r="AB41" s="696"/>
      <c r="AC41" s="696"/>
    </row>
    <row r="42" spans="1:31" ht="15.75" thickBot="1">
      <c r="A42" s="443" t="s">
        <v>2491</v>
      </c>
      <c r="B42" s="637"/>
      <c r="C42" s="446" t="e">
        <f>R43</f>
        <v>#DIV/0!</v>
      </c>
      <c r="D42" s="2537" t="s">
        <v>2881</v>
      </c>
      <c r="E42" s="446" t="e">
        <f>R42</f>
        <v>#DIV/0!</v>
      </c>
      <c r="F42" s="2538"/>
      <c r="G42" s="445" t="e">
        <f>T42</f>
        <v>#DIV/0!</v>
      </c>
      <c r="H42" s="2538"/>
      <c r="I42" s="446" t="e">
        <f>V42</f>
        <v>#DIV/0!</v>
      </c>
      <c r="J42" s="2538"/>
      <c r="K42" s="2540">
        <f>F42+H42+J42</f>
        <v>0</v>
      </c>
      <c r="L42" s="2952"/>
      <c r="M42" s="2944"/>
      <c r="N42" s="2944"/>
      <c r="O42" s="2953"/>
      <c r="P42" s="3346" t="str">
        <f>A42</f>
        <v>比较价值（元/平方米）</v>
      </c>
      <c r="Q42" s="3346"/>
      <c r="R42" s="3378" t="e">
        <f>ROUND(PRODUCT(R41,AA7:AA40),0)</f>
        <v>#DIV/0!</v>
      </c>
      <c r="S42" s="3378"/>
      <c r="T42" s="3378" t="e">
        <f>ROUND(PRODUCT(T41,AB7:AB40),0)</f>
        <v>#DIV/0!</v>
      </c>
      <c r="U42" s="3378"/>
      <c r="V42" s="3378" t="e">
        <f>ROUND(PRODUCT(V41,AC7:AC40),0)</f>
        <v>#DIV/0!</v>
      </c>
      <c r="W42" s="3378"/>
      <c r="X42" s="696"/>
      <c r="Y42" s="696"/>
      <c r="Z42" s="696"/>
      <c r="AA42" s="696"/>
      <c r="AB42" s="696"/>
      <c r="AC42" s="696"/>
    </row>
    <row r="43" spans="1:31" ht="15.75" thickBot="1">
      <c r="A43" s="447" t="s">
        <v>2492</v>
      </c>
      <c r="B43" s="448"/>
      <c r="C43" s="449" t="e">
        <f>R43</f>
        <v>#DIV/0!</v>
      </c>
      <c r="D43" s="449"/>
      <c r="E43" s="449"/>
      <c r="F43" s="449"/>
      <c r="G43" s="449"/>
      <c r="H43" s="449"/>
      <c r="I43" s="449"/>
      <c r="J43" s="449"/>
      <c r="K43" s="721"/>
      <c r="L43" s="2952"/>
      <c r="M43" s="2944"/>
      <c r="N43" s="2944"/>
      <c r="O43" s="2953"/>
      <c r="P43" s="3348" t="str">
        <f>A43</f>
        <v>估价对象XX用房的比较价值（楼面单价，元/平方米）</v>
      </c>
      <c r="Q43" s="3349"/>
      <c r="R43" s="3379" t="e">
        <f>ROUND(IF(D42="简单平均",AVERAGE(R42:W42),R42*F42+T42*H42+V42*J42),0)</f>
        <v>#DIV/0!</v>
      </c>
      <c r="S43" s="3379"/>
      <c r="T43" s="3379"/>
      <c r="U43" s="3379"/>
      <c r="V43" s="3379"/>
      <c r="W43" s="3379"/>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7" customFormat="1" ht="13.5" customHeight="1">
      <c r="A48" s="2956"/>
      <c r="B48" s="2956"/>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7"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8" t="s">
        <v>2579</v>
      </c>
      <c r="B50" s="639" t="s">
        <v>2580</v>
      </c>
      <c r="C50" s="2168" t="s">
        <v>2581</v>
      </c>
      <c r="D50" s="2169" t="s">
        <v>2582</v>
      </c>
      <c r="E50" s="640" t="s">
        <v>2583</v>
      </c>
      <c r="F50" s="641" t="s">
        <v>2584</v>
      </c>
      <c r="G50" s="3324" t="s">
        <v>2585</v>
      </c>
      <c r="H50" s="3380"/>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6" customFormat="1">
      <c r="A51" s="642" t="s">
        <v>2588</v>
      </c>
      <c r="B51" s="643" t="e">
        <f>C43</f>
        <v>#DIV/0!</v>
      </c>
      <c r="C51" s="644">
        <v>1</v>
      </c>
      <c r="D51" s="1072">
        <v>1</v>
      </c>
      <c r="E51" s="644">
        <f>'数据-汇总表'!E8+'数据-汇总表'!E9</f>
        <v>15116.56</v>
      </c>
      <c r="F51" s="645" t="e">
        <f t="shared" ref="F51:F60" si="15">ROUND(B51*E51/10000,0)</f>
        <v>#DIV/0!</v>
      </c>
      <c r="G51" s="3323"/>
      <c r="H51" s="3346"/>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6" customFormat="1">
      <c r="A52" s="647" t="s">
        <v>2589</v>
      </c>
      <c r="B52" s="222" t="e">
        <f>ROUND($C$43*C52*D52,0)</f>
        <v>#DIV/0!</v>
      </c>
      <c r="C52" s="174">
        <f t="shared" ref="C52:C60" si="16">IF($C$50="北京市系数",I52,J52)</f>
        <v>0</v>
      </c>
      <c r="D52" s="1073">
        <v>0.25</v>
      </c>
      <c r="E52" s="648"/>
      <c r="F52" s="645" t="e">
        <f t="shared" si="15"/>
        <v>#DIV/0!</v>
      </c>
      <c r="G52" s="3381" t="s">
        <v>2590</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6" customFormat="1">
      <c r="A53" s="647" t="s">
        <v>2591</v>
      </c>
      <c r="B53" s="222" t="e">
        <f t="shared" ref="B53:B60" si="17">ROUND($C$43*C53*D53,0)</f>
        <v>#DIV/0!</v>
      </c>
      <c r="C53" s="174">
        <f t="shared" si="16"/>
        <v>0</v>
      </c>
      <c r="D53" s="1073">
        <v>0.25</v>
      </c>
      <c r="E53" s="648"/>
      <c r="F53" s="645" t="e">
        <f t="shared" si="15"/>
        <v>#DIV/0!</v>
      </c>
      <c r="G53" s="3381"/>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6" customFormat="1">
      <c r="A54" s="647" t="s">
        <v>2592</v>
      </c>
      <c r="B54" s="222" t="e">
        <f t="shared" si="17"/>
        <v>#DIV/0!</v>
      </c>
      <c r="C54" s="174">
        <f t="shared" si="16"/>
        <v>0</v>
      </c>
      <c r="D54" s="1073">
        <v>0.25</v>
      </c>
      <c r="E54" s="648"/>
      <c r="F54" s="645" t="e">
        <f t="shared" si="15"/>
        <v>#DIV/0!</v>
      </c>
      <c r="G54" s="3381"/>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6" customFormat="1">
      <c r="A55" s="647" t="s">
        <v>2593</v>
      </c>
      <c r="B55" s="222" t="e">
        <f t="shared" si="17"/>
        <v>#DIV/0!</v>
      </c>
      <c r="C55" s="174">
        <f t="shared" si="16"/>
        <v>0</v>
      </c>
      <c r="D55" s="1073">
        <v>0.25</v>
      </c>
      <c r="E55" s="648"/>
      <c r="F55" s="645" t="e">
        <f t="shared" si="15"/>
        <v>#DIV/0!</v>
      </c>
      <c r="G55" s="3381"/>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6" customFormat="1">
      <c r="A56" s="647" t="s">
        <v>2594</v>
      </c>
      <c r="B56" s="222" t="e">
        <f t="shared" si="17"/>
        <v>#DIV/0!</v>
      </c>
      <c r="C56" s="174">
        <f t="shared" si="16"/>
        <v>0</v>
      </c>
      <c r="D56" s="1073">
        <v>0.25</v>
      </c>
      <c r="E56" s="221">
        <f>'数据-汇总表'!E11</f>
        <v>0</v>
      </c>
      <c r="F56" s="645" t="e">
        <f t="shared" si="15"/>
        <v>#DIV/0!</v>
      </c>
      <c r="G56" s="2172" t="s">
        <v>2595</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6" customFormat="1">
      <c r="A57" s="647" t="s">
        <v>2596</v>
      </c>
      <c r="B57" s="222" t="e">
        <f t="shared" si="17"/>
        <v>#DIV/0!</v>
      </c>
      <c r="C57" s="174">
        <f t="shared" si="16"/>
        <v>0</v>
      </c>
      <c r="D57" s="1073">
        <v>0.25</v>
      </c>
      <c r="E57" s="221">
        <f>'数据-汇总表'!E12</f>
        <v>0</v>
      </c>
      <c r="F57" s="645" t="e">
        <f t="shared" si="15"/>
        <v>#DIV/0!</v>
      </c>
      <c r="G57" s="1020" t="s">
        <v>2597</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6" customFormat="1">
      <c r="A58" s="647" t="s">
        <v>2598</v>
      </c>
      <c r="B58" s="222" t="e">
        <f t="shared" si="17"/>
        <v>#DIV/0!</v>
      </c>
      <c r="C58" s="174">
        <f t="shared" si="16"/>
        <v>0</v>
      </c>
      <c r="D58" s="1073">
        <v>0.25</v>
      </c>
      <c r="E58" s="221">
        <f>'数据-汇总表'!E13</f>
        <v>0</v>
      </c>
      <c r="F58" s="645" t="e">
        <f t="shared" si="15"/>
        <v>#DIV/0!</v>
      </c>
      <c r="G58" s="1020" t="s">
        <v>2599</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6" customFormat="1">
      <c r="A59" s="647" t="s">
        <v>2600</v>
      </c>
      <c r="B59" s="222" t="e">
        <f t="shared" si="17"/>
        <v>#DIV/0!</v>
      </c>
      <c r="C59" s="174">
        <f t="shared" si="16"/>
        <v>0</v>
      </c>
      <c r="D59" s="1073">
        <v>0.25</v>
      </c>
      <c r="E59" s="221">
        <f>'数据-汇总表'!E14</f>
        <v>7889.71</v>
      </c>
      <c r="F59" s="645" t="e">
        <f t="shared" si="15"/>
        <v>#DIV/0!</v>
      </c>
      <c r="G59" s="2172" t="s">
        <v>2590</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6" customFormat="1" ht="15" thickBot="1">
      <c r="A60" s="647" t="s">
        <v>2601</v>
      </c>
      <c r="B60" s="222" t="e">
        <f t="shared" si="17"/>
        <v>#DIV/0!</v>
      </c>
      <c r="C60" s="174">
        <f t="shared" si="16"/>
        <v>0</v>
      </c>
      <c r="D60" s="1073">
        <v>0.25</v>
      </c>
      <c r="E60" s="221">
        <f>'数据-汇总表'!E15</f>
        <v>0</v>
      </c>
      <c r="F60" s="645" t="e">
        <f t="shared" si="15"/>
        <v>#DIV/0!</v>
      </c>
      <c r="G60" s="2173" t="s">
        <v>2595</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6" customFormat="1" ht="15" thickBot="1">
      <c r="A61" s="649" t="s">
        <v>2602</v>
      </c>
      <c r="B61" s="650" t="s">
        <v>28</v>
      </c>
      <c r="C61" s="650" t="s">
        <v>29</v>
      </c>
      <c r="D61" s="650" t="s">
        <v>997</v>
      </c>
      <c r="E61" s="650">
        <f>IF(B41="楼面地价",SUM(E51:E60),'数据-汇总表'!D3)</f>
        <v>2782.06</v>
      </c>
      <c r="F61" s="651"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3" customFormat="1" ht="15">
      <c r="A65" s="2174" t="s">
        <v>2603</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2" t="str">
        <f>"北京市平均增长率"&amp;TEXT(基准地价修正!P24,"0.00%")</f>
        <v>北京市平均增长率1.23%</v>
      </c>
      <c r="C66" s="558">
        <v>100</v>
      </c>
      <c r="D66" s="550"/>
      <c r="E66" s="550"/>
      <c r="F66" s="550"/>
      <c r="G66" s="550"/>
      <c r="H66" s="550"/>
      <c r="I66" s="550"/>
      <c r="J66" s="550"/>
      <c r="K66" s="550"/>
      <c r="L66" s="550"/>
      <c r="M66" s="1337"/>
      <c r="N66" s="1337"/>
      <c r="O66" s="1339"/>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0" t="s">
        <v>2407</v>
      </c>
      <c r="B67" s="471"/>
      <c r="C67" s="472"/>
      <c r="D67" s="473"/>
      <c r="E67" s="473"/>
      <c r="F67" s="473"/>
      <c r="G67" s="473"/>
      <c r="H67" s="473"/>
      <c r="I67" s="473"/>
      <c r="J67" s="473"/>
      <c r="K67" s="473"/>
      <c r="L67" s="473"/>
      <c r="M67" s="474"/>
      <c r="N67" s="474"/>
      <c r="O67" s="475"/>
      <c r="P67" s="2967"/>
      <c r="Q67" s="2967"/>
      <c r="R67" s="2887"/>
      <c r="S67" s="2887"/>
      <c r="T67" s="2887"/>
      <c r="U67" s="2887"/>
      <c r="V67" s="2887"/>
      <c r="W67" s="2887"/>
      <c r="X67" s="2887"/>
      <c r="Y67" s="2887"/>
      <c r="Z67" s="2887"/>
      <c r="AA67" s="2887"/>
      <c r="AB67" s="2887"/>
      <c r="AC67" s="2887"/>
      <c r="AD67" s="2887"/>
      <c r="AE67" s="2887"/>
    </row>
    <row r="68" spans="1:31" s="113" customFormat="1" ht="15">
      <c r="A68" s="476" t="s">
        <v>2372</v>
      </c>
      <c r="B68" s="465"/>
      <c r="C68" s="477" t="s">
        <v>2474</v>
      </c>
      <c r="D68" s="478"/>
      <c r="E68" s="478"/>
      <c r="F68" s="478"/>
      <c r="G68" s="478"/>
      <c r="H68" s="478"/>
      <c r="I68" s="478"/>
      <c r="J68" s="478"/>
      <c r="K68" s="478"/>
      <c r="L68" s="479"/>
      <c r="M68" s="480"/>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6"/>
      <c r="B69" s="465"/>
      <c r="C69" s="593">
        <v>100</v>
      </c>
      <c r="D69" s="467"/>
      <c r="E69" s="467"/>
      <c r="F69" s="467"/>
      <c r="G69" s="467"/>
      <c r="H69" s="467"/>
      <c r="I69" s="467"/>
      <c r="J69" s="467"/>
      <c r="K69" s="467"/>
      <c r="L69" s="467"/>
      <c r="M69" s="469"/>
      <c r="N69" s="2980"/>
      <c r="O69" s="2980"/>
      <c r="P69" s="2967"/>
      <c r="Q69" s="2967"/>
      <c r="R69" s="2887"/>
      <c r="S69" s="2887"/>
      <c r="T69" s="2887"/>
      <c r="U69" s="2887"/>
      <c r="V69" s="2887"/>
      <c r="W69" s="2887"/>
      <c r="X69" s="2887"/>
      <c r="Y69" s="2887"/>
      <c r="Z69" s="2887"/>
      <c r="AA69" s="2887"/>
      <c r="AB69" s="2887"/>
      <c r="AC69" s="2887"/>
      <c r="AD69" s="2887"/>
      <c r="AE69" s="2887"/>
    </row>
    <row r="70" spans="1:31">
      <c r="A70" s="482" t="s">
        <v>2410</v>
      </c>
      <c r="B70" s="483" t="s">
        <v>2376</v>
      </c>
      <c r="C70" s="485"/>
      <c r="D70" s="485"/>
      <c r="E70" s="485"/>
      <c r="F70" s="485"/>
      <c r="G70" s="485"/>
      <c r="H70" s="485"/>
      <c r="I70" s="485"/>
      <c r="J70" s="485"/>
      <c r="K70" s="486"/>
      <c r="L70" s="487"/>
      <c r="M70" s="488"/>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9"/>
      <c r="B71" s="490"/>
      <c r="C71" s="491"/>
      <c r="D71" s="491"/>
      <c r="E71" s="491"/>
      <c r="F71" s="491"/>
      <c r="G71" s="491"/>
      <c r="H71" s="491"/>
      <c r="I71" s="491"/>
      <c r="J71" s="491"/>
      <c r="K71" s="491"/>
      <c r="L71" s="491"/>
      <c r="M71" s="492"/>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9"/>
      <c r="B72" s="493" t="s">
        <v>2379</v>
      </c>
      <c r="C72" s="494"/>
      <c r="D72" s="494"/>
      <c r="E72" s="494"/>
      <c r="F72" s="494"/>
      <c r="G72" s="494"/>
      <c r="H72" s="494"/>
      <c r="I72" s="494"/>
      <c r="J72" s="494"/>
      <c r="K72" s="495"/>
      <c r="L72" s="496"/>
      <c r="M72" s="497"/>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9"/>
      <c r="B73" s="498"/>
      <c r="C73" s="499"/>
      <c r="D73" s="499"/>
      <c r="E73" s="499"/>
      <c r="F73" s="499"/>
      <c r="G73" s="499"/>
      <c r="H73" s="499"/>
      <c r="I73" s="499"/>
      <c r="J73" s="499"/>
      <c r="K73" s="499"/>
      <c r="L73" s="499"/>
      <c r="M73" s="500"/>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9"/>
      <c r="B74" s="501" t="s">
        <v>2380</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9"/>
      <c r="B75" s="503"/>
      <c r="C75" s="504"/>
      <c r="D75" s="504"/>
      <c r="E75" s="504"/>
      <c r="F75" s="504"/>
      <c r="G75" s="504"/>
      <c r="H75" s="504"/>
      <c r="I75" s="504"/>
      <c r="J75" s="504"/>
      <c r="K75" s="505"/>
      <c r="L75" s="506"/>
      <c r="M75" s="507"/>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8" customFormat="1" ht="15.75" thickTop="1">
      <c r="A77" s="508"/>
      <c r="B77" s="493">
        <f>B12</f>
        <v>111</v>
      </c>
      <c r="C77" s="509"/>
      <c r="D77" s="509"/>
      <c r="E77" s="509"/>
      <c r="F77" s="509"/>
      <c r="G77" s="509"/>
      <c r="H77" s="510"/>
      <c r="I77" s="510"/>
      <c r="J77" s="510"/>
      <c r="K77" s="510"/>
      <c r="L77" s="511"/>
      <c r="M77" s="512"/>
      <c r="N77" s="2983"/>
      <c r="O77" s="2983"/>
      <c r="P77" s="3007"/>
      <c r="Q77" s="2974"/>
      <c r="R77" s="2975"/>
      <c r="S77" s="2975"/>
      <c r="T77" s="2975"/>
      <c r="U77" s="2975"/>
      <c r="V77" s="2975"/>
      <c r="W77" s="2975"/>
      <c r="X77" s="2975"/>
      <c r="Y77" s="2975"/>
      <c r="Z77" s="2975"/>
      <c r="AA77" s="2975"/>
      <c r="AB77" s="2975"/>
      <c r="AC77" s="2975"/>
      <c r="AD77" s="2975"/>
      <c r="AE77" s="2975"/>
    </row>
    <row r="78" spans="1:31" s="428" customFormat="1" ht="15.75" thickBot="1">
      <c r="A78" s="508"/>
      <c r="B78" s="498"/>
      <c r="C78" s="515"/>
      <c r="D78" s="491"/>
      <c r="E78" s="491"/>
      <c r="F78" s="491"/>
      <c r="G78" s="491"/>
      <c r="H78" s="491"/>
      <c r="I78" s="491"/>
      <c r="J78" s="491"/>
      <c r="K78" s="491"/>
      <c r="L78" s="491"/>
      <c r="M78" s="492"/>
      <c r="N78" s="2982"/>
      <c r="O78" s="2982"/>
      <c r="P78" s="3007"/>
      <c r="Q78" s="2974"/>
      <c r="R78" s="2975"/>
      <c r="S78" s="2975"/>
      <c r="T78" s="2975"/>
      <c r="U78" s="2975"/>
      <c r="V78" s="2975"/>
      <c r="W78" s="2975"/>
      <c r="X78" s="2975"/>
      <c r="Y78" s="2975"/>
      <c r="Z78" s="2975"/>
      <c r="AA78" s="2975"/>
      <c r="AB78" s="2975"/>
      <c r="AC78" s="2975"/>
      <c r="AD78" s="2975"/>
      <c r="AE78" s="2975"/>
    </row>
    <row r="79" spans="1:31" s="428" customFormat="1" ht="15.75" thickTop="1">
      <c r="A79" s="508"/>
      <c r="B79" s="493">
        <f>B13</f>
        <v>111</v>
      </c>
      <c r="C79" s="509"/>
      <c r="D79" s="509"/>
      <c r="E79" s="509"/>
      <c r="F79" s="509"/>
      <c r="G79" s="509"/>
      <c r="H79" s="510"/>
      <c r="I79" s="510"/>
      <c r="J79" s="510"/>
      <c r="K79" s="510"/>
      <c r="L79" s="511"/>
      <c r="M79" s="512"/>
      <c r="N79" s="2983"/>
      <c r="O79" s="2983"/>
      <c r="P79" s="2951"/>
      <c r="Q79" s="2977"/>
      <c r="R79" s="2975"/>
      <c r="S79" s="2975"/>
      <c r="T79" s="2975"/>
      <c r="U79" s="2975"/>
      <c r="V79" s="2975"/>
      <c r="W79" s="2975"/>
      <c r="X79" s="2975"/>
      <c r="Y79" s="2975"/>
      <c r="Z79" s="2975"/>
      <c r="AA79" s="2975"/>
      <c r="AB79" s="2975"/>
      <c r="AC79" s="2975"/>
      <c r="AD79" s="2975"/>
      <c r="AE79" s="2975"/>
    </row>
    <row r="80" spans="1:31" s="428" customFormat="1" ht="15.75" thickBot="1">
      <c r="A80" s="508"/>
      <c r="B80" s="498"/>
      <c r="C80" s="515"/>
      <c r="D80" s="515"/>
      <c r="E80" s="515"/>
      <c r="F80" s="515"/>
      <c r="G80" s="515"/>
      <c r="H80" s="517"/>
      <c r="I80" s="517"/>
      <c r="J80" s="517"/>
      <c r="K80" s="517"/>
      <c r="L80" s="517"/>
      <c r="M80" s="518"/>
      <c r="N80" s="2983"/>
      <c r="O80" s="2983"/>
      <c r="P80" s="3007"/>
      <c r="Q80" s="2974"/>
      <c r="R80" s="2975"/>
      <c r="S80" s="2975"/>
      <c r="T80" s="2975"/>
      <c r="U80" s="2975"/>
      <c r="V80" s="2975"/>
      <c r="W80" s="2975"/>
      <c r="X80" s="2975"/>
      <c r="Y80" s="2975"/>
      <c r="Z80" s="2975"/>
      <c r="AA80" s="2975"/>
      <c r="AB80" s="2975"/>
      <c r="AC80" s="2975"/>
      <c r="AD80" s="2975"/>
      <c r="AE80" s="2975"/>
    </row>
    <row r="81" spans="1:31" s="428" customFormat="1" ht="15.75" thickTop="1">
      <c r="A81" s="508"/>
      <c r="B81" s="501">
        <f>B14</f>
        <v>111</v>
      </c>
      <c r="C81" s="478"/>
      <c r="D81" s="478"/>
      <c r="E81" s="478"/>
      <c r="F81" s="478"/>
      <c r="G81" s="478"/>
      <c r="H81" s="519"/>
      <c r="I81" s="519"/>
      <c r="J81" s="519"/>
      <c r="K81" s="519"/>
      <c r="L81" s="520"/>
      <c r="M81" s="521"/>
      <c r="N81" s="2983"/>
      <c r="O81" s="2983"/>
      <c r="P81" s="3012"/>
      <c r="Q81" s="2974"/>
      <c r="R81" s="2975"/>
      <c r="S81" s="2975"/>
      <c r="T81" s="2975"/>
      <c r="U81" s="2975"/>
      <c r="V81" s="2975"/>
      <c r="W81" s="2975"/>
      <c r="X81" s="2975"/>
      <c r="Y81" s="2975"/>
      <c r="Z81" s="2975"/>
      <c r="AA81" s="2975"/>
      <c r="AB81" s="2975"/>
      <c r="AC81" s="2975"/>
      <c r="AD81" s="2975"/>
      <c r="AE81" s="2975"/>
    </row>
    <row r="82" spans="1:31" s="428" customFormat="1" ht="15.75" thickBot="1">
      <c r="A82" s="523"/>
      <c r="B82" s="524"/>
      <c r="C82" s="525"/>
      <c r="D82" s="525"/>
      <c r="E82" s="525"/>
      <c r="F82" s="525"/>
      <c r="G82" s="525"/>
      <c r="H82" s="526"/>
      <c r="I82" s="526"/>
      <c r="J82" s="526"/>
      <c r="K82" s="526"/>
      <c r="L82" s="526"/>
      <c r="M82" s="527"/>
      <c r="N82" s="2983"/>
      <c r="O82" s="2983"/>
      <c r="P82" s="3007"/>
      <c r="Q82" s="2974"/>
      <c r="R82" s="2975"/>
      <c r="S82" s="2975"/>
      <c r="T82" s="2975"/>
      <c r="U82" s="2975"/>
      <c r="V82" s="2975"/>
      <c r="W82" s="2975"/>
      <c r="X82" s="2975"/>
      <c r="Y82" s="2975"/>
      <c r="Z82" s="2975"/>
      <c r="AA82" s="2975"/>
      <c r="AB82" s="2975"/>
      <c r="AC82" s="2975"/>
      <c r="AD82" s="2975"/>
      <c r="AE82" s="2975"/>
    </row>
    <row r="83" spans="1:31">
      <c r="A83" s="482" t="s">
        <v>2381</v>
      </c>
      <c r="B83" s="483" t="s">
        <v>2527</v>
      </c>
      <c r="C83" s="528" t="s">
        <v>2419</v>
      </c>
      <c r="D83" s="528" t="s">
        <v>2420</v>
      </c>
      <c r="E83" s="528" t="s">
        <v>2421</v>
      </c>
      <c r="F83" s="528" t="s">
        <v>2422</v>
      </c>
      <c r="G83" s="528" t="s">
        <v>2423</v>
      </c>
      <c r="H83" s="484"/>
      <c r="I83" s="484"/>
      <c r="J83" s="484"/>
      <c r="K83" s="529"/>
      <c r="L83" s="530"/>
      <c r="M83" s="531"/>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9"/>
      <c r="B85" s="493" t="s">
        <v>2424</v>
      </c>
      <c r="C85" s="533" t="s">
        <v>2419</v>
      </c>
      <c r="D85" s="533" t="s">
        <v>2420</v>
      </c>
      <c r="E85" s="533" t="s">
        <v>2421</v>
      </c>
      <c r="F85" s="533" t="s">
        <v>2422</v>
      </c>
      <c r="G85" s="533" t="s">
        <v>2423</v>
      </c>
      <c r="H85" s="494"/>
      <c r="I85" s="494"/>
      <c r="J85" s="494"/>
      <c r="K85" s="495"/>
      <c r="L85" s="496"/>
      <c r="M85" s="497"/>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4"/>
      <c r="B87" s="493" t="s">
        <v>2606</v>
      </c>
      <c r="C87" s="528" t="s">
        <v>2419</v>
      </c>
      <c r="D87" s="528" t="s">
        <v>2420</v>
      </c>
      <c r="E87" s="528" t="s">
        <v>2421</v>
      </c>
      <c r="F87" s="528" t="s">
        <v>2422</v>
      </c>
      <c r="G87" s="528" t="s">
        <v>2423</v>
      </c>
      <c r="H87" s="533"/>
      <c r="I87" s="533"/>
      <c r="J87" s="533"/>
      <c r="K87" s="533"/>
      <c r="L87" s="652"/>
      <c r="M87" s="576"/>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4"/>
      <c r="B89" s="493" t="s">
        <v>2607</v>
      </c>
      <c r="C89" s="528" t="s">
        <v>2419</v>
      </c>
      <c r="D89" s="528" t="s">
        <v>2420</v>
      </c>
      <c r="E89" s="528" t="s">
        <v>2421</v>
      </c>
      <c r="F89" s="528" t="s">
        <v>2422</v>
      </c>
      <c r="G89" s="528" t="s">
        <v>2423</v>
      </c>
      <c r="H89" s="533"/>
      <c r="I89" s="533"/>
      <c r="J89" s="533"/>
      <c r="K89" s="533"/>
      <c r="L89" s="533"/>
      <c r="M89" s="576"/>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2"/>
      <c r="O90" s="2982"/>
      <c r="P90" s="3006"/>
      <c r="Q90" s="2967"/>
      <c r="R90" s="2887"/>
      <c r="S90" s="2887"/>
      <c r="T90" s="2887"/>
      <c r="U90" s="2887"/>
      <c r="V90" s="2887"/>
      <c r="W90" s="2887"/>
      <c r="X90" s="2887"/>
      <c r="Y90" s="2887"/>
      <c r="Z90" s="2887"/>
      <c r="AA90" s="2887"/>
      <c r="AB90" s="2887"/>
      <c r="AC90" s="2887"/>
      <c r="AD90" s="2887"/>
      <c r="AE90" s="2887"/>
    </row>
    <row r="91" spans="1:31" s="428" customFormat="1" ht="15.75" thickTop="1">
      <c r="A91" s="508"/>
      <c r="B91" s="493" t="s">
        <v>2476</v>
      </c>
      <c r="C91" s="528" t="s">
        <v>2419</v>
      </c>
      <c r="D91" s="528" t="s">
        <v>2420</v>
      </c>
      <c r="E91" s="528" t="s">
        <v>2421</v>
      </c>
      <c r="F91" s="528" t="s">
        <v>2422</v>
      </c>
      <c r="G91" s="528" t="s">
        <v>2423</v>
      </c>
      <c r="H91" s="555"/>
      <c r="I91" s="555"/>
      <c r="J91" s="555"/>
      <c r="K91" s="555"/>
      <c r="L91" s="556"/>
      <c r="M91" s="557"/>
      <c r="N91" s="2983"/>
      <c r="O91" s="2983"/>
      <c r="P91" s="3007"/>
      <c r="Q91" s="2974"/>
      <c r="R91" s="2975"/>
      <c r="S91" s="2975"/>
      <c r="T91" s="2975"/>
      <c r="U91" s="2975"/>
      <c r="V91" s="2975"/>
      <c r="W91" s="2975"/>
      <c r="X91" s="2975"/>
      <c r="Y91" s="2975"/>
      <c r="Z91" s="2975"/>
      <c r="AA91" s="2975"/>
      <c r="AB91" s="2975"/>
      <c r="AC91" s="2975"/>
      <c r="AD91" s="2975"/>
      <c r="AE91" s="2975"/>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3"/>
      <c r="O92" s="2983"/>
      <c r="P92" s="3007"/>
      <c r="Q92" s="2974"/>
      <c r="R92" s="2975"/>
      <c r="S92" s="2975"/>
      <c r="T92" s="2975"/>
      <c r="U92" s="2975"/>
      <c r="V92" s="2975"/>
      <c r="W92" s="2975"/>
      <c r="X92" s="2975"/>
      <c r="Y92" s="2975"/>
      <c r="Z92" s="2975"/>
      <c r="AA92" s="2975"/>
      <c r="AB92" s="2975"/>
      <c r="AC92" s="2975"/>
      <c r="AD92" s="2975"/>
      <c r="AE92" s="2975"/>
    </row>
    <row r="93" spans="1:31" s="428" customFormat="1" ht="15.75" thickTop="1">
      <c r="A93" s="508"/>
      <c r="B93" s="501" t="s">
        <v>2624</v>
      </c>
      <c r="C93" s="614" t="s">
        <v>2497</v>
      </c>
      <c r="D93" s="614" t="s">
        <v>2498</v>
      </c>
      <c r="E93" s="614" t="s">
        <v>2499</v>
      </c>
      <c r="F93" s="614" t="s">
        <v>2500</v>
      </c>
      <c r="G93" s="614" t="s">
        <v>2501</v>
      </c>
      <c r="H93" s="555"/>
      <c r="I93" s="555"/>
      <c r="J93" s="555"/>
      <c r="K93" s="555"/>
      <c r="L93" s="555"/>
      <c r="M93" s="557"/>
      <c r="N93" s="2983"/>
      <c r="O93" s="2983"/>
      <c r="P93" s="3007"/>
      <c r="Q93" s="2974"/>
      <c r="R93" s="2975"/>
      <c r="S93" s="2975"/>
      <c r="T93" s="2975"/>
      <c r="U93" s="2975"/>
      <c r="V93" s="2975"/>
      <c r="W93" s="2975"/>
      <c r="X93" s="2975"/>
      <c r="Y93" s="2975"/>
      <c r="Z93" s="2975"/>
      <c r="AA93" s="2975"/>
      <c r="AB93" s="2975"/>
      <c r="AC93" s="2975"/>
      <c r="AD93" s="2975"/>
      <c r="AE93" s="2975"/>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9"/>
      <c r="B95" s="493" t="str">
        <f>B27</f>
        <v>临街状况</v>
      </c>
      <c r="C95" s="494" t="s">
        <v>2608</v>
      </c>
      <c r="D95" s="494" t="s">
        <v>2609</v>
      </c>
      <c r="E95" s="494" t="s">
        <v>2610</v>
      </c>
      <c r="F95" s="494" t="s">
        <v>2611</v>
      </c>
      <c r="G95" s="494"/>
      <c r="H95" s="494"/>
      <c r="I95" s="494"/>
      <c r="J95" s="494"/>
      <c r="K95" s="495"/>
      <c r="L95" s="496"/>
      <c r="M95" s="497"/>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9"/>
      <c r="B97" s="493" t="s">
        <v>2513</v>
      </c>
      <c r="C97" s="509"/>
      <c r="D97" s="509"/>
      <c r="E97" s="509"/>
      <c r="F97" s="509"/>
      <c r="G97" s="509"/>
      <c r="H97" s="538"/>
      <c r="I97" s="538"/>
      <c r="J97" s="538"/>
      <c r="K97" s="539"/>
      <c r="L97" s="540"/>
      <c r="M97" s="541"/>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9"/>
      <c r="B99" s="493" t="s">
        <v>2571</v>
      </c>
      <c r="C99" s="538"/>
      <c r="D99" s="538"/>
      <c r="E99" s="538"/>
      <c r="F99" s="538"/>
      <c r="G99" s="538"/>
      <c r="H99" s="538"/>
      <c r="I99" s="538"/>
      <c r="J99" s="538"/>
      <c r="K99" s="539"/>
      <c r="L99" s="540"/>
      <c r="M99" s="541"/>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9"/>
      <c r="B101" s="501">
        <f>B31</f>
        <v>111</v>
      </c>
      <c r="C101" s="509"/>
      <c r="D101" s="509"/>
      <c r="E101" s="509"/>
      <c r="F101" s="509"/>
      <c r="G101" s="542"/>
      <c r="H101" s="542"/>
      <c r="I101" s="542"/>
      <c r="J101" s="542"/>
      <c r="K101" s="543"/>
      <c r="L101" s="544"/>
      <c r="M101" s="545"/>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9"/>
      <c r="B102" s="524"/>
      <c r="C102" s="515"/>
      <c r="D102" s="491"/>
      <c r="E102" s="491"/>
      <c r="F102" s="491"/>
      <c r="G102" s="546"/>
      <c r="H102" s="546"/>
      <c r="I102" s="546"/>
      <c r="J102" s="546"/>
      <c r="K102" s="546"/>
      <c r="L102" s="546"/>
      <c r="M102" s="547"/>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9"/>
      <c r="B103" s="493">
        <f>B32</f>
        <v>111</v>
      </c>
      <c r="C103" s="509"/>
      <c r="D103" s="509"/>
      <c r="E103" s="509"/>
      <c r="F103" s="509"/>
      <c r="G103" s="538"/>
      <c r="H103" s="538"/>
      <c r="I103" s="538"/>
      <c r="J103" s="538"/>
      <c r="K103" s="539"/>
      <c r="L103" s="540"/>
      <c r="M103" s="541"/>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9"/>
      <c r="B104" s="498"/>
      <c r="C104" s="515"/>
      <c r="D104" s="515"/>
      <c r="E104" s="515"/>
      <c r="F104" s="515"/>
      <c r="G104" s="491"/>
      <c r="H104" s="491"/>
      <c r="I104" s="491"/>
      <c r="J104" s="491"/>
      <c r="K104" s="491"/>
      <c r="L104" s="491"/>
      <c r="M104" s="492"/>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8" customFormat="1" ht="15" thickTop="1">
      <c r="A105" s="548"/>
      <c r="B105" s="549">
        <f>B33</f>
        <v>111</v>
      </c>
      <c r="C105" s="478"/>
      <c r="D105" s="478"/>
      <c r="E105" s="478"/>
      <c r="F105" s="478"/>
      <c r="G105" s="550"/>
      <c r="H105" s="550"/>
      <c r="I105" s="550"/>
      <c r="J105" s="551"/>
      <c r="K105" s="551"/>
      <c r="L105" s="552"/>
      <c r="M105" s="553"/>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8" customFormat="1" ht="15.75" thickBot="1">
      <c r="A106" s="508"/>
      <c r="B106" s="501"/>
      <c r="C106" s="525"/>
      <c r="D106" s="525"/>
      <c r="E106" s="525"/>
      <c r="F106" s="525"/>
      <c r="G106" s="631"/>
      <c r="H106" s="631"/>
      <c r="I106" s="631"/>
      <c r="J106" s="631"/>
      <c r="K106" s="631"/>
      <c r="L106" s="631"/>
      <c r="M106" s="653"/>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2" t="s">
        <v>2385</v>
      </c>
      <c r="B107" s="483" t="s">
        <v>2612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9"/>
      <c r="B108" s="501"/>
      <c r="C108" s="550"/>
      <c r="D108" s="550"/>
      <c r="E108" s="550"/>
      <c r="F108" s="550"/>
      <c r="G108" s="550"/>
      <c r="H108" s="550"/>
      <c r="I108" s="550"/>
      <c r="J108" s="551"/>
      <c r="K108" s="551"/>
      <c r="L108" s="552"/>
      <c r="M108" s="553"/>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9"/>
      <c r="B109" s="498"/>
      <c r="C109" s="525"/>
      <c r="D109" s="546"/>
      <c r="E109" s="546"/>
      <c r="F109" s="546"/>
      <c r="G109" s="546"/>
      <c r="H109" s="546"/>
      <c r="I109" s="546"/>
      <c r="J109" s="546"/>
      <c r="K109" s="546"/>
      <c r="L109" s="546"/>
      <c r="M109" s="547"/>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4"/>
      <c r="B110" s="493" t="s">
        <v>2613</v>
      </c>
      <c r="C110" s="538"/>
      <c r="D110" s="538"/>
      <c r="E110" s="538"/>
      <c r="F110" s="538"/>
      <c r="G110" s="538"/>
      <c r="H110" s="538"/>
      <c r="I110" s="538"/>
      <c r="J110" s="538"/>
      <c r="K110" s="539"/>
      <c r="L110" s="540"/>
      <c r="M110" s="541"/>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8" customFormat="1" ht="15" thickTop="1">
      <c r="A112" s="548"/>
      <c r="B112" s="493" t="s">
        <v>2615</v>
      </c>
      <c r="C112" s="509"/>
      <c r="D112" s="509"/>
      <c r="E112" s="509"/>
      <c r="F112" s="509"/>
      <c r="G112" s="509"/>
      <c r="H112" s="538"/>
      <c r="I112" s="538"/>
      <c r="J112" s="538"/>
      <c r="K112" s="539"/>
      <c r="L112" s="540"/>
      <c r="M112" s="541"/>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4"/>
      <c r="B114" s="493" t="s">
        <v>2616</v>
      </c>
      <c r="C114" s="509"/>
      <c r="D114" s="509"/>
      <c r="E114" s="538"/>
      <c r="F114" s="538"/>
      <c r="G114" s="538"/>
      <c r="H114" s="538"/>
      <c r="I114" s="538"/>
      <c r="J114" s="538"/>
      <c r="K114" s="539"/>
      <c r="L114" s="540"/>
      <c r="M114" s="541"/>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4"/>
      <c r="B116" s="493">
        <f>B38</f>
        <v>111</v>
      </c>
      <c r="C116" s="509"/>
      <c r="D116" s="509"/>
      <c r="E116" s="509"/>
      <c r="F116" s="509"/>
      <c r="G116" s="509"/>
      <c r="H116" s="538"/>
      <c r="I116" s="538"/>
      <c r="J116" s="538"/>
      <c r="K116" s="539"/>
      <c r="L116" s="540"/>
      <c r="M116" s="541"/>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9"/>
      <c r="B117" s="498"/>
      <c r="C117" s="515"/>
      <c r="D117" s="491"/>
      <c r="E117" s="491"/>
      <c r="F117" s="491"/>
      <c r="G117" s="491"/>
      <c r="H117" s="491"/>
      <c r="I117" s="491"/>
      <c r="J117" s="491"/>
      <c r="K117" s="491"/>
      <c r="L117" s="491"/>
      <c r="M117" s="492"/>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4"/>
      <c r="B118" s="493">
        <f>B39</f>
        <v>111</v>
      </c>
      <c r="C118" s="509"/>
      <c r="D118" s="509"/>
      <c r="E118" s="509"/>
      <c r="F118" s="509"/>
      <c r="G118" s="538"/>
      <c r="H118" s="538"/>
      <c r="I118" s="538"/>
      <c r="J118" s="538"/>
      <c r="K118" s="539"/>
      <c r="L118" s="540"/>
      <c r="M118" s="541"/>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9"/>
      <c r="B119" s="498"/>
      <c r="C119" s="515"/>
      <c r="D119" s="515"/>
      <c r="E119" s="515"/>
      <c r="F119" s="515"/>
      <c r="G119" s="491"/>
      <c r="H119" s="491"/>
      <c r="I119" s="491"/>
      <c r="J119" s="491"/>
      <c r="K119" s="491"/>
      <c r="L119" s="491"/>
      <c r="M119" s="492"/>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8" customFormat="1" ht="15" thickTop="1">
      <c r="A120" s="548"/>
      <c r="B120" s="493">
        <f>B40</f>
        <v>111</v>
      </c>
      <c r="C120" s="478"/>
      <c r="D120" s="478"/>
      <c r="E120" s="478"/>
      <c r="F120" s="478"/>
      <c r="G120" s="510"/>
      <c r="H120" s="510"/>
      <c r="I120" s="510"/>
      <c r="J120" s="510"/>
      <c r="K120" s="510"/>
      <c r="L120" s="511"/>
      <c r="M120" s="512"/>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8" customFormat="1" ht="15.75" thickBot="1">
      <c r="A121" s="523"/>
      <c r="B121" s="654"/>
      <c r="C121" s="525"/>
      <c r="D121" s="525"/>
      <c r="E121" s="525"/>
      <c r="F121" s="525"/>
      <c r="G121" s="546"/>
      <c r="H121" s="546"/>
      <c r="I121" s="546"/>
      <c r="J121" s="546"/>
      <c r="K121" s="546"/>
      <c r="L121" s="546"/>
      <c r="M121" s="547"/>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200" t="s">
        <v>2625</v>
      </c>
      <c r="B1" s="201"/>
      <c r="C1" s="205" t="s">
        <v>2626</v>
      </c>
      <c r="D1" s="346">
        <f>SUM(D29:D30,D33:D39)</f>
        <v>0</v>
      </c>
      <c r="E1" s="2180"/>
      <c r="F1" s="2180"/>
      <c r="G1" s="2180"/>
      <c r="H1" s="2180"/>
      <c r="I1" s="2180"/>
      <c r="J1" s="2180"/>
      <c r="K1" s="1277"/>
      <c r="L1" s="2181" t="s">
        <v>2627</v>
      </c>
      <c r="M1" s="991">
        <f>SUMPRODUCT((区片价!B5:B9=I2)*(区片价!C3:F3=E2)*(区片价!C5:F9))</f>
        <v>0</v>
      </c>
      <c r="N1" s="994">
        <f>SUMPRODUCT((因素修正幅度!B5:B9=I2)*(因素修正幅度!C3:F3=E2)*(因素修正幅度!C5:F9))</f>
        <v>0</v>
      </c>
      <c r="O1" s="2182"/>
      <c r="P1" s="2182"/>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5" t="s">
        <v>2633</v>
      </c>
      <c r="B2" s="208" t="e">
        <f>C26</f>
        <v>#DIV/0!</v>
      </c>
      <c r="C2" s="2184" t="s">
        <v>2634</v>
      </c>
      <c r="D2" s="2185" t="s">
        <v>2635</v>
      </c>
      <c r="E2" s="2186"/>
      <c r="F2" s="2185" t="s">
        <v>2636</v>
      </c>
      <c r="G2" s="2187">
        <f>IF(E2="商业",项目基本情况!B37,IF(E2="办公",项目基本情况!C37,IF(E2="住宅",项目基本情况!D37,项目基本情况!E37)))</f>
        <v>0</v>
      </c>
      <c r="H2" s="2185" t="s">
        <v>2637</v>
      </c>
      <c r="I2" s="2187">
        <f>IF(E2="商业",项目基本情况!B38,IF(E2="办公",项目基本情况!C38,IF(E2="住宅",项目基本情况!D38,项目基本情况!E38)))</f>
        <v>0</v>
      </c>
      <c r="J2" s="2188"/>
      <c r="K2" s="1277"/>
      <c r="L2" s="2189" t="s">
        <v>2638</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7" t="s">
        <v>2639</v>
      </c>
      <c r="B3" s="208" t="e">
        <f>ROUND(B2*10000/D1,0)</f>
        <v>#DIV/0!</v>
      </c>
      <c r="C3" s="2184" t="s">
        <v>2640</v>
      </c>
      <c r="D3" s="2185" t="s">
        <v>2641</v>
      </c>
      <c r="E3" s="2190"/>
      <c r="F3" s="2191" t="s">
        <v>2642</v>
      </c>
      <c r="G3" s="852">
        <f>IF(F3="宗地容积率",'数据-汇总表'!I4,IF(F3="估价对象容积率",'数据-汇总表'!I6,'数据-汇总表'!I7))</f>
        <v>5.43</v>
      </c>
      <c r="H3" s="173" t="s">
        <v>2643</v>
      </c>
      <c r="I3" s="878"/>
      <c r="J3" s="2188" t="s">
        <v>2644</v>
      </c>
      <c r="K3" s="1277"/>
      <c r="L3" s="2189" t="s">
        <v>2645</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41"/>
      <c r="B4" s="3442"/>
      <c r="C4" s="3442"/>
      <c r="D4" s="3443"/>
      <c r="E4" s="3443"/>
      <c r="F4" s="3443"/>
      <c r="G4" s="3443"/>
      <c r="H4" s="3443"/>
      <c r="I4" s="3443"/>
      <c r="J4" s="3444"/>
      <c r="K4" s="1277"/>
      <c r="L4" s="2189" t="s">
        <v>2646</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2647</v>
      </c>
      <c r="C5" s="853" t="e">
        <f>ROUND(IF(E2="商业",C6*C7+C16,(IF(E2="住宅",C6*C12+C16,C6+C16))),0)</f>
        <v>#DIV/0!</v>
      </c>
      <c r="D5" s="1522" t="e">
        <f>ROUND(C6+C16,0)</f>
        <v>#DIV/0!</v>
      </c>
      <c r="E5" s="1522"/>
      <c r="F5" s="2194"/>
      <c r="G5" s="2195"/>
      <c r="H5" s="2195"/>
      <c r="I5" s="2195"/>
      <c r="J5" s="2196"/>
      <c r="K5" s="2197"/>
      <c r="L5" s="2189" t="s">
        <v>2648</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2649</v>
      </c>
      <c r="B6" s="2203" t="s">
        <v>2650</v>
      </c>
      <c r="C6" s="854">
        <f>SUMIF(L1:L12,G2,M1:M12)</f>
        <v>0</v>
      </c>
      <c r="D6" s="2204" t="s">
        <v>2651</v>
      </c>
      <c r="E6" s="2205"/>
      <c r="F6" s="2205"/>
      <c r="G6" s="2206"/>
      <c r="H6" s="2206"/>
      <c r="I6" s="2206"/>
      <c r="J6" s="2207"/>
      <c r="K6" s="1567"/>
      <c r="L6" s="2189" t="s">
        <v>2652</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422" t="str">
        <f>IF(E2="商业",IF(C8="不临58条商业街","",2),"")</f>
        <v/>
      </c>
      <c r="B7" s="2208" t="s">
        <v>2653</v>
      </c>
      <c r="C7" s="855" t="e">
        <f>IF(C8="不临58条商业街",1,ROUND(1+(1.6*E8+1.2*E9+0.8*E10+0.4*E11)*C9,4))</f>
        <v>#DIV/0!</v>
      </c>
      <c r="D7" s="2209" t="s">
        <v>2654</v>
      </c>
      <c r="E7" s="879"/>
      <c r="F7" s="2210"/>
      <c r="G7" s="2211"/>
      <c r="H7" s="2211"/>
      <c r="I7" s="2211"/>
      <c r="J7" s="2212"/>
      <c r="K7" s="1567"/>
      <c r="L7" s="2189" t="s">
        <v>2655</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v>
      </c>
      <c r="T7" s="1371" t="e">
        <f t="shared" si="0"/>
        <v>#DIV/0!</v>
      </c>
      <c r="U7" s="1372"/>
      <c r="V7" s="1371" t="e">
        <f t="shared" si="1"/>
        <v>#DIV/0!</v>
      </c>
      <c r="W7" s="1541" t="s">
        <v>2656</v>
      </c>
      <c r="X7" s="1373">
        <f>G2</f>
        <v>0</v>
      </c>
      <c r="Y7" s="1373" t="s">
        <v>2657</v>
      </c>
      <c r="Z7" s="1374">
        <f>G3</f>
        <v>5.43</v>
      </c>
      <c r="AA7" s="1375"/>
      <c r="AB7" s="1375"/>
      <c r="AC7" s="1376"/>
      <c r="AD7" s="1377"/>
      <c r="AE7" s="1377"/>
      <c r="AF7" s="1377"/>
      <c r="AG7" s="1377"/>
      <c r="AH7" s="1377"/>
      <c r="AI7" s="1377"/>
      <c r="AJ7" s="1378"/>
    </row>
    <row r="8" spans="1:36" ht="15">
      <c r="A8" s="3445"/>
      <c r="B8" s="173" t="s">
        <v>2658</v>
      </c>
      <c r="C8" s="2213"/>
      <c r="D8" s="856" t="s">
        <v>139</v>
      </c>
      <c r="E8" s="857" t="e">
        <f>ROUND(C11/E7,4)</f>
        <v>#DIV/0!</v>
      </c>
      <c r="F8" s="2214" t="s">
        <v>2659</v>
      </c>
      <c r="G8" s="2215"/>
      <c r="H8" s="2215"/>
      <c r="I8" s="2215"/>
      <c r="J8" s="2216"/>
      <c r="K8" s="1277"/>
      <c r="L8" s="2189" t="s">
        <v>2660</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438" t="s">
        <v>2661</v>
      </c>
      <c r="X8" s="3439"/>
      <c r="Y8" s="1379" t="s">
        <v>2662</v>
      </c>
      <c r="Z8" s="1379" t="s">
        <v>2663</v>
      </c>
      <c r="AA8" s="1379" t="s">
        <v>2664</v>
      </c>
      <c r="AB8" s="1379" t="s">
        <v>2665</v>
      </c>
      <c r="AC8" s="1379" t="s">
        <v>2666</v>
      </c>
      <c r="AD8" s="1379" t="s">
        <v>2667</v>
      </c>
      <c r="AE8" s="1379" t="s">
        <v>2668</v>
      </c>
      <c r="AF8" s="1379" t="s">
        <v>2669</v>
      </c>
      <c r="AG8" s="1379" t="s">
        <v>2670</v>
      </c>
      <c r="AH8" s="1379" t="s">
        <v>2671</v>
      </c>
      <c r="AI8" s="1379" t="s">
        <v>2672</v>
      </c>
      <c r="AJ8" s="1379" t="s">
        <v>2673</v>
      </c>
    </row>
    <row r="9" spans="1:36" ht="15">
      <c r="A9" s="3445"/>
      <c r="B9" s="173" t="s">
        <v>2674</v>
      </c>
      <c r="C9" s="858">
        <f>SUMIF(修正!C59:C119,C8,修正!E59:E119)</f>
        <v>0</v>
      </c>
      <c r="D9" s="174" t="s">
        <v>140</v>
      </c>
      <c r="E9" s="174" t="e">
        <f>ROUND(C11/E7,4)</f>
        <v>#DIV/0!</v>
      </c>
      <c r="F9" s="2214" t="s">
        <v>2675</v>
      </c>
      <c r="G9" s="2215"/>
      <c r="H9" s="2215"/>
      <c r="I9" s="2215"/>
      <c r="J9" s="2216"/>
      <c r="K9" s="1277"/>
      <c r="L9" s="2189" t="s">
        <v>2676</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440" t="s">
        <v>2677</v>
      </c>
      <c r="X9" s="1380" t="s">
        <v>2678</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45"/>
      <c r="B10" s="173" t="s">
        <v>2679</v>
      </c>
      <c r="C10" s="174">
        <f>SUMIF(修正!C59:C119,C8,修正!F59:F119)</f>
        <v>0</v>
      </c>
      <c r="D10" s="174" t="s">
        <v>141</v>
      </c>
      <c r="E10" s="174" t="e">
        <f>ROUND(C11/E7,4)</f>
        <v>#DIV/0!</v>
      </c>
      <c r="F10" s="2214" t="s">
        <v>2680</v>
      </c>
      <c r="G10" s="2215"/>
      <c r="H10" s="2215"/>
      <c r="I10" s="2215"/>
      <c r="J10" s="2216"/>
      <c r="K10" s="1277"/>
      <c r="L10" s="2189" t="s">
        <v>2681</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44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45"/>
      <c r="B11" s="2217" t="s">
        <v>2682</v>
      </c>
      <c r="C11" s="859">
        <f>C10/4</f>
        <v>0</v>
      </c>
      <c r="D11" s="859" t="s">
        <v>142</v>
      </c>
      <c r="E11" s="859" t="e">
        <f>ROUND(C11/E7,4)</f>
        <v>#DIV/0!</v>
      </c>
      <c r="F11" s="2218" t="s">
        <v>2683</v>
      </c>
      <c r="G11" s="2219"/>
      <c r="H11" s="2219"/>
      <c r="I11" s="2219"/>
      <c r="J11" s="2220"/>
      <c r="K11" s="1277"/>
      <c r="L11" s="2189" t="s">
        <v>2684</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440" t="s">
        <v>2685</v>
      </c>
      <c r="X11" s="1383" t="s">
        <v>2686</v>
      </c>
      <c r="Y11" s="1384">
        <f>$G$3</f>
        <v>5.43</v>
      </c>
      <c r="Z11" s="1384">
        <f t="shared" ref="Z11:AJ11" si="3">$G$3</f>
        <v>5.43</v>
      </c>
      <c r="AA11" s="1384">
        <f t="shared" si="3"/>
        <v>5.43</v>
      </c>
      <c r="AB11" s="1384">
        <f t="shared" si="3"/>
        <v>5.43</v>
      </c>
      <c r="AC11" s="1384">
        <f t="shared" si="3"/>
        <v>5.43</v>
      </c>
      <c r="AD11" s="1384">
        <f t="shared" si="3"/>
        <v>5.43</v>
      </c>
      <c r="AE11" s="1384">
        <f t="shared" si="3"/>
        <v>5.43</v>
      </c>
      <c r="AF11" s="1384">
        <f t="shared" si="3"/>
        <v>5.43</v>
      </c>
      <c r="AG11" s="1384">
        <f t="shared" si="3"/>
        <v>5.43</v>
      </c>
      <c r="AH11" s="1384">
        <f t="shared" si="3"/>
        <v>5.43</v>
      </c>
      <c r="AI11" s="1384">
        <f t="shared" si="3"/>
        <v>5.43</v>
      </c>
      <c r="AJ11" s="1384">
        <f t="shared" si="3"/>
        <v>5.43</v>
      </c>
    </row>
    <row r="12" spans="1:36" ht="25.5" thickBot="1">
      <c r="A12" s="3422" t="s">
        <v>2687</v>
      </c>
      <c r="B12" s="2221" t="s">
        <v>2688</v>
      </c>
      <c r="C12" s="855">
        <f>ROUND(C15*D15*E15*F15*G15*H15*I15*J15,4)</f>
        <v>1</v>
      </c>
      <c r="D12" s="2222" t="s">
        <v>2689</v>
      </c>
      <c r="E12" s="2223"/>
      <c r="F12" s="2223"/>
      <c r="G12" s="2224"/>
      <c r="H12" s="2224"/>
      <c r="I12" s="2224"/>
      <c r="J12" s="2225"/>
      <c r="K12" s="1277"/>
      <c r="L12" s="2226" t="s">
        <v>2690</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440"/>
      <c r="X12" s="1385" t="s">
        <v>2691</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46"/>
      <c r="B13" s="2227" t="s">
        <v>2692</v>
      </c>
      <c r="C13" s="2228" t="s">
        <v>2693</v>
      </c>
      <c r="D13" s="1533" t="s">
        <v>2694</v>
      </c>
      <c r="E13" s="1533" t="s">
        <v>2695</v>
      </c>
      <c r="F13" s="30" t="s">
        <v>2696</v>
      </c>
      <c r="G13" s="2229" t="s">
        <v>2697</v>
      </c>
      <c r="H13" s="2229" t="s">
        <v>2697</v>
      </c>
      <c r="I13" s="2229" t="s">
        <v>2697</v>
      </c>
      <c r="J13" s="2230" t="s">
        <v>2697</v>
      </c>
      <c r="K13" s="1277"/>
      <c r="L13" s="1277"/>
      <c r="M13" s="1277"/>
      <c r="N13" s="1277"/>
      <c r="O13" s="1277"/>
      <c r="P13" s="1277"/>
      <c r="Q13" s="1277"/>
      <c r="R13" s="1371">
        <v>12</v>
      </c>
      <c r="S13" s="1372"/>
      <c r="T13" s="1371" t="e">
        <f t="shared" si="0"/>
        <v>#DIV/0!</v>
      </c>
      <c r="U13" s="1372"/>
      <c r="V13" s="1371" t="e">
        <f t="shared" si="1"/>
        <v>#DIV/0!</v>
      </c>
      <c r="W13" s="3440"/>
      <c r="X13" s="1385"/>
      <c r="Y13" s="1382">
        <f>(-0.163*(Y12^2)-0.59*Y12+7617)*(10^(-4))/Y11</f>
        <v>0.14027624309392267</v>
      </c>
      <c r="Z13" s="1382">
        <f t="shared" ref="Z13:AJ13" si="5">(-0.163*(Z12^2)-0.59*Z12+7617)*(10^(-4))/Z11</f>
        <v>0.14027624309392267</v>
      </c>
      <c r="AA13" s="1382">
        <f t="shared" si="5"/>
        <v>0.14027624309392267</v>
      </c>
      <c r="AB13" s="1382">
        <f t="shared" si="5"/>
        <v>0.14027624309392267</v>
      </c>
      <c r="AC13" s="1382">
        <f t="shared" si="5"/>
        <v>0.14027624309392267</v>
      </c>
      <c r="AD13" s="1382">
        <f t="shared" si="5"/>
        <v>0.14027624309392267</v>
      </c>
      <c r="AE13" s="1382">
        <f t="shared" si="5"/>
        <v>0.14027624309392267</v>
      </c>
      <c r="AF13" s="1382">
        <f t="shared" si="5"/>
        <v>0.14027624309392267</v>
      </c>
      <c r="AG13" s="1382">
        <f t="shared" si="5"/>
        <v>0.14027624309392267</v>
      </c>
      <c r="AH13" s="1382">
        <f t="shared" si="5"/>
        <v>0.14027624309392267</v>
      </c>
      <c r="AI13" s="1382">
        <f t="shared" si="5"/>
        <v>0.14027624309392267</v>
      </c>
      <c r="AJ13" s="1382">
        <f t="shared" si="5"/>
        <v>0.14027624309392267</v>
      </c>
    </row>
    <row r="14" spans="1:36" ht="15">
      <c r="A14" s="3446"/>
      <c r="B14" s="2231"/>
      <c r="C14" s="2232"/>
      <c r="D14" s="2233"/>
      <c r="E14" s="2233"/>
      <c r="F14" s="2234"/>
      <c r="G14" s="2235" t="s">
        <v>2698</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447"/>
      <c r="B15" s="2239" t="s">
        <v>2699</v>
      </c>
      <c r="C15" s="191">
        <f>IF(C14="有",1.1,1)</f>
        <v>1</v>
      </c>
      <c r="D15" s="191">
        <f>IF(D14="有",1.1,1)</f>
        <v>1</v>
      </c>
      <c r="E15" s="191">
        <f>IF(E14="有",1.1,1)</f>
        <v>1</v>
      </c>
      <c r="F15" s="191">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422" t="s">
        <v>2704</v>
      </c>
      <c r="B16" s="2208" t="s">
        <v>2705</v>
      </c>
      <c r="C16" s="2370" t="e">
        <f>ROUND(IF(F17="与级别开发程度一致",0,(G17-E17)/C17),0)</f>
        <v>#DIV/0!</v>
      </c>
      <c r="D16" s="3435" t="s">
        <v>2709</v>
      </c>
      <c r="E16" s="3436"/>
      <c r="F16" s="3435" t="s">
        <v>2706</v>
      </c>
      <c r="G16" s="3436"/>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423"/>
      <c r="B17" s="2381" t="s">
        <v>2708</v>
      </c>
      <c r="C17" s="2382">
        <f>SUMPRODUCT((修正!A2:A5=E2)*(修正!B1:M1=G2)*(修正!B2:M5))</f>
        <v>0</v>
      </c>
      <c r="D17" s="191"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2711</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2712</v>
      </c>
      <c r="C19" s="860" t="e">
        <f>ROUND(IF(H19="按公示增长率计算",SUMPRODUCT((地价!A3:A32=YEAR(G19)&amp;"-"&amp;ROUNDUP(MONTH(G19)/3,0))*(地价!X2:AB2=E2)*(地价!X3:AB32)),IF(H19="地价指数",M20/M19,(1+I19)^O19)),4)</f>
        <v>#VALUE!</v>
      </c>
      <c r="D19" s="2250" t="s">
        <v>2713</v>
      </c>
      <c r="E19" s="861">
        <v>41640</v>
      </c>
      <c r="F19" s="2250" t="s">
        <v>2714</v>
      </c>
      <c r="G19" s="862">
        <f>'数据-取费表'!B2</f>
        <v>44131</v>
      </c>
      <c r="H19" s="2251"/>
      <c r="I19" s="863" t="str">
        <f>IF(H19="季度增幅（自定义）",SUMIF(N21:N24,E2,O21:O24),"")</f>
        <v/>
      </c>
      <c r="J19" s="2248"/>
      <c r="K19" s="1284"/>
      <c r="L19" s="2252" t="s">
        <v>2715</v>
      </c>
      <c r="M19" s="1495">
        <f>ROUND(SUMIF(地价!B2:F2,E2,地价!B32:F32),0)</f>
        <v>0</v>
      </c>
      <c r="N19" s="2253" t="s">
        <v>2716</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2717</v>
      </c>
      <c r="C20" s="865" t="e">
        <f>ROUND(POWER(1+G20,J20-I20)*(POWER(1+G20,I20)-1)/(POWER(1+G20,J20)-1),4)</f>
        <v>#DIV/0!</v>
      </c>
      <c r="D20" s="2257" t="s">
        <v>2718</v>
      </c>
      <c r="E20" s="1504">
        <f ca="1">存贷款利率!D4/100</f>
        <v>4.3499999999999997E-2</v>
      </c>
      <c r="F20" s="2257" t="s">
        <v>2710</v>
      </c>
      <c r="G20" s="870">
        <f>SUMIF(M26:P26,E2,M28:P28)</f>
        <v>0</v>
      </c>
      <c r="H20" s="2257" t="s">
        <v>2719</v>
      </c>
      <c r="I20" s="871" t="e">
        <f>SUMIF('数据-取费表'!C6:C15,E2,'数据-取费表'!F6:F15)/COUNTIF('数据-取费表'!C6:C15,E2)</f>
        <v>#DIV/0!</v>
      </c>
      <c r="J20" s="872">
        <f>IF(E2="住宅",70,IF(E2="商业",40,50))</f>
        <v>50</v>
      </c>
      <c r="K20" s="1284"/>
      <c r="L20" s="2258" t="s">
        <v>2720</v>
      </c>
      <c r="M20" s="1496">
        <f>ROUND(SUMPRODUCT((地价!A4:A32=YEAR(G19)&amp;"-"&amp;ROUNDUP(MONTH(G19)/3,0))*(地价!B2:F2=E2)*(地价!B4:F32)),0)</f>
        <v>0</v>
      </c>
      <c r="N20" s="2259" t="s">
        <v>2721</v>
      </c>
      <c r="O20" s="2260" t="s">
        <v>2722</v>
      </c>
      <c r="P20" s="2261" t="s">
        <v>2723</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2724</v>
      </c>
      <c r="C21" s="873">
        <f>IF(B21="容积率修正",IF(G3&lt;=10,D22,J22),C23)</f>
        <v>0</v>
      </c>
      <c r="D21" s="2264"/>
      <c r="E21" s="2264"/>
      <c r="F21" s="2264"/>
      <c r="G21" s="2264"/>
      <c r="H21" s="2264"/>
      <c r="I21" s="2264"/>
      <c r="J21" s="2265"/>
      <c r="K21" s="1284"/>
      <c r="L21" s="3018"/>
      <c r="M21" s="3018"/>
      <c r="N21" s="2266" t="s">
        <v>2725</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2726</v>
      </c>
      <c r="B22" s="2267" t="s">
        <v>2727</v>
      </c>
      <c r="C22" s="1535" t="s">
        <v>2728</v>
      </c>
      <c r="D22" s="1535">
        <f>IF(E22=G22,F22,IF(G3&lt;=10,ROUND(F22+(H22-F22)*(G3-E22)/(G22-E22),4),"——"))</f>
        <v>0</v>
      </c>
      <c r="E22" s="852">
        <f>ROUNDDOWN(G3,1)</f>
        <v>5.4</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5.5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4" t="str">
        <f>IF(G3&gt;10,D113,"——")</f>
        <v>——</v>
      </c>
      <c r="K22" s="1284"/>
      <c r="L22" s="3018"/>
      <c r="M22" s="3018"/>
      <c r="N22" s="2266" t="s">
        <v>2729</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2730</v>
      </c>
      <c r="B23" s="2268" t="s">
        <v>2731</v>
      </c>
      <c r="C23" s="947">
        <f>ROUND(IF(G3&gt;1,IF(I3&lt;7,SUMPRODUCT((B93:B98=I3)*(C92:N92=G2)*(C93:N98)),SUMIF(C92:N92,G2,C100:N100)),IF(I3&lt;7,SUMPRODUCT((B102:B107=I3)*(C92:N92=G2)*(C102:N107)),SUMIF(C92:N92,G2,C109:N109))),4)</f>
        <v>0</v>
      </c>
      <c r="D23" s="2236"/>
      <c r="E23" s="2236"/>
      <c r="F23" s="2269"/>
      <c r="G23" s="2270"/>
      <c r="H23" s="2271"/>
      <c r="I23" s="2272"/>
      <c r="J23" s="2273"/>
      <c r="K23" s="1277"/>
      <c r="L23" s="2182"/>
      <c r="M23" s="2182"/>
      <c r="N23" s="2266" t="s">
        <v>2732</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2733</v>
      </c>
      <c r="C24" s="860">
        <f>SUMIF(A45:A88,E2,B45:B88)</f>
        <v>0</v>
      </c>
      <c r="D24" s="2247"/>
      <c r="E24" s="2274"/>
      <c r="F24" s="2274"/>
      <c r="G24" s="2274"/>
      <c r="H24" s="2274"/>
      <c r="I24" s="2274"/>
      <c r="J24" s="2275"/>
      <c r="K24" s="1284"/>
      <c r="L24" s="3018"/>
      <c r="M24" s="3018"/>
      <c r="N24" s="2276" t="s">
        <v>2734</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2735</v>
      </c>
      <c r="C25" s="866"/>
      <c r="D25" s="2211"/>
      <c r="E25" s="2211"/>
      <c r="F25" s="2278"/>
      <c r="G25" s="2211"/>
      <c r="H25" s="2211"/>
      <c r="I25" s="2211"/>
      <c r="J25" s="2212"/>
      <c r="K25" s="1277"/>
      <c r="L25" s="2182"/>
      <c r="M25" s="2182"/>
      <c r="N25" s="3013" t="s">
        <v>2736</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2737</v>
      </c>
      <c r="C26" s="2541" t="e">
        <f>IF(B21="容积率修正",E29+SUM(E33:E39),SUM(V2:V16)+SUM(E33:E39))</f>
        <v>#DIV/0!</v>
      </c>
      <c r="D26" s="2280"/>
      <c r="E26" s="2236"/>
      <c r="F26" s="2281"/>
      <c r="G26" s="2236"/>
      <c r="H26" s="2236"/>
      <c r="I26" s="2236"/>
      <c r="J26" s="2282"/>
      <c r="K26" s="1277"/>
      <c r="L26" s="3016" t="s">
        <v>2635</v>
      </c>
      <c r="M26" s="2209" t="s">
        <v>2700</v>
      </c>
      <c r="N26" s="2209" t="s">
        <v>2701</v>
      </c>
      <c r="O26" s="2209" t="s">
        <v>2702</v>
      </c>
      <c r="P26" s="3017" t="s">
        <v>2703</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2738</v>
      </c>
      <c r="C27" s="867" t="e">
        <f>E30+SUM(I33:I39)</f>
        <v>#DIV/0!</v>
      </c>
      <c r="D27" s="2284"/>
      <c r="E27" s="2285"/>
      <c r="F27" s="2286"/>
      <c r="G27" s="2285"/>
      <c r="H27" s="2285"/>
      <c r="I27" s="2285"/>
      <c r="J27" s="2287"/>
      <c r="K27" s="1277"/>
      <c r="L27" s="2242" t="s">
        <v>2707</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2739</v>
      </c>
      <c r="C28" s="2290" t="s">
        <v>2740</v>
      </c>
      <c r="D28" s="2290" t="s">
        <v>2741</v>
      </c>
      <c r="E28" s="2291" t="s">
        <v>2742</v>
      </c>
      <c r="F28" s="2292"/>
      <c r="G28" s="2224"/>
      <c r="H28" s="2224"/>
      <c r="I28" s="2224"/>
      <c r="J28" s="2225"/>
      <c r="K28" s="1277"/>
      <c r="L28" s="2243" t="s">
        <v>2710</v>
      </c>
      <c r="M28" s="181">
        <f ca="1">ROUND($E$20*(1+M27),3)</f>
        <v>5.3999999999999999E-2</v>
      </c>
      <c r="N28" s="181">
        <f ca="1">ROUND($E$20*(1+N27),3)</f>
        <v>5.1999999999999998E-2</v>
      </c>
      <c r="O28" s="181">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2743</v>
      </c>
      <c r="C29" s="178" t="e">
        <f>ROUND(C5*C18*C19*C20*C21*C24,0)</f>
        <v>#DIV/0!</v>
      </c>
      <c r="D29" s="2295"/>
      <c r="E29" s="876" t="e">
        <f>ROUND(C29*D29/10000,0)</f>
        <v>#DIV/0!</v>
      </c>
      <c r="F29" s="2296" t="s">
        <v>2744</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2745</v>
      </c>
      <c r="C30" s="191" t="e">
        <f>ROUND(IF(E2="工业",C29*M39,C29*M38),0)</f>
        <v>#DIV/0!</v>
      </c>
      <c r="D30" s="2301"/>
      <c r="E30" s="876" t="e">
        <f>ROUND(C30*D30/10000,0)</f>
        <v>#DIV/0!</v>
      </c>
      <c r="F30" s="2302" t="s">
        <v>2746</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2747</v>
      </c>
      <c r="C31" s="2307" t="s">
        <v>2748</v>
      </c>
      <c r="D31" s="2224"/>
      <c r="E31" s="2307"/>
      <c r="F31" s="2307"/>
      <c r="G31" s="2222" t="s">
        <v>2749</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6" t="s">
        <v>2740</v>
      </c>
      <c r="D32" s="453" t="s">
        <v>2741</v>
      </c>
      <c r="E32" s="453" t="s">
        <v>2742</v>
      </c>
      <c r="F32" s="346" t="s">
        <v>2750</v>
      </c>
      <c r="G32" s="2310" t="s">
        <v>2740</v>
      </c>
      <c r="H32" s="2310" t="s">
        <v>2741</v>
      </c>
      <c r="I32" s="2310" t="s">
        <v>2742</v>
      </c>
      <c r="J32" s="247"/>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432"/>
      <c r="B33" s="2311" t="s">
        <v>2751</v>
      </c>
      <c r="C33" s="178" t="e">
        <f>ROUND(D5*C19*C20*C24*F33,0)</f>
        <v>#DIV/0!</v>
      </c>
      <c r="D33" s="2295"/>
      <c r="E33" s="174" t="e">
        <f>ROUND(C33*D33/10000,0)</f>
        <v>#DIV/0!</v>
      </c>
      <c r="F33" s="174">
        <f>SUMIF(修正!A45:A56,G2,修正!B45:B56)</f>
        <v>0</v>
      </c>
      <c r="G33" s="174" t="e">
        <f t="shared" ref="G33" si="6">ROUND(IF(E2="工业",C33*$M$39,C33*$M$38),0)</f>
        <v>#DIV/0!</v>
      </c>
      <c r="H33" s="174">
        <f>D33</f>
        <v>0</v>
      </c>
      <c r="I33" s="174" t="e">
        <f>ROUND(G33*H33/10000,0)</f>
        <v>#DIV/0!</v>
      </c>
      <c r="J33" s="3437" t="s">
        <v>3058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433"/>
      <c r="B34" s="2228" t="s">
        <v>2752</v>
      </c>
      <c r="C34" s="178" t="e">
        <f>ROUND(D5*C19*C20*C24*F34,0)</f>
        <v>#DIV/0!</v>
      </c>
      <c r="D34" s="2295"/>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43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433"/>
      <c r="B35" s="2228" t="s">
        <v>2753</v>
      </c>
      <c r="C35" s="178" t="e">
        <f>ROUND(D5*C19*C20*C24*F35,0)</f>
        <v>#DIV/0!</v>
      </c>
      <c r="D35" s="2295"/>
      <c r="E35" s="174" t="e">
        <f t="shared" si="7"/>
        <v>#DIV/0!</v>
      </c>
      <c r="F35" s="174">
        <f>SUMIF(修正!A45:A56,G2,修正!D45:D56)</f>
        <v>0</v>
      </c>
      <c r="G35" s="174" t="e">
        <f>ROUND(IF(E2="工业",C35*$M$39,C35*$M$38),0)</f>
        <v>#DIV/0!</v>
      </c>
      <c r="H35" s="174">
        <f t="shared" si="8"/>
        <v>0</v>
      </c>
      <c r="I35" s="174" t="e">
        <f t="shared" si="9"/>
        <v>#DIV/0!</v>
      </c>
      <c r="J35" s="343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434"/>
      <c r="B36" s="2228" t="s">
        <v>2754</v>
      </c>
      <c r="C36" s="178" t="e">
        <f>ROUND(D5*C19*C20*C24*F36,0)</f>
        <v>#DIV/0!</v>
      </c>
      <c r="D36" s="2295"/>
      <c r="E36" s="174" t="e">
        <f t="shared" si="7"/>
        <v>#DIV/0!</v>
      </c>
      <c r="F36" s="174">
        <f>SUMIF(修正!A45:A56,G2,修正!E45:E56)</f>
        <v>0</v>
      </c>
      <c r="G36" s="174" t="e">
        <f>ROUND(IF(E2="工业",C36*$M$39,C36*$M$38),0)</f>
        <v>#DIV/0!</v>
      </c>
      <c r="H36" s="174">
        <f t="shared" si="8"/>
        <v>0</v>
      </c>
      <c r="I36" s="174" t="e">
        <f t="shared" si="9"/>
        <v>#DIV/0!</v>
      </c>
      <c r="J36" s="3434"/>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2755</v>
      </c>
      <c r="C37" s="174" t="e">
        <f>ROUND(D5*C19*C20*C24*F37,0)</f>
        <v>#DIV/0!</v>
      </c>
      <c r="D37" s="2295"/>
      <c r="E37" s="174" t="e">
        <f t="shared" si="7"/>
        <v>#DIV/0!</v>
      </c>
      <c r="F37" s="178">
        <f>SUMIF(修正!A45:A56,G2,修正!F45:F56)</f>
        <v>0</v>
      </c>
      <c r="G37" s="174" t="e">
        <f>ROUND(IF(E2="工业",C37*$M$39,C37*$M$38),0)</f>
        <v>#DIV/0!</v>
      </c>
      <c r="H37" s="174">
        <f t="shared" si="8"/>
        <v>0</v>
      </c>
      <c r="I37" s="174" t="e">
        <f t="shared" si="9"/>
        <v>#DIV/0!</v>
      </c>
      <c r="J37" s="2312"/>
      <c r="K37" s="1277"/>
      <c r="L37" s="2314" t="s">
        <v>2756</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2757</v>
      </c>
      <c r="C38" s="174" t="e">
        <f>ROUND(D5*C19*C41*C24*F38,0)</f>
        <v>#DIV/0!</v>
      </c>
      <c r="D38" s="2295"/>
      <c r="E38" s="174" t="e">
        <f t="shared" si="7"/>
        <v>#DIV/0!</v>
      </c>
      <c r="F38" s="178">
        <f>SUMIF(修正!A45:A56,G2,修正!G45:G56)</f>
        <v>0</v>
      </c>
      <c r="G38" s="174" t="e">
        <f>ROUND(IF(E2="工业",C38*$M$39,C38*$M$38),0)</f>
        <v>#DIV/0!</v>
      </c>
      <c r="H38" s="174">
        <f t="shared" si="8"/>
        <v>0</v>
      </c>
      <c r="I38" s="174" t="e">
        <f t="shared" si="9"/>
        <v>#DIV/0!</v>
      </c>
      <c r="J38" s="2312"/>
      <c r="K38" s="1277"/>
      <c r="L38" s="1604" t="s">
        <v>2758</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2759</v>
      </c>
      <c r="C39" s="191" t="e">
        <f>ROUND(D5*C19*C41*C24*F39,0)</f>
        <v>#DIV/0!</v>
      </c>
      <c r="D39" s="2301"/>
      <c r="E39" s="191" t="e">
        <f t="shared" si="7"/>
        <v>#DIV/0!</v>
      </c>
      <c r="F39" s="868">
        <f>SUMIF(修正!A45:A56,G2,修正!H45:H56)</f>
        <v>0</v>
      </c>
      <c r="G39" s="191" t="e">
        <f>ROUND(IF(E2="工业",C39*$M$39,C39*$M$38),0)</f>
        <v>#DIV/0!</v>
      </c>
      <c r="H39" s="191">
        <f t="shared" si="8"/>
        <v>0</v>
      </c>
      <c r="I39" s="191" t="e">
        <f t="shared" si="9"/>
        <v>#DIV/0!</v>
      </c>
      <c r="J39" s="2318"/>
      <c r="K39" s="1277"/>
      <c r="L39" s="2319" t="s">
        <v>2703</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2864</v>
      </c>
      <c r="C41" s="346" t="e">
        <f>ROUND(POWER(1+E41,H41-G41)*(POWER(1+E41,G41)-1)/(POWER(1+E41,H41)-1),4)</f>
        <v>#DIV/0!</v>
      </c>
      <c r="D41" s="174" t="s">
        <v>2710</v>
      </c>
      <c r="E41" s="2368">
        <f>G20</f>
        <v>0</v>
      </c>
      <c r="F41" s="174" t="s">
        <v>2719</v>
      </c>
      <c r="G41" s="187"/>
      <c r="H41" s="174">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2760</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2761</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2762</v>
      </c>
      <c r="B47" s="1534" t="s">
        <v>2763</v>
      </c>
      <c r="C47" s="1534" t="s">
        <v>2764</v>
      </c>
      <c r="D47" s="1534" t="s">
        <v>2765</v>
      </c>
      <c r="E47" s="755" t="s">
        <v>2766</v>
      </c>
      <c r="F47" s="2329" t="s">
        <v>2767</v>
      </c>
      <c r="G47" s="1534" t="s">
        <v>754</v>
      </c>
      <c r="H47" s="2330" t="s">
        <v>2768</v>
      </c>
      <c r="I47" s="1534" t="s">
        <v>2769</v>
      </c>
      <c r="J47" s="558" t="s">
        <v>2419</v>
      </c>
      <c r="K47" s="558" t="s">
        <v>2420</v>
      </c>
      <c r="L47" s="558" t="s">
        <v>2421</v>
      </c>
      <c r="M47" s="558" t="s">
        <v>2422</v>
      </c>
      <c r="N47" s="558" t="s">
        <v>2423</v>
      </c>
      <c r="AA47" s="1278"/>
      <c r="AB47" s="1278"/>
      <c r="AC47" s="1278"/>
      <c r="AD47" s="1278"/>
      <c r="AE47" s="1278"/>
      <c r="AF47" s="1278"/>
      <c r="AG47" s="1278"/>
      <c r="AH47" s="1278"/>
      <c r="AI47" s="1278"/>
      <c r="AJ47" s="1278"/>
      <c r="AK47" s="1278"/>
    </row>
    <row r="48" spans="1:37" s="1277" customFormat="1" ht="38.25">
      <c r="A48" s="2328" t="s">
        <v>2770</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2771</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2772</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2773</v>
      </c>
      <c r="B51" s="2333" t="s">
        <v>2774</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2775</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2776</v>
      </c>
      <c r="B53" s="2334" t="s">
        <v>2777</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2778</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2779</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2780</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2781</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2762</v>
      </c>
      <c r="B58" s="1534"/>
      <c r="C58" s="1534" t="s">
        <v>2764</v>
      </c>
      <c r="D58" s="1534" t="s">
        <v>2765</v>
      </c>
      <c r="E58" s="755" t="s">
        <v>2766</v>
      </c>
      <c r="F58" s="2329" t="s">
        <v>2782</v>
      </c>
      <c r="G58" s="1534" t="s">
        <v>754</v>
      </c>
      <c r="H58" s="2330" t="s">
        <v>2768</v>
      </c>
      <c r="I58" s="1534" t="s">
        <v>2769</v>
      </c>
      <c r="J58" s="558" t="s">
        <v>2419</v>
      </c>
      <c r="K58" s="558" t="s">
        <v>2420</v>
      </c>
      <c r="L58" s="558" t="s">
        <v>2421</v>
      </c>
      <c r="M58" s="558" t="s">
        <v>2422</v>
      </c>
      <c r="N58" s="558" t="s">
        <v>2423</v>
      </c>
      <c r="AA58" s="1278"/>
      <c r="AB58" s="1278"/>
      <c r="AC58" s="1278"/>
      <c r="AD58" s="1278"/>
      <c r="AE58" s="1278"/>
      <c r="AF58" s="1278"/>
      <c r="AG58" s="1278"/>
      <c r="AH58" s="1278"/>
      <c r="AI58" s="1278"/>
      <c r="AJ58" s="1278"/>
      <c r="AK58" s="1278"/>
    </row>
    <row r="59" spans="1:37" s="1277" customFormat="1" ht="38.25">
      <c r="A59" s="2328" t="s">
        <v>2783</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2771</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2772</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2773</v>
      </c>
      <c r="B62" s="2333" t="s">
        <v>2774</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2775</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2776</v>
      </c>
      <c r="B64" s="2334" t="s">
        <v>2777</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2778</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2779</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2780</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2784</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2762</v>
      </c>
      <c r="B69" s="1534"/>
      <c r="C69" s="1534" t="s">
        <v>2764</v>
      </c>
      <c r="D69" s="1534" t="s">
        <v>2765</v>
      </c>
      <c r="E69" s="755" t="s">
        <v>2766</v>
      </c>
      <c r="F69" s="2329" t="s">
        <v>2782</v>
      </c>
      <c r="G69" s="1534" t="s">
        <v>754</v>
      </c>
      <c r="H69" s="2330" t="s">
        <v>2768</v>
      </c>
      <c r="I69" s="1534" t="s">
        <v>2769</v>
      </c>
      <c r="J69" s="558" t="s">
        <v>2419</v>
      </c>
      <c r="K69" s="558" t="s">
        <v>2420</v>
      </c>
      <c r="L69" s="558" t="s">
        <v>2421</v>
      </c>
      <c r="M69" s="558" t="s">
        <v>2422</v>
      </c>
      <c r="N69" s="558" t="s">
        <v>2423</v>
      </c>
      <c r="AA69" s="1278"/>
      <c r="AB69" s="1278"/>
      <c r="AC69" s="1278"/>
      <c r="AD69" s="1278"/>
      <c r="AE69" s="1278"/>
      <c r="AF69" s="1278"/>
      <c r="AG69" s="1278"/>
      <c r="AH69" s="1278"/>
      <c r="AI69" s="1278"/>
      <c r="AJ69" s="1278"/>
      <c r="AK69" s="1278"/>
    </row>
    <row r="70" spans="1:37" s="1277" customFormat="1" ht="51">
      <c r="A70" s="2328" t="s">
        <v>2785</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2771</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2772</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2786</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2778</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2779</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2776</v>
      </c>
      <c r="B76" s="2334" t="s">
        <v>2777</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2780</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2787</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2788</v>
      </c>
      <c r="B79" s="2325">
        <f>1+E81</f>
        <v>1</v>
      </c>
      <c r="C79" s="750"/>
      <c r="D79" s="750"/>
      <c r="E79" s="751"/>
      <c r="F79" s="2327"/>
      <c r="G79" s="6"/>
      <c r="H79" s="6"/>
      <c r="I79" s="6"/>
      <c r="J79" s="7"/>
      <c r="K79" s="7"/>
      <c r="L79" s="7"/>
      <c r="M79" s="7"/>
      <c r="N79" s="7"/>
      <c r="Z79" s="2183"/>
      <c r="AA79" s="2249"/>
      <c r="AG79" s="1279"/>
      <c r="AK79" s="2249"/>
    </row>
    <row r="80" spans="1:37" ht="24.75">
      <c r="A80" s="2328" t="s">
        <v>2762</v>
      </c>
      <c r="B80" s="1534"/>
      <c r="C80" s="1534" t="s">
        <v>2764</v>
      </c>
      <c r="D80" s="1534" t="s">
        <v>2765</v>
      </c>
      <c r="E80" s="755" t="s">
        <v>2766</v>
      </c>
      <c r="F80" s="2329" t="s">
        <v>2782</v>
      </c>
      <c r="G80" s="1534" t="s">
        <v>754</v>
      </c>
      <c r="H80" s="2330" t="s">
        <v>2768</v>
      </c>
      <c r="I80" s="1534" t="s">
        <v>2769</v>
      </c>
      <c r="J80" s="558" t="s">
        <v>2419</v>
      </c>
      <c r="K80" s="558" t="s">
        <v>2420</v>
      </c>
      <c r="L80" s="558" t="s">
        <v>2421</v>
      </c>
      <c r="M80" s="558" t="s">
        <v>2422</v>
      </c>
      <c r="N80" s="558" t="s">
        <v>2423</v>
      </c>
      <c r="Z80" s="2183"/>
      <c r="AA80" s="2249"/>
      <c r="AG80" s="1279"/>
      <c r="AK80" s="2249"/>
    </row>
    <row r="81" spans="1:37" ht="38.25">
      <c r="A81" s="2328" t="s">
        <v>2789</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2771</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2772</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2786</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2778</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2779</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2776</v>
      </c>
      <c r="B87" s="2334" t="s">
        <v>2790</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2791</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424" t="s">
        <v>2792</v>
      </c>
      <c r="B90" s="3424"/>
      <c r="C90" s="3424"/>
      <c r="D90" s="3424"/>
      <c r="E90" s="3424"/>
      <c r="F90" s="3424"/>
      <c r="G90" s="3424"/>
      <c r="H90" s="3424"/>
      <c r="I90" s="3424"/>
      <c r="J90" s="3424"/>
      <c r="K90" s="2342"/>
      <c r="L90" s="2342"/>
      <c r="M90" s="2342"/>
      <c r="N90" s="2342"/>
    </row>
    <row r="91" spans="1:37">
      <c r="A91" s="3426" t="s">
        <v>2793</v>
      </c>
      <c r="B91" s="3426" t="s">
        <v>2794</v>
      </c>
      <c r="C91" s="2296" t="s">
        <v>2795</v>
      </c>
      <c r="D91" s="2297"/>
      <c r="E91" s="2297"/>
      <c r="F91" s="2297"/>
      <c r="G91" s="2297"/>
      <c r="H91" s="2297"/>
      <c r="I91" s="2297"/>
      <c r="J91" s="2343"/>
      <c r="K91" s="2344"/>
      <c r="L91" s="2344"/>
      <c r="M91" s="2344"/>
      <c r="N91" s="2344"/>
    </row>
    <row r="92" spans="1:37">
      <c r="A92" s="3426"/>
      <c r="B92" s="3426"/>
      <c r="C92" s="876" t="s">
        <v>2662</v>
      </c>
      <c r="D92" s="876" t="s">
        <v>2663</v>
      </c>
      <c r="E92" s="876" t="s">
        <v>2664</v>
      </c>
      <c r="F92" s="876" t="s">
        <v>2665</v>
      </c>
      <c r="G92" s="876" t="s">
        <v>2666</v>
      </c>
      <c r="H92" s="876" t="s">
        <v>2667</v>
      </c>
      <c r="I92" s="876" t="s">
        <v>2668</v>
      </c>
      <c r="J92" s="876" t="s">
        <v>2669</v>
      </c>
      <c r="K92" s="876" t="s">
        <v>2670</v>
      </c>
      <c r="L92" s="876" t="s">
        <v>2671</v>
      </c>
      <c r="M92" s="876" t="s">
        <v>2672</v>
      </c>
      <c r="N92" s="876" t="s">
        <v>2673</v>
      </c>
    </row>
    <row r="93" spans="1:37">
      <c r="A93" s="3427" t="s">
        <v>2796</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28"/>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28"/>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28"/>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28"/>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28"/>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28"/>
      <c r="B99" s="2345" t="s">
        <v>2678</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29"/>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27" t="s">
        <v>2797</v>
      </c>
      <c r="B101" s="2349" t="s">
        <v>2798</v>
      </c>
      <c r="C101" s="2350">
        <f>$G$3</f>
        <v>5.43</v>
      </c>
      <c r="D101" s="2350">
        <f t="shared" ref="D101:N101" si="31">$G$3</f>
        <v>5.43</v>
      </c>
      <c r="E101" s="2350">
        <f t="shared" si="31"/>
        <v>5.43</v>
      </c>
      <c r="F101" s="2350">
        <f t="shared" si="31"/>
        <v>5.43</v>
      </c>
      <c r="G101" s="2350">
        <f t="shared" si="31"/>
        <v>5.43</v>
      </c>
      <c r="H101" s="2350">
        <f t="shared" si="31"/>
        <v>5.43</v>
      </c>
      <c r="I101" s="2350">
        <f t="shared" si="31"/>
        <v>5.43</v>
      </c>
      <c r="J101" s="2350">
        <f t="shared" si="31"/>
        <v>5.43</v>
      </c>
      <c r="K101" s="2350">
        <f t="shared" si="31"/>
        <v>5.43</v>
      </c>
      <c r="L101" s="2350">
        <f t="shared" si="31"/>
        <v>5.43</v>
      </c>
      <c r="M101" s="2350">
        <f t="shared" si="31"/>
        <v>5.43</v>
      </c>
      <c r="N101" s="2350">
        <f t="shared" si="31"/>
        <v>5.43</v>
      </c>
    </row>
    <row r="102" spans="1:14">
      <c r="A102" s="3428"/>
      <c r="B102" s="2345">
        <v>1</v>
      </c>
      <c r="C102" s="2346">
        <f>1.9362/C101</f>
        <v>0.3565745856353591</v>
      </c>
      <c r="D102" s="2346">
        <f>1.9362/D101</f>
        <v>0.3565745856353591</v>
      </c>
      <c r="E102" s="2346">
        <f>1.8629/E101</f>
        <v>0.3430755064456722</v>
      </c>
      <c r="F102" s="2346">
        <f>1.8629/F101</f>
        <v>0.3430755064456722</v>
      </c>
      <c r="G102" s="2346">
        <f>1.8629/G101</f>
        <v>0.3430755064456722</v>
      </c>
      <c r="H102" s="2346">
        <f>1.8629/H101</f>
        <v>0.3430755064456722</v>
      </c>
      <c r="I102" s="2346">
        <f>1.8629/I101</f>
        <v>0.3430755064456722</v>
      </c>
      <c r="J102" s="2346">
        <f>1.942/J101</f>
        <v>0.35764272559852672</v>
      </c>
      <c r="K102" s="2346">
        <f>1.942/K101</f>
        <v>0.35764272559852672</v>
      </c>
      <c r="L102" s="2346">
        <f>1.942/L101</f>
        <v>0.35764272559852672</v>
      </c>
      <c r="M102" s="2346">
        <f>1.942/M101</f>
        <v>0.35764272559852672</v>
      </c>
      <c r="N102" s="2346">
        <f>1.942/N101</f>
        <v>0.35764272559852672</v>
      </c>
    </row>
    <row r="103" spans="1:14">
      <c r="A103" s="3428"/>
      <c r="B103" s="2345">
        <v>2</v>
      </c>
      <c r="C103" s="2346">
        <f>1.4198/C101</f>
        <v>0.26147329650092083</v>
      </c>
      <c r="D103" s="2346">
        <f>1.4198/D101</f>
        <v>0.26147329650092083</v>
      </c>
      <c r="E103" s="2346">
        <f>1.3372/E101</f>
        <v>0.24626151012891345</v>
      </c>
      <c r="F103" s="2346">
        <f>1.3372/F101</f>
        <v>0.24626151012891345</v>
      </c>
      <c r="G103" s="2346">
        <f>1.3372/G101</f>
        <v>0.24626151012891345</v>
      </c>
      <c r="H103" s="2346">
        <f>1.3372/H101</f>
        <v>0.24626151012891345</v>
      </c>
      <c r="I103" s="2346">
        <f>1.3372/I101</f>
        <v>0.24626151012891345</v>
      </c>
      <c r="J103" s="2346">
        <f>1.2799/J101</f>
        <v>0.23570902394106816</v>
      </c>
      <c r="K103" s="2346">
        <f>1.2799/K101</f>
        <v>0.23570902394106816</v>
      </c>
      <c r="L103" s="2346">
        <f>1.2799/L101</f>
        <v>0.23570902394106816</v>
      </c>
      <c r="M103" s="2346">
        <f>1.2799/M101</f>
        <v>0.23570902394106816</v>
      </c>
      <c r="N103" s="2346">
        <f>1.2799/N101</f>
        <v>0.23570902394106816</v>
      </c>
    </row>
    <row r="104" spans="1:14">
      <c r="A104" s="3428"/>
      <c r="B104" s="2345">
        <v>3</v>
      </c>
      <c r="C104" s="2346">
        <f>1.1594/C101</f>
        <v>0.21351749539594844</v>
      </c>
      <c r="D104" s="2346">
        <f>1.1594/D101</f>
        <v>0.21351749539594844</v>
      </c>
      <c r="E104" s="2346">
        <f>1.0788/E101</f>
        <v>0.19867403314917129</v>
      </c>
      <c r="F104" s="2346">
        <f>1.0788/F101</f>
        <v>0.19867403314917129</v>
      </c>
      <c r="G104" s="2346">
        <f>1.0788/G101</f>
        <v>0.19867403314917129</v>
      </c>
      <c r="H104" s="2346">
        <f>1.0788/H101</f>
        <v>0.19867403314917129</v>
      </c>
      <c r="I104" s="2346">
        <f>1.0788/I101</f>
        <v>0.19867403314917129</v>
      </c>
      <c r="J104" s="2346">
        <f>1.0072/J101</f>
        <v>0.18548802946593004</v>
      </c>
      <c r="K104" s="2346">
        <f>1.0072/K101</f>
        <v>0.18548802946593004</v>
      </c>
      <c r="L104" s="2346">
        <f>1.0072/L101</f>
        <v>0.18548802946593004</v>
      </c>
      <c r="M104" s="2346">
        <f>1.0072/M101</f>
        <v>0.18548802946593004</v>
      </c>
      <c r="N104" s="2346">
        <f>1.0072/N101</f>
        <v>0.18548802946593004</v>
      </c>
    </row>
    <row r="105" spans="1:14">
      <c r="A105" s="3428"/>
      <c r="B105" s="2345">
        <v>4</v>
      </c>
      <c r="C105" s="2346">
        <f>0.9622/C101</f>
        <v>0.17720073664825048</v>
      </c>
      <c r="D105" s="2346">
        <f>0.9622/D101</f>
        <v>0.17720073664825048</v>
      </c>
      <c r="E105" s="2346">
        <f>0.8656/E101</f>
        <v>0.15941068139963169</v>
      </c>
      <c r="F105" s="2346">
        <f>0.8656/F101</f>
        <v>0.15941068139963169</v>
      </c>
      <c r="G105" s="2346">
        <f>0.8656/G101</f>
        <v>0.15941068139963169</v>
      </c>
      <c r="H105" s="2346">
        <f>0.8656/H101</f>
        <v>0.15941068139963169</v>
      </c>
      <c r="I105" s="2346">
        <f>0.8656/I101</f>
        <v>0.15941068139963169</v>
      </c>
      <c r="J105" s="2346">
        <f>0.7525/J101</f>
        <v>0.13858195211786373</v>
      </c>
      <c r="K105" s="2346">
        <f>0.7525/K101</f>
        <v>0.13858195211786373</v>
      </c>
      <c r="L105" s="2346">
        <f>0.7525/L101</f>
        <v>0.13858195211786373</v>
      </c>
      <c r="M105" s="2346">
        <f>0.7525/M101</f>
        <v>0.13858195211786373</v>
      </c>
      <c r="N105" s="2346">
        <f>0.7525/N101</f>
        <v>0.13858195211786373</v>
      </c>
    </row>
    <row r="106" spans="1:14">
      <c r="A106" s="3428"/>
      <c r="B106" s="2345">
        <v>5</v>
      </c>
      <c r="C106" s="2346">
        <f>0.8417/C101</f>
        <v>0.15500920810313076</v>
      </c>
      <c r="D106" s="2346">
        <f>0.8417/D101</f>
        <v>0.15500920810313076</v>
      </c>
      <c r="E106" s="2346">
        <f>0.7371/E101</f>
        <v>0.13574585635359115</v>
      </c>
      <c r="F106" s="2346">
        <f>0.7371/F101</f>
        <v>0.13574585635359115</v>
      </c>
      <c r="G106" s="2346">
        <f>0.7371/G101</f>
        <v>0.13574585635359115</v>
      </c>
      <c r="H106" s="2346">
        <f>0.7371/H101</f>
        <v>0.13574585635359115</v>
      </c>
      <c r="I106" s="2346">
        <f>0.7371/I101</f>
        <v>0.13574585635359115</v>
      </c>
      <c r="J106" s="2346">
        <f>0.5659/J101</f>
        <v>0.10421731123388582</v>
      </c>
      <c r="K106" s="2346">
        <f>0.5659/K101</f>
        <v>0.10421731123388582</v>
      </c>
      <c r="L106" s="2346">
        <f>0.5659/L101</f>
        <v>0.10421731123388582</v>
      </c>
      <c r="M106" s="2346">
        <f>0.5659/M101</f>
        <v>0.10421731123388582</v>
      </c>
      <c r="N106" s="2346">
        <f>0.5659/N101</f>
        <v>0.10421731123388582</v>
      </c>
    </row>
    <row r="107" spans="1:14">
      <c r="A107" s="3428"/>
      <c r="B107" s="2345">
        <v>6</v>
      </c>
      <c r="C107" s="2346">
        <f>0.7608/C101</f>
        <v>0.14011049723756908</v>
      </c>
      <c r="D107" s="2346">
        <f>0.7608/D101</f>
        <v>0.14011049723756908</v>
      </c>
      <c r="E107" s="2346">
        <f>0.6482/E101</f>
        <v>0.11937384898710866</v>
      </c>
      <c r="F107" s="2346">
        <f>0.6482/F101</f>
        <v>0.11937384898710866</v>
      </c>
      <c r="G107" s="2346">
        <f>0.6482/G101</f>
        <v>0.11937384898710866</v>
      </c>
      <c r="H107" s="2346">
        <f>0.6482/H101</f>
        <v>0.11937384898710866</v>
      </c>
      <c r="I107" s="2346">
        <f>0.6482/I101</f>
        <v>0.11937384898710866</v>
      </c>
      <c r="J107" s="2346">
        <f>0.4525/J101</f>
        <v>8.3333333333333343E-2</v>
      </c>
      <c r="K107" s="2346">
        <f>0.4525/K101</f>
        <v>8.3333333333333343E-2</v>
      </c>
      <c r="L107" s="2346">
        <f>0.4525/L101</f>
        <v>8.3333333333333343E-2</v>
      </c>
      <c r="M107" s="2346">
        <f>0.4525/M101</f>
        <v>8.3333333333333343E-2</v>
      </c>
      <c r="N107" s="2346">
        <f>0.4525/N101</f>
        <v>8.3333333333333343E-2</v>
      </c>
    </row>
    <row r="108" spans="1:14">
      <c r="A108" s="3428"/>
      <c r="B108" s="3430" t="s">
        <v>2799</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29"/>
      <c r="B109" s="3431"/>
      <c r="C109" s="2348">
        <f>(-0.163*(C108^2)-0.59*C108+7617)*(10^(-4))/C101</f>
        <v>0.14027624309392267</v>
      </c>
      <c r="D109" s="2348">
        <f>(-0.163*(D108^2)-0.59*D108+7617)*(10^(-4))/D101</f>
        <v>0.14027624309392267</v>
      </c>
      <c r="E109" s="2348">
        <f>(-0.161*(E108^2)-7.509*E108+6533)*(10^(-4))/E101</f>
        <v>0.12031307550644568</v>
      </c>
      <c r="F109" s="2348">
        <f>(-0.161*(F108^2)-7.509*F108+6533)*(10^(-4))/F101</f>
        <v>0.12031307550644568</v>
      </c>
      <c r="G109" s="2348">
        <f>(-0.161*(G108^2)-7.509*G108+6533)*(10^(-4))/G101</f>
        <v>0.12031307550644568</v>
      </c>
      <c r="H109" s="2348">
        <f>(-0.161*(H108^2)-7.509*H108+6533)*(10^(-4))/H101</f>
        <v>0.12031307550644568</v>
      </c>
      <c r="I109" s="2348">
        <f>(-0.161*(I108^2)-7.509*I108+6533)*(10^(-4))/I101</f>
        <v>0.12031307550644568</v>
      </c>
      <c r="J109" s="2348">
        <f>(-0.214*(J108^2)-21.991*J108+4665)*(10^(-4))/J101</f>
        <v>8.591160220994476E-2</v>
      </c>
      <c r="K109" s="2348">
        <f>(-0.214*(K108^2)-21.991*K108+4665)*(10^(-4))/K101</f>
        <v>8.591160220994476E-2</v>
      </c>
      <c r="L109" s="2348">
        <f>(-0.214*(L108^2)-21.991*L108+4665)*(10^(-4))/L101</f>
        <v>8.591160220994476E-2</v>
      </c>
      <c r="M109" s="2348">
        <f>(-0.214*(M108^2)-21.991*M108+4665)*(10^(-4))/M101</f>
        <v>8.591160220994476E-2</v>
      </c>
      <c r="N109" s="2348">
        <f>(-0.214*(N108^2)-21.991*N108+4665)*(10^(-4))/N101</f>
        <v>8.591160220994476E-2</v>
      </c>
    </row>
    <row r="110" spans="1:14">
      <c r="A110" s="3425" t="s">
        <v>2800</v>
      </c>
      <c r="B110" s="3425"/>
      <c r="C110" s="3425"/>
      <c r="D110" s="3425"/>
      <c r="E110" s="3425"/>
      <c r="F110" s="3425"/>
      <c r="G110" s="3425"/>
      <c r="H110" s="3425"/>
      <c r="I110" s="3425"/>
      <c r="J110" s="3425"/>
      <c r="K110" s="2351"/>
      <c r="L110" s="2351"/>
      <c r="M110" s="2351"/>
      <c r="N110" s="2351"/>
    </row>
    <row r="112" spans="1:14" ht="13.5" thickBot="1"/>
    <row r="113" spans="1:13" ht="25.5" thickBot="1">
      <c r="A113" s="839" t="s">
        <v>2801</v>
      </c>
      <c r="B113" s="1194">
        <f>G3</f>
        <v>5.43</v>
      </c>
      <c r="C113" s="840" t="s">
        <v>2802</v>
      </c>
      <c r="D113" s="841">
        <f>SUMPRODUCT((A115:A118=F113)*(B114:M114=H113)*B115:M118)</f>
        <v>0</v>
      </c>
      <c r="E113" s="2187" t="s">
        <v>2635</v>
      </c>
      <c r="F113" s="2353">
        <f>E2</f>
        <v>0</v>
      </c>
      <c r="G113" s="2187" t="s">
        <v>2636</v>
      </c>
      <c r="H113" s="2353">
        <f>G2</f>
        <v>0</v>
      </c>
      <c r="I113" s="2187"/>
      <c r="J113" s="2354"/>
      <c r="K113" s="2354"/>
      <c r="L113" s="2354"/>
      <c r="M113" s="2354"/>
    </row>
    <row r="114" spans="1:13">
      <c r="A114" s="844"/>
      <c r="B114" s="2355" t="s">
        <v>2803</v>
      </c>
      <c r="C114" s="2355" t="s">
        <v>2804</v>
      </c>
      <c r="D114" s="2355" t="s">
        <v>2805</v>
      </c>
      <c r="E114" s="2356" t="s">
        <v>2806</v>
      </c>
      <c r="F114" s="2356" t="s">
        <v>2807</v>
      </c>
      <c r="G114" s="2356" t="s">
        <v>2808</v>
      </c>
      <c r="H114" s="2357" t="s">
        <v>2809</v>
      </c>
      <c r="I114" s="2357" t="s">
        <v>2810</v>
      </c>
      <c r="J114" s="2358" t="s">
        <v>2811</v>
      </c>
      <c r="K114" s="2358" t="s">
        <v>2812</v>
      </c>
      <c r="L114" s="2358" t="s">
        <v>2813</v>
      </c>
      <c r="M114" s="2359" t="s">
        <v>2814</v>
      </c>
    </row>
    <row r="115" spans="1:13">
      <c r="A115" s="845" t="s">
        <v>2700</v>
      </c>
      <c r="B115" s="846">
        <f>ROUND(0.9335-0.0094*B113,4)</f>
        <v>0.88249999999999995</v>
      </c>
      <c r="C115" s="846">
        <f>B115</f>
        <v>0.88249999999999995</v>
      </c>
      <c r="D115" s="846">
        <f>ROUND(0.8331-0.0109*B113,4)</f>
        <v>0.77390000000000003</v>
      </c>
      <c r="E115" s="846">
        <f>D115</f>
        <v>0.77390000000000003</v>
      </c>
      <c r="F115" s="846">
        <f>E115</f>
        <v>0.77390000000000003</v>
      </c>
      <c r="G115" s="846">
        <f>F115</f>
        <v>0.77390000000000003</v>
      </c>
      <c r="H115" s="846">
        <f>G115</f>
        <v>0.77390000000000003</v>
      </c>
      <c r="I115" s="846">
        <f>ROUND(0.689-0.0155*B113,4)</f>
        <v>0.6048</v>
      </c>
      <c r="J115" s="846">
        <f t="shared" ref="J115:M118" si="33">I115</f>
        <v>0.6048</v>
      </c>
      <c r="K115" s="846">
        <f t="shared" si="33"/>
        <v>0.6048</v>
      </c>
      <c r="L115" s="846">
        <f t="shared" si="33"/>
        <v>0.6048</v>
      </c>
      <c r="M115" s="847">
        <f t="shared" si="33"/>
        <v>0.6048</v>
      </c>
    </row>
    <row r="116" spans="1:13">
      <c r="A116" s="845" t="s">
        <v>2701</v>
      </c>
      <c r="B116" s="846">
        <f>ROUND(0.949-0.012*B113,4)</f>
        <v>0.88380000000000003</v>
      </c>
      <c r="C116" s="846">
        <f>B116</f>
        <v>0.88380000000000003</v>
      </c>
      <c r="D116" s="846">
        <f>ROUND(0.8567-0.013*B113,4)</f>
        <v>0.78610000000000002</v>
      </c>
      <c r="E116" s="846">
        <f t="shared" ref="E116:H117" si="34">D116</f>
        <v>0.78610000000000002</v>
      </c>
      <c r="F116" s="846">
        <f t="shared" si="34"/>
        <v>0.78610000000000002</v>
      </c>
      <c r="G116" s="846">
        <f t="shared" si="34"/>
        <v>0.78610000000000002</v>
      </c>
      <c r="H116" s="846">
        <f t="shared" si="34"/>
        <v>0.78610000000000002</v>
      </c>
      <c r="I116" s="846">
        <f>ROUND(0.7694-0.014*B113,4)</f>
        <v>0.69340000000000002</v>
      </c>
      <c r="J116" s="846">
        <f t="shared" si="33"/>
        <v>0.69340000000000002</v>
      </c>
      <c r="K116" s="846">
        <f t="shared" si="33"/>
        <v>0.69340000000000002</v>
      </c>
      <c r="L116" s="846">
        <f t="shared" si="33"/>
        <v>0.69340000000000002</v>
      </c>
      <c r="M116" s="847">
        <f t="shared" si="33"/>
        <v>0.69340000000000002</v>
      </c>
    </row>
    <row r="117" spans="1:13">
      <c r="A117" s="845" t="s">
        <v>2702</v>
      </c>
      <c r="B117" s="846">
        <f>ROUND(0.8808-0.006*B113,4)</f>
        <v>0.84819999999999995</v>
      </c>
      <c r="C117" s="846">
        <f>B117</f>
        <v>0.84819999999999995</v>
      </c>
      <c r="D117" s="846">
        <f>ROUND(0.8748-0.008*B113,4)</f>
        <v>0.83140000000000003</v>
      </c>
      <c r="E117" s="846">
        <f t="shared" si="34"/>
        <v>0.83140000000000003</v>
      </c>
      <c r="F117" s="846">
        <f t="shared" si="34"/>
        <v>0.83140000000000003</v>
      </c>
      <c r="G117" s="846">
        <f t="shared" si="34"/>
        <v>0.83140000000000003</v>
      </c>
      <c r="H117" s="846">
        <f t="shared" si="34"/>
        <v>0.83140000000000003</v>
      </c>
      <c r="I117" s="846">
        <f>ROUND(0.7412-0.0095*B113,4)</f>
        <v>0.68959999999999999</v>
      </c>
      <c r="J117" s="846">
        <f t="shared" si="33"/>
        <v>0.68959999999999999</v>
      </c>
      <c r="K117" s="846">
        <f t="shared" si="33"/>
        <v>0.68959999999999999</v>
      </c>
      <c r="L117" s="846">
        <f t="shared" si="33"/>
        <v>0.68959999999999999</v>
      </c>
      <c r="M117" s="847">
        <f t="shared" si="33"/>
        <v>0.68959999999999999</v>
      </c>
    </row>
    <row r="118" spans="1:13" ht="13.5" thickBot="1">
      <c r="A118" s="667" t="s">
        <v>2703</v>
      </c>
      <c r="B118" s="848">
        <f>ROUND(0.7275-0.01*B113,4)</f>
        <v>0.67320000000000002</v>
      </c>
      <c r="C118" s="848">
        <f>B118</f>
        <v>0.67320000000000002</v>
      </c>
      <c r="D118" s="848">
        <f>ROUND(0.7043-0.012*B113,4)</f>
        <v>0.6391</v>
      </c>
      <c r="E118" s="848">
        <f>D118</f>
        <v>0.6391</v>
      </c>
      <c r="F118" s="848">
        <f>E118</f>
        <v>0.6391</v>
      </c>
      <c r="G118" s="848">
        <f>ROUND(0.6299-0.0122*B113,4)</f>
        <v>0.56369999999999998</v>
      </c>
      <c r="H118" s="848">
        <f>G118</f>
        <v>0.56369999999999998</v>
      </c>
      <c r="I118" s="848">
        <f>ROUND(0.5667-0.0136*B113,4)</f>
        <v>0.4929</v>
      </c>
      <c r="J118" s="848">
        <f t="shared" si="33"/>
        <v>0.4929</v>
      </c>
      <c r="K118" s="848">
        <f t="shared" si="33"/>
        <v>0.4929</v>
      </c>
      <c r="L118" s="848">
        <f t="shared" si="33"/>
        <v>0.4929</v>
      </c>
      <c r="M118" s="849">
        <f t="shared" si="33"/>
        <v>0.4929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2866</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48" t="s">
        <v>183</v>
      </c>
      <c r="B18" s="818" t="s">
        <v>560</v>
      </c>
      <c r="C18" s="819" t="s">
        <v>561</v>
      </c>
      <c r="D18" s="820"/>
      <c r="E18" s="818">
        <v>1</v>
      </c>
      <c r="F18" s="821" t="s">
        <v>562</v>
      </c>
      <c r="G18" s="822"/>
      <c r="H18" s="814"/>
      <c r="I18" s="814"/>
    </row>
    <row r="19" spans="1:9" s="823" customFormat="1" ht="19.5" customHeight="1">
      <c r="A19" s="3448"/>
      <c r="B19" s="3448" t="s">
        <v>563</v>
      </c>
      <c r="C19" s="819" t="s">
        <v>564</v>
      </c>
      <c r="D19" s="820"/>
      <c r="E19" s="818">
        <v>0.9</v>
      </c>
      <c r="F19" s="821" t="s">
        <v>565</v>
      </c>
      <c r="G19" s="822"/>
      <c r="H19" s="814"/>
      <c r="I19" s="814"/>
    </row>
    <row r="20" spans="1:9" s="823" customFormat="1" ht="19.5" customHeight="1">
      <c r="A20" s="3448"/>
      <c r="B20" s="3448"/>
      <c r="C20" s="819" t="s">
        <v>566</v>
      </c>
      <c r="D20" s="820"/>
      <c r="E20" s="818">
        <v>1.1000000000000001</v>
      </c>
      <c r="F20" s="821" t="s">
        <v>567</v>
      </c>
      <c r="G20" s="822"/>
      <c r="H20" s="814"/>
      <c r="I20" s="814"/>
    </row>
    <row r="21" spans="1:9" s="823" customFormat="1" ht="19.5" customHeight="1">
      <c r="A21" s="3448"/>
      <c r="B21" s="3448"/>
      <c r="C21" s="819" t="s">
        <v>568</v>
      </c>
      <c r="D21" s="820"/>
      <c r="E21" s="818">
        <v>0.8</v>
      </c>
      <c r="F21" s="821" t="s">
        <v>569</v>
      </c>
      <c r="G21" s="822"/>
      <c r="H21" s="814"/>
      <c r="I21" s="814"/>
    </row>
    <row r="22" spans="1:9" s="823" customFormat="1" ht="19.5" customHeight="1">
      <c r="A22" s="3448"/>
      <c r="B22" s="3448"/>
      <c r="C22" s="819" t="s">
        <v>570</v>
      </c>
      <c r="D22" s="820"/>
      <c r="E22" s="818">
        <v>0.5</v>
      </c>
      <c r="F22" s="821"/>
      <c r="G22" s="822"/>
      <c r="H22" s="814"/>
      <c r="I22" s="814"/>
    </row>
    <row r="23" spans="1:9" s="823" customFormat="1" ht="19.5" customHeight="1">
      <c r="A23" s="3448" t="s">
        <v>184</v>
      </c>
      <c r="B23" s="818" t="s">
        <v>560</v>
      </c>
      <c r="C23" s="819" t="s">
        <v>571</v>
      </c>
      <c r="D23" s="820"/>
      <c r="E23" s="818">
        <v>1</v>
      </c>
      <c r="F23" s="821" t="s">
        <v>572</v>
      </c>
      <c r="G23" s="822"/>
      <c r="H23" s="814"/>
      <c r="I23" s="814"/>
    </row>
    <row r="24" spans="1:9" s="823" customFormat="1" ht="19.5" customHeight="1">
      <c r="A24" s="3448"/>
      <c r="B24" s="3448" t="s">
        <v>563</v>
      </c>
      <c r="C24" s="819" t="s">
        <v>573</v>
      </c>
      <c r="D24" s="820"/>
      <c r="E24" s="818">
        <v>0.5</v>
      </c>
      <c r="F24" s="821"/>
      <c r="G24" s="822"/>
      <c r="H24" s="814"/>
      <c r="I24" s="814"/>
    </row>
    <row r="25" spans="1:9" s="823" customFormat="1" ht="19.5" customHeight="1">
      <c r="A25" s="3448"/>
      <c r="B25" s="3448"/>
      <c r="C25" s="819" t="s">
        <v>574</v>
      </c>
      <c r="D25" s="820"/>
      <c r="E25" s="818">
        <v>1.1000000000000001</v>
      </c>
      <c r="F25" s="821"/>
      <c r="G25" s="822"/>
      <c r="H25" s="814"/>
      <c r="I25" s="814"/>
    </row>
    <row r="26" spans="1:9" s="823" customFormat="1" ht="19.5" customHeight="1">
      <c r="A26" s="3448"/>
      <c r="B26" s="3448"/>
      <c r="C26" s="819" t="s">
        <v>575</v>
      </c>
      <c r="D26" s="820"/>
      <c r="E26" s="818">
        <v>1.1000000000000001</v>
      </c>
      <c r="F26" s="821"/>
      <c r="G26" s="822"/>
      <c r="H26" s="814"/>
      <c r="I26" s="814"/>
    </row>
    <row r="27" spans="1:9" s="823" customFormat="1" ht="19.5" customHeight="1">
      <c r="A27" s="3448"/>
      <c r="B27" s="3448"/>
      <c r="C27" s="819" t="s">
        <v>576</v>
      </c>
      <c r="D27" s="820"/>
      <c r="E27" s="818">
        <v>0.9</v>
      </c>
      <c r="F27" s="821" t="s">
        <v>577</v>
      </c>
      <c r="G27" s="822"/>
      <c r="H27" s="814"/>
      <c r="I27" s="814"/>
    </row>
    <row r="28" spans="1:9" s="823" customFormat="1" ht="19.5" customHeight="1">
      <c r="A28" s="3448"/>
      <c r="B28" s="3448"/>
      <c r="C28" s="819" t="s">
        <v>578</v>
      </c>
      <c r="D28" s="820"/>
      <c r="E28" s="818">
        <v>0.9</v>
      </c>
      <c r="F28" s="821" t="s">
        <v>579</v>
      </c>
      <c r="G28" s="822"/>
      <c r="H28" s="814"/>
      <c r="I28" s="814"/>
    </row>
    <row r="29" spans="1:9" s="823" customFormat="1" ht="19.5" customHeight="1">
      <c r="A29" s="3448"/>
      <c r="B29" s="3448"/>
      <c r="C29" s="819" t="s">
        <v>580</v>
      </c>
      <c r="D29" s="820"/>
      <c r="E29" s="818">
        <v>0.9</v>
      </c>
      <c r="F29" s="821" t="s">
        <v>581</v>
      </c>
      <c r="G29" s="822"/>
      <c r="H29" s="814"/>
      <c r="I29" s="814"/>
    </row>
    <row r="30" spans="1:9" s="823" customFormat="1" ht="19.5" customHeight="1">
      <c r="A30" s="3448"/>
      <c r="B30" s="3448"/>
      <c r="C30" s="819" t="s">
        <v>582</v>
      </c>
      <c r="D30" s="820"/>
      <c r="E30" s="818">
        <v>0.9</v>
      </c>
      <c r="F30" s="821" t="s">
        <v>583</v>
      </c>
      <c r="G30" s="822"/>
      <c r="H30" s="814"/>
      <c r="I30" s="814"/>
    </row>
    <row r="31" spans="1:9" s="823" customFormat="1" ht="19.5" customHeight="1">
      <c r="A31" s="3448"/>
      <c r="B31" s="3448"/>
      <c r="C31" s="819" t="s">
        <v>584</v>
      </c>
      <c r="D31" s="820"/>
      <c r="E31" s="818">
        <v>0.8</v>
      </c>
      <c r="F31" s="821" t="s">
        <v>585</v>
      </c>
      <c r="G31" s="822"/>
      <c r="H31" s="814"/>
      <c r="I31" s="814"/>
    </row>
    <row r="32" spans="1:9" s="823" customFormat="1" ht="19.5" customHeight="1">
      <c r="A32" s="3448"/>
      <c r="B32" s="3448"/>
      <c r="C32" s="819" t="s">
        <v>586</v>
      </c>
      <c r="D32" s="820"/>
      <c r="E32" s="818">
        <v>0.8</v>
      </c>
      <c r="F32" s="821" t="s">
        <v>587</v>
      </c>
      <c r="G32" s="822"/>
      <c r="H32" s="814"/>
      <c r="I32" s="814"/>
    </row>
    <row r="33" spans="1:9" s="823" customFormat="1" ht="19.5" customHeight="1">
      <c r="A33" s="3448" t="s">
        <v>185</v>
      </c>
      <c r="B33" s="818" t="s">
        <v>560</v>
      </c>
      <c r="C33" s="819" t="s">
        <v>588</v>
      </c>
      <c r="D33" s="820"/>
      <c r="E33" s="818">
        <v>1</v>
      </c>
      <c r="F33" s="821" t="s">
        <v>589</v>
      </c>
      <c r="G33" s="822"/>
      <c r="H33" s="814"/>
      <c r="I33" s="814"/>
    </row>
    <row r="34" spans="1:9" s="823" customFormat="1" ht="19.5" customHeight="1">
      <c r="A34" s="3448"/>
      <c r="B34" s="818" t="s">
        <v>563</v>
      </c>
      <c r="C34" s="819" t="s">
        <v>590</v>
      </c>
      <c r="D34" s="820"/>
      <c r="E34" s="818">
        <v>1.5</v>
      </c>
      <c r="F34" s="821" t="s">
        <v>591</v>
      </c>
      <c r="G34" s="822"/>
      <c r="H34" s="814"/>
      <c r="I34" s="814"/>
    </row>
    <row r="35" spans="1:9" s="823" customFormat="1" ht="19.5" customHeight="1">
      <c r="A35" s="3448" t="s">
        <v>186</v>
      </c>
      <c r="B35" s="818" t="s">
        <v>560</v>
      </c>
      <c r="C35" s="819" t="s">
        <v>592</v>
      </c>
      <c r="D35" s="820"/>
      <c r="E35" s="818">
        <v>1</v>
      </c>
      <c r="F35" s="821" t="s">
        <v>593</v>
      </c>
      <c r="G35" s="822"/>
      <c r="H35" s="814"/>
      <c r="I35" s="814"/>
    </row>
    <row r="36" spans="1:9" s="823" customFormat="1" ht="19.5" customHeight="1">
      <c r="A36" s="3448"/>
      <c r="B36" s="3448" t="s">
        <v>563</v>
      </c>
      <c r="C36" s="819" t="s">
        <v>594</v>
      </c>
      <c r="D36" s="820"/>
      <c r="E36" s="818">
        <v>1</v>
      </c>
      <c r="F36" s="821" t="s">
        <v>595</v>
      </c>
      <c r="G36" s="822"/>
      <c r="H36" s="814"/>
      <c r="I36" s="814"/>
    </row>
    <row r="37" spans="1:9" s="823" customFormat="1" ht="19.5" customHeight="1">
      <c r="A37" s="3448"/>
      <c r="B37" s="3448"/>
      <c r="C37" s="819" t="s">
        <v>596</v>
      </c>
      <c r="D37" s="820"/>
      <c r="E37" s="818">
        <v>1.5</v>
      </c>
      <c r="F37" s="821" t="s">
        <v>597</v>
      </c>
      <c r="G37" s="822"/>
      <c r="H37" s="814"/>
      <c r="I37" s="814"/>
    </row>
    <row r="38" spans="1:9" s="823" customFormat="1" ht="19.5" customHeight="1">
      <c r="A38" s="3448"/>
      <c r="B38" s="3448"/>
      <c r="C38" s="819" t="s">
        <v>598</v>
      </c>
      <c r="D38" s="820"/>
      <c r="E38" s="818">
        <v>1</v>
      </c>
      <c r="F38" s="821" t="s">
        <v>599</v>
      </c>
      <c r="G38" s="822"/>
      <c r="H38" s="814"/>
      <c r="I38" s="814"/>
    </row>
    <row r="39" spans="1:9" s="823" customFormat="1" ht="19.5" customHeight="1">
      <c r="A39" s="3448"/>
      <c r="B39" s="3448"/>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48" t="s">
        <v>614</v>
      </c>
      <c r="C61" s="754" t="s">
        <v>615</v>
      </c>
      <c r="D61" s="754" t="s">
        <v>616</v>
      </c>
      <c r="E61" s="831">
        <v>0.5</v>
      </c>
      <c r="F61" s="818">
        <v>80</v>
      </c>
    </row>
    <row r="62" spans="1:8" s="814" customFormat="1" ht="24">
      <c r="A62" s="818">
        <v>2</v>
      </c>
      <c r="B62" s="3448"/>
      <c r="C62" s="754" t="s">
        <v>617</v>
      </c>
      <c r="D62" s="754" t="s">
        <v>618</v>
      </c>
      <c r="E62" s="831">
        <v>0.5</v>
      </c>
      <c r="F62" s="818">
        <v>80</v>
      </c>
    </row>
    <row r="63" spans="1:8" s="814" customFormat="1" ht="36">
      <c r="A63" s="818">
        <v>3</v>
      </c>
      <c r="B63" s="3448"/>
      <c r="C63" s="754" t="s">
        <v>619</v>
      </c>
      <c r="D63" s="754" t="s">
        <v>620</v>
      </c>
      <c r="E63" s="831">
        <v>0.5</v>
      </c>
      <c r="F63" s="818">
        <v>80</v>
      </c>
    </row>
    <row r="64" spans="1:8" s="814" customFormat="1" ht="36">
      <c r="A64" s="818">
        <v>4</v>
      </c>
      <c r="B64" s="3448"/>
      <c r="C64" s="754" t="s">
        <v>621</v>
      </c>
      <c r="D64" s="754" t="s">
        <v>622</v>
      </c>
      <c r="E64" s="831">
        <v>0.4</v>
      </c>
      <c r="F64" s="818">
        <v>60</v>
      </c>
    </row>
    <row r="65" spans="1:6" s="814" customFormat="1" ht="36">
      <c r="A65" s="818">
        <v>5</v>
      </c>
      <c r="B65" s="3448"/>
      <c r="C65" s="754" t="s">
        <v>623</v>
      </c>
      <c r="D65" s="754" t="s">
        <v>624</v>
      </c>
      <c r="E65" s="831">
        <v>0.2</v>
      </c>
      <c r="F65" s="818">
        <v>30</v>
      </c>
    </row>
    <row r="66" spans="1:6" s="814" customFormat="1" ht="36">
      <c r="A66" s="818">
        <v>6</v>
      </c>
      <c r="B66" s="3448"/>
      <c r="C66" s="754" t="s">
        <v>625</v>
      </c>
      <c r="D66" s="754" t="s">
        <v>626</v>
      </c>
      <c r="E66" s="831">
        <v>0.3</v>
      </c>
      <c r="F66" s="818">
        <v>50</v>
      </c>
    </row>
    <row r="67" spans="1:6" s="814" customFormat="1" ht="36">
      <c r="A67" s="818">
        <v>7</v>
      </c>
      <c r="B67" s="3448"/>
      <c r="C67" s="754" t="s">
        <v>627</v>
      </c>
      <c r="D67" s="754" t="s">
        <v>628</v>
      </c>
      <c r="E67" s="831">
        <v>0.2</v>
      </c>
      <c r="F67" s="818">
        <v>30</v>
      </c>
    </row>
    <row r="68" spans="1:6" s="814" customFormat="1" ht="36">
      <c r="A68" s="818">
        <v>8</v>
      </c>
      <c r="B68" s="3448"/>
      <c r="C68" s="754" t="s">
        <v>629</v>
      </c>
      <c r="D68" s="754" t="s">
        <v>630</v>
      </c>
      <c r="E68" s="831">
        <v>0.2</v>
      </c>
      <c r="F68" s="818">
        <v>30</v>
      </c>
    </row>
    <row r="69" spans="1:6" s="814" customFormat="1" ht="36">
      <c r="A69" s="818">
        <v>9</v>
      </c>
      <c r="B69" s="3448"/>
      <c r="C69" s="754" t="s">
        <v>631</v>
      </c>
      <c r="D69" s="754" t="s">
        <v>632</v>
      </c>
      <c r="E69" s="831">
        <v>0.2</v>
      </c>
      <c r="F69" s="818">
        <v>30</v>
      </c>
    </row>
    <row r="70" spans="1:6" s="814" customFormat="1" ht="48">
      <c r="A70" s="818">
        <v>10</v>
      </c>
      <c r="B70" s="3448"/>
      <c r="C70" s="754" t="s">
        <v>633</v>
      </c>
      <c r="D70" s="754" t="s">
        <v>634</v>
      </c>
      <c r="E70" s="831">
        <v>0.2</v>
      </c>
      <c r="F70" s="818">
        <v>30</v>
      </c>
    </row>
    <row r="71" spans="1:6" s="814" customFormat="1" ht="48">
      <c r="A71" s="818">
        <v>11</v>
      </c>
      <c r="B71" s="3448"/>
      <c r="C71" s="754" t="s">
        <v>635</v>
      </c>
      <c r="D71" s="754" t="s">
        <v>636</v>
      </c>
      <c r="E71" s="831">
        <v>0.2</v>
      </c>
      <c r="F71" s="818">
        <v>30</v>
      </c>
    </row>
    <row r="72" spans="1:6" s="814" customFormat="1" ht="36">
      <c r="A72" s="818">
        <v>12</v>
      </c>
      <c r="B72" s="3448"/>
      <c r="C72" s="754" t="s">
        <v>637</v>
      </c>
      <c r="D72" s="754" t="s">
        <v>638</v>
      </c>
      <c r="E72" s="831">
        <v>0.5</v>
      </c>
      <c r="F72" s="818">
        <v>80</v>
      </c>
    </row>
    <row r="73" spans="1:6" s="814" customFormat="1" ht="24">
      <c r="A73" s="818">
        <v>13</v>
      </c>
      <c r="B73" s="3448"/>
      <c r="C73" s="754" t="s">
        <v>639</v>
      </c>
      <c r="D73" s="754" t="s">
        <v>640</v>
      </c>
      <c r="E73" s="831">
        <v>0.4</v>
      </c>
      <c r="F73" s="818">
        <v>60</v>
      </c>
    </row>
    <row r="74" spans="1:6" s="814" customFormat="1" ht="24">
      <c r="A74" s="818">
        <v>14</v>
      </c>
      <c r="B74" s="3448"/>
      <c r="C74" s="754" t="s">
        <v>641</v>
      </c>
      <c r="D74" s="754" t="s">
        <v>642</v>
      </c>
      <c r="E74" s="831">
        <v>0.2</v>
      </c>
      <c r="F74" s="818">
        <v>30</v>
      </c>
    </row>
    <row r="75" spans="1:6" s="814" customFormat="1" ht="24">
      <c r="A75" s="818">
        <v>15</v>
      </c>
      <c r="B75" s="3448"/>
      <c r="C75" s="754" t="s">
        <v>643</v>
      </c>
      <c r="D75" s="754" t="s">
        <v>644</v>
      </c>
      <c r="E75" s="831">
        <v>0.2</v>
      </c>
      <c r="F75" s="818">
        <v>30</v>
      </c>
    </row>
    <row r="76" spans="1:6" s="814" customFormat="1" ht="24">
      <c r="A76" s="818">
        <v>16</v>
      </c>
      <c r="B76" s="3448" t="s">
        <v>645</v>
      </c>
      <c r="C76" s="754" t="s">
        <v>646</v>
      </c>
      <c r="D76" s="754" t="s">
        <v>647</v>
      </c>
      <c r="E76" s="831">
        <v>0.5</v>
      </c>
      <c r="F76" s="818">
        <v>80</v>
      </c>
    </row>
    <row r="77" spans="1:6" s="814" customFormat="1" ht="24">
      <c r="A77" s="818">
        <v>17</v>
      </c>
      <c r="B77" s="3448"/>
      <c r="C77" s="754" t="s">
        <v>648</v>
      </c>
      <c r="D77" s="754" t="s">
        <v>649</v>
      </c>
      <c r="E77" s="831">
        <v>0.5</v>
      </c>
      <c r="F77" s="818">
        <v>80</v>
      </c>
    </row>
    <row r="78" spans="1:6" s="814" customFormat="1" ht="24">
      <c r="A78" s="818">
        <v>18</v>
      </c>
      <c r="B78" s="3448"/>
      <c r="C78" s="754" t="s">
        <v>650</v>
      </c>
      <c r="D78" s="754" t="s">
        <v>651</v>
      </c>
      <c r="E78" s="831">
        <v>0.2</v>
      </c>
      <c r="F78" s="818">
        <v>30</v>
      </c>
    </row>
    <row r="79" spans="1:6" s="814" customFormat="1" ht="24">
      <c r="A79" s="818">
        <v>19</v>
      </c>
      <c r="B79" s="3448"/>
      <c r="C79" s="754" t="s">
        <v>652</v>
      </c>
      <c r="D79" s="754" t="s">
        <v>653</v>
      </c>
      <c r="E79" s="831">
        <v>0.5</v>
      </c>
      <c r="F79" s="818">
        <v>80</v>
      </c>
    </row>
    <row r="80" spans="1:6" s="814" customFormat="1" ht="36">
      <c r="A80" s="818">
        <v>20</v>
      </c>
      <c r="B80" s="3448"/>
      <c r="C80" s="754" t="s">
        <v>654</v>
      </c>
      <c r="D80" s="754" t="s">
        <v>655</v>
      </c>
      <c r="E80" s="831">
        <v>0.2</v>
      </c>
      <c r="F80" s="818">
        <v>30</v>
      </c>
    </row>
    <row r="81" spans="1:6" s="814" customFormat="1" ht="36">
      <c r="A81" s="818">
        <v>21</v>
      </c>
      <c r="B81" s="3448"/>
      <c r="C81" s="754" t="s">
        <v>656</v>
      </c>
      <c r="D81" s="754" t="s">
        <v>657</v>
      </c>
      <c r="E81" s="831">
        <v>0.2</v>
      </c>
      <c r="F81" s="818">
        <v>30</v>
      </c>
    </row>
    <row r="82" spans="1:6" s="814" customFormat="1" ht="48">
      <c r="A82" s="818">
        <v>22</v>
      </c>
      <c r="B82" s="3448"/>
      <c r="C82" s="754" t="s">
        <v>658</v>
      </c>
      <c r="D82" s="754" t="s">
        <v>659</v>
      </c>
      <c r="E82" s="831">
        <v>0.2</v>
      </c>
      <c r="F82" s="818">
        <v>30</v>
      </c>
    </row>
    <row r="83" spans="1:6" s="814" customFormat="1" ht="48">
      <c r="A83" s="818">
        <v>23</v>
      </c>
      <c r="B83" s="3448"/>
      <c r="C83" s="754" t="s">
        <v>660</v>
      </c>
      <c r="D83" s="754" t="s">
        <v>661</v>
      </c>
      <c r="E83" s="831">
        <v>0.2</v>
      </c>
      <c r="F83" s="818">
        <v>30</v>
      </c>
    </row>
    <row r="84" spans="1:6" s="814" customFormat="1" ht="36">
      <c r="A84" s="818">
        <v>24</v>
      </c>
      <c r="B84" s="3448"/>
      <c r="C84" s="754" t="s">
        <v>662</v>
      </c>
      <c r="D84" s="754" t="s">
        <v>663</v>
      </c>
      <c r="E84" s="831">
        <v>0.2</v>
      </c>
      <c r="F84" s="818">
        <v>30</v>
      </c>
    </row>
    <row r="85" spans="1:6" s="814" customFormat="1" ht="36">
      <c r="A85" s="818">
        <v>25</v>
      </c>
      <c r="B85" s="3448"/>
      <c r="C85" s="754" t="s">
        <v>664</v>
      </c>
      <c r="D85" s="754" t="s">
        <v>665</v>
      </c>
      <c r="E85" s="831">
        <v>0.5</v>
      </c>
      <c r="F85" s="818">
        <v>80</v>
      </c>
    </row>
    <row r="86" spans="1:6" s="814" customFormat="1" ht="36">
      <c r="A86" s="818">
        <v>26</v>
      </c>
      <c r="B86" s="3448"/>
      <c r="C86" s="754" t="s">
        <v>666</v>
      </c>
      <c r="D86" s="754" t="s">
        <v>667</v>
      </c>
      <c r="E86" s="831">
        <v>0.2</v>
      </c>
      <c r="F86" s="818">
        <v>30</v>
      </c>
    </row>
    <row r="87" spans="1:6" s="814" customFormat="1" ht="36">
      <c r="A87" s="818">
        <v>27</v>
      </c>
      <c r="B87" s="3448"/>
      <c r="C87" s="754" t="s">
        <v>668</v>
      </c>
      <c r="D87" s="754" t="s">
        <v>669</v>
      </c>
      <c r="E87" s="831">
        <v>0.2</v>
      </c>
      <c r="F87" s="818">
        <v>30</v>
      </c>
    </row>
    <row r="88" spans="1:6" s="814" customFormat="1" ht="36">
      <c r="A88" s="818">
        <v>28</v>
      </c>
      <c r="B88" s="3448"/>
      <c r="C88" s="754" t="s">
        <v>670</v>
      </c>
      <c r="D88" s="754" t="s">
        <v>671</v>
      </c>
      <c r="E88" s="831">
        <v>0.2</v>
      </c>
      <c r="F88" s="818">
        <v>30</v>
      </c>
    </row>
    <row r="89" spans="1:6" s="814" customFormat="1" ht="24">
      <c r="A89" s="818">
        <v>29</v>
      </c>
      <c r="B89" s="3448"/>
      <c r="C89" s="754" t="s">
        <v>672</v>
      </c>
      <c r="D89" s="754" t="s">
        <v>673</v>
      </c>
      <c r="E89" s="831">
        <v>0.2</v>
      </c>
      <c r="F89" s="818">
        <v>30</v>
      </c>
    </row>
    <row r="90" spans="1:6" s="814" customFormat="1" ht="24">
      <c r="A90" s="818">
        <v>30</v>
      </c>
      <c r="B90" s="3448"/>
      <c r="C90" s="754" t="s">
        <v>674</v>
      </c>
      <c r="D90" s="754" t="s">
        <v>675</v>
      </c>
      <c r="E90" s="831">
        <v>0.2</v>
      </c>
      <c r="F90" s="818">
        <v>30</v>
      </c>
    </row>
    <row r="91" spans="1:6" s="814" customFormat="1" ht="36">
      <c r="A91" s="818">
        <v>31</v>
      </c>
      <c r="B91" s="3448"/>
      <c r="C91" s="754" t="s">
        <v>676</v>
      </c>
      <c r="D91" s="754" t="s">
        <v>677</v>
      </c>
      <c r="E91" s="831">
        <v>0.2</v>
      </c>
      <c r="F91" s="818">
        <v>30</v>
      </c>
    </row>
    <row r="92" spans="1:6" s="814" customFormat="1" ht="24">
      <c r="A92" s="818">
        <v>32</v>
      </c>
      <c r="B92" s="3448" t="s">
        <v>678</v>
      </c>
      <c r="C92" s="818" t="s">
        <v>679</v>
      </c>
      <c r="D92" s="754" t="s">
        <v>680</v>
      </c>
      <c r="E92" s="831">
        <v>0.2</v>
      </c>
      <c r="F92" s="818">
        <v>30</v>
      </c>
    </row>
    <row r="93" spans="1:6" s="814" customFormat="1" ht="36">
      <c r="A93" s="818">
        <v>33</v>
      </c>
      <c r="B93" s="3448"/>
      <c r="C93" s="818" t="s">
        <v>681</v>
      </c>
      <c r="D93" s="754" t="s">
        <v>682</v>
      </c>
      <c r="E93" s="831">
        <v>0.2</v>
      </c>
      <c r="F93" s="818">
        <v>30</v>
      </c>
    </row>
    <row r="94" spans="1:6" s="814" customFormat="1" ht="48">
      <c r="A94" s="818">
        <v>34</v>
      </c>
      <c r="B94" s="3448"/>
      <c r="C94" s="818" t="s">
        <v>683</v>
      </c>
      <c r="D94" s="754" t="s">
        <v>684</v>
      </c>
      <c r="E94" s="831">
        <v>0.2</v>
      </c>
      <c r="F94" s="818">
        <v>30</v>
      </c>
    </row>
    <row r="95" spans="1:6" s="814" customFormat="1" ht="36">
      <c r="A95" s="818">
        <v>35</v>
      </c>
      <c r="B95" s="3448"/>
      <c r="C95" s="818" t="s">
        <v>685</v>
      </c>
      <c r="D95" s="754" t="s">
        <v>686</v>
      </c>
      <c r="E95" s="831">
        <v>0.2</v>
      </c>
      <c r="F95" s="818">
        <v>30</v>
      </c>
    </row>
    <row r="96" spans="1:6" s="814" customFormat="1" ht="48">
      <c r="A96" s="818">
        <v>36</v>
      </c>
      <c r="B96" s="3448"/>
      <c r="C96" s="754" t="s">
        <v>687</v>
      </c>
      <c r="D96" s="754" t="s">
        <v>688</v>
      </c>
      <c r="E96" s="831">
        <v>0.2</v>
      </c>
      <c r="F96" s="818">
        <v>30</v>
      </c>
    </row>
    <row r="97" spans="1:6" s="814" customFormat="1" ht="36">
      <c r="A97" s="818">
        <v>37</v>
      </c>
      <c r="B97" s="3448"/>
      <c r="C97" s="818" t="s">
        <v>689</v>
      </c>
      <c r="D97" s="754" t="s">
        <v>690</v>
      </c>
      <c r="E97" s="831">
        <v>0.2</v>
      </c>
      <c r="F97" s="818">
        <v>30</v>
      </c>
    </row>
    <row r="98" spans="1:6" s="814" customFormat="1" ht="36">
      <c r="A98" s="818">
        <v>38</v>
      </c>
      <c r="B98" s="3448"/>
      <c r="C98" s="818" t="s">
        <v>691</v>
      </c>
      <c r="D98" s="754" t="s">
        <v>692</v>
      </c>
      <c r="E98" s="831">
        <v>0.2</v>
      </c>
      <c r="F98" s="818">
        <v>30</v>
      </c>
    </row>
    <row r="99" spans="1:6" s="814" customFormat="1" ht="36">
      <c r="A99" s="818">
        <v>39</v>
      </c>
      <c r="B99" s="3448" t="s">
        <v>693</v>
      </c>
      <c r="C99" s="818" t="s">
        <v>694</v>
      </c>
      <c r="D99" s="754" t="s">
        <v>695</v>
      </c>
      <c r="E99" s="831">
        <v>0.3</v>
      </c>
      <c r="F99" s="818">
        <v>50</v>
      </c>
    </row>
    <row r="100" spans="1:6" s="814" customFormat="1" ht="24">
      <c r="A100" s="818">
        <v>40</v>
      </c>
      <c r="B100" s="3448"/>
      <c r="C100" s="818" t="s">
        <v>696</v>
      </c>
      <c r="D100" s="754" t="s">
        <v>697</v>
      </c>
      <c r="E100" s="831">
        <v>0.2</v>
      </c>
      <c r="F100" s="818">
        <v>30</v>
      </c>
    </row>
    <row r="101" spans="1:6" s="814" customFormat="1" ht="36">
      <c r="A101" s="818">
        <v>41</v>
      </c>
      <c r="B101" s="3448"/>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48" t="s">
        <v>708</v>
      </c>
      <c r="C105" s="818" t="s">
        <v>709</v>
      </c>
      <c r="D105" s="754" t="s">
        <v>710</v>
      </c>
      <c r="E105" s="831">
        <v>0.2</v>
      </c>
      <c r="F105" s="818">
        <v>30</v>
      </c>
    </row>
    <row r="106" spans="1:6" s="814" customFormat="1" ht="36">
      <c r="A106" s="818">
        <v>46</v>
      </c>
      <c r="B106" s="3448"/>
      <c r="C106" s="818" t="s">
        <v>711</v>
      </c>
      <c r="D106" s="754" t="s">
        <v>712</v>
      </c>
      <c r="E106" s="831">
        <v>0.2</v>
      </c>
      <c r="F106" s="818">
        <v>30</v>
      </c>
    </row>
    <row r="107" spans="1:6" s="814" customFormat="1" ht="36">
      <c r="A107" s="818">
        <v>47</v>
      </c>
      <c r="B107" s="3448" t="s">
        <v>713</v>
      </c>
      <c r="C107" s="818" t="s">
        <v>714</v>
      </c>
      <c r="D107" s="754" t="s">
        <v>715</v>
      </c>
      <c r="E107" s="831">
        <v>0.3</v>
      </c>
      <c r="F107" s="818">
        <v>50</v>
      </c>
    </row>
    <row r="108" spans="1:6" s="814" customFormat="1" ht="36">
      <c r="A108" s="818">
        <v>48</v>
      </c>
      <c r="B108" s="3448"/>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48" t="s">
        <v>724</v>
      </c>
      <c r="C111" s="818" t="s">
        <v>725</v>
      </c>
      <c r="D111" s="754" t="s">
        <v>726</v>
      </c>
      <c r="E111" s="831">
        <v>0.2</v>
      </c>
      <c r="F111" s="818">
        <v>30</v>
      </c>
    </row>
    <row r="112" spans="1:6" s="814" customFormat="1" ht="24">
      <c r="A112" s="818">
        <v>52</v>
      </c>
      <c r="B112" s="3448"/>
      <c r="C112" s="818" t="s">
        <v>727</v>
      </c>
      <c r="D112" s="754" t="s">
        <v>728</v>
      </c>
      <c r="E112" s="831">
        <v>0.2</v>
      </c>
      <c r="F112" s="818">
        <v>30</v>
      </c>
    </row>
    <row r="113" spans="1:6" s="814" customFormat="1" ht="24">
      <c r="A113" s="818">
        <v>53</v>
      </c>
      <c r="B113" s="3448"/>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48" t="s">
        <v>737</v>
      </c>
      <c r="C116" s="818" t="s">
        <v>738</v>
      </c>
      <c r="D116" s="754" t="s">
        <v>739</v>
      </c>
      <c r="E116" s="831">
        <v>0.2</v>
      </c>
      <c r="F116" s="818">
        <v>30</v>
      </c>
    </row>
    <row r="117" spans="1:6" ht="36">
      <c r="A117" s="818">
        <v>57</v>
      </c>
      <c r="B117" s="3448"/>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2823</v>
      </c>
      <c r="B1" s="2362"/>
      <c r="C1" s="2362"/>
      <c r="D1" s="2362"/>
      <c r="E1" s="2362"/>
      <c r="F1" s="3023"/>
      <c r="G1" s="3023"/>
      <c r="H1" s="3023"/>
      <c r="I1" s="3023"/>
      <c r="J1" s="3023"/>
      <c r="K1" s="3023"/>
      <c r="L1" s="3023"/>
      <c r="M1" s="3023"/>
      <c r="N1" s="3023"/>
      <c r="O1" s="3023"/>
      <c r="P1" s="3023"/>
    </row>
    <row r="2" spans="1:16" ht="15.75">
      <c r="A2" s="2360" t="s">
        <v>2815</v>
      </c>
      <c r="B2" s="2827" t="e">
        <f ca="1">SUMIF(B6:B13,"&lt;&gt;#ref!",B6:B13)</f>
        <v>#DIV/0!</v>
      </c>
      <c r="C2" s="2360" t="s">
        <v>2816</v>
      </c>
      <c r="D2" s="2360" t="s">
        <v>2817</v>
      </c>
      <c r="E2" s="2837">
        <f ca="1">SUMIF(E6:E13,"&lt;&gt;#ref!",E6:E13)</f>
        <v>0</v>
      </c>
      <c r="F2" s="3023"/>
      <c r="G2" s="3023"/>
      <c r="H2" s="3023"/>
      <c r="I2" s="3023"/>
      <c r="J2" s="3023"/>
      <c r="K2" s="3023"/>
      <c r="L2" s="3023"/>
      <c r="M2" s="3023"/>
      <c r="N2" s="3023"/>
      <c r="O2" s="3023"/>
      <c r="P2" s="3023"/>
    </row>
    <row r="3" spans="1:16" ht="15.75">
      <c r="A3" s="2360" t="s">
        <v>2818</v>
      </c>
      <c r="B3" s="2827" t="e">
        <f ca="1">ROUND(B2*10000/E2,0)</f>
        <v>#DIV/0!</v>
      </c>
      <c r="C3" s="2360" t="s">
        <v>2824</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2819</v>
      </c>
      <c r="B5" s="2835" t="s">
        <v>2820</v>
      </c>
      <c r="C5" s="2361"/>
      <c r="D5" s="3023"/>
      <c r="E5" s="2836" t="s">
        <v>2821</v>
      </c>
      <c r="F5" s="3023"/>
      <c r="G5" s="3023"/>
      <c r="H5" s="3023"/>
      <c r="I5" s="3023"/>
      <c r="J5" s="3023"/>
      <c r="K5" s="3023"/>
      <c r="L5" s="3023"/>
      <c r="M5" s="3023"/>
      <c r="N5" s="3023"/>
      <c r="O5" s="3023"/>
      <c r="P5" s="3023"/>
    </row>
    <row r="6" spans="1:16" ht="15.75">
      <c r="A6" s="2834" t="s">
        <v>2822</v>
      </c>
      <c r="B6" s="2827" t="e">
        <f ca="1">SUMIF(INDIRECT("'"&amp;A6&amp;"'"&amp;"!A:A"),"总价",INDIRECT("'"&amp;A6&amp;"'"&amp;"!B:B"))</f>
        <v>#DIV/0!</v>
      </c>
      <c r="C6" s="2360" t="s">
        <v>2816</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2816</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2816</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2816</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2816</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2816</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2816</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2816</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54" t="s">
        <v>1117</v>
      </c>
      <c r="C1" s="3454"/>
      <c r="D1" s="3454"/>
      <c r="E1" s="3454"/>
      <c r="F1" s="3454"/>
      <c r="G1" s="3450" t="s">
        <v>1118</v>
      </c>
      <c r="H1" s="3450"/>
      <c r="I1" s="3450"/>
      <c r="J1" s="3450"/>
      <c r="K1" s="3450"/>
      <c r="L1" s="3450"/>
      <c r="N1" s="3450" t="s">
        <v>1119</v>
      </c>
      <c r="O1" s="3450"/>
      <c r="P1" s="3450"/>
      <c r="Q1" s="3450"/>
      <c r="S1" s="3450" t="s">
        <v>1120</v>
      </c>
      <c r="T1" s="3450"/>
      <c r="U1" s="3450"/>
      <c r="V1" s="3450"/>
      <c r="X1" s="3449" t="s">
        <v>1121</v>
      </c>
      <c r="Y1" s="3450"/>
      <c r="Z1" s="3450"/>
      <c r="AA1" s="3450"/>
      <c r="AB1" s="3450"/>
      <c r="AD1" s="3449" t="s">
        <v>1122</v>
      </c>
      <c r="AE1" s="3450"/>
      <c r="AF1" s="3450"/>
      <c r="AG1" s="3450"/>
      <c r="AH1" s="3450"/>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2856</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2857</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3060</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2873</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2871</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2870</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2869</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2867</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2865</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2868</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452">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2863</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452"/>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2862</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452"/>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2855</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459"/>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2853</v>
      </c>
      <c r="B17" s="2437">
        <v>439</v>
      </c>
      <c r="C17" s="2437">
        <v>327</v>
      </c>
      <c r="D17" s="2437">
        <f>C17</f>
        <v>327</v>
      </c>
      <c r="E17" s="2437">
        <v>627</v>
      </c>
      <c r="F17" s="2438">
        <v>283</v>
      </c>
      <c r="G17" s="3455">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2854</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452"/>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452"/>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459"/>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455">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452"/>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452"/>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453"/>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451">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452"/>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452"/>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453"/>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451">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452"/>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452"/>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453"/>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456">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457"/>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457"/>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458"/>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451">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452"/>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452"/>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453"/>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451">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452">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452">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453">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451">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452">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452">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453">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451">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452">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452">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453">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451">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452">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452">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453">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451">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452">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452">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453">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451">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452">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452">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453">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451">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452">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452">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453">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451">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452">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452">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453">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451">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452">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452">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453">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451">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452">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452">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453">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36918</v>
      </c>
      <c r="C2" s="2" t="s">
        <v>133</v>
      </c>
      <c r="D2" s="203"/>
      <c r="E2" s="203"/>
      <c r="F2" s="203"/>
      <c r="G2" s="203"/>
    </row>
    <row r="3" spans="1:7" s="204" customFormat="1" ht="18" customHeight="1" thickBot="1">
      <c r="A3" s="207" t="s">
        <v>85</v>
      </c>
      <c r="B3" s="208">
        <f ca="1">ROUND(B2*10000/'数据-汇总表'!E3,0)</f>
        <v>16047</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20810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810</v>
      </c>
      <c r="D7" s="224"/>
      <c r="E7" s="222"/>
      <c r="F7" s="225">
        <f>'数据-取费表'!B48+'数据-取费表'!B49</f>
        <v>4.0500000000000001E-2</v>
      </c>
      <c r="G7" s="223"/>
    </row>
    <row r="8" spans="1:7" s="227" customFormat="1">
      <c r="A8" s="883" t="s">
        <v>793</v>
      </c>
      <c r="B8" s="219" t="s">
        <v>92</v>
      </c>
      <c r="C8" s="224" t="str">
        <f>IF(G8="已包含在土地购买价格中","0",'数据-取费表'!B29)</f>
        <v>0</v>
      </c>
      <c r="D8" s="226"/>
      <c r="E8" s="224"/>
      <c r="F8" s="225"/>
      <c r="G8" s="1" t="s">
        <v>1116</v>
      </c>
    </row>
    <row r="9" spans="1:7" s="218" customFormat="1" ht="13.5" customHeight="1">
      <c r="A9" s="884" t="s">
        <v>800</v>
      </c>
      <c r="B9" s="228" t="s">
        <v>93</v>
      </c>
      <c r="C9" s="229">
        <f>ROUND(D9*E9/10000,0)</f>
        <v>0</v>
      </c>
      <c r="D9" s="951">
        <f>'数据-汇总表'!E5</f>
        <v>0</v>
      </c>
      <c r="E9" s="229">
        <f>'数据-取费表'!B27</f>
        <v>128</v>
      </c>
      <c r="F9" s="225"/>
      <c r="G9" s="230"/>
    </row>
    <row r="10" spans="1:7" s="218" customFormat="1" ht="13.5" customHeight="1">
      <c r="A10" s="884" t="s">
        <v>801</v>
      </c>
      <c r="B10" s="228" t="s">
        <v>94</v>
      </c>
      <c r="C10" s="229">
        <f>ROUND(D10*E10/10000,0)</f>
        <v>248</v>
      </c>
      <c r="D10" s="951">
        <f>'数据-汇总表'!E6</f>
        <v>23006.27</v>
      </c>
      <c r="E10" s="229">
        <f>'数据-取费表'!B28</f>
        <v>108</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414</v>
      </c>
      <c r="D19" s="955">
        <f>'数据-汇总表'!E3</f>
        <v>23006.27</v>
      </c>
      <c r="E19" s="215">
        <f>'数据-取费表'!B31</f>
        <v>180</v>
      </c>
      <c r="F19" s="235"/>
      <c r="G19" s="1" t="s">
        <v>1042</v>
      </c>
    </row>
    <row r="20" spans="1:7" s="218" customFormat="1" ht="13.5" customHeight="1">
      <c r="A20" s="882" t="s">
        <v>1025</v>
      </c>
      <c r="B20" s="214" t="s">
        <v>104</v>
      </c>
      <c r="C20" s="236">
        <f>ROUND((C5+C19)*F20,0)</f>
        <v>424</v>
      </c>
      <c r="D20" s="236"/>
      <c r="E20" s="236"/>
      <c r="F20" s="237">
        <f>'数据-取费表'!B37</f>
        <v>0.02</v>
      </c>
      <c r="G20" s="1196" t="s">
        <v>1036</v>
      </c>
    </row>
    <row r="21" spans="1:7" s="218" customFormat="1" ht="13.5" customHeight="1">
      <c r="A21" s="882" t="s">
        <v>1027</v>
      </c>
      <c r="B21" s="214" t="s">
        <v>105</v>
      </c>
      <c r="C21" s="239">
        <f>F21</f>
        <v>0.02</v>
      </c>
      <c r="D21" s="240" t="s">
        <v>126</v>
      </c>
      <c r="E21" s="236"/>
      <c r="F21" s="237">
        <f>'数据-取费表'!B38</f>
        <v>0.02</v>
      </c>
      <c r="G21" s="238" t="s">
        <v>106</v>
      </c>
    </row>
    <row r="22" spans="1:7" s="218" customFormat="1" ht="13.5" customHeight="1">
      <c r="A22" s="882" t="s">
        <v>786</v>
      </c>
      <c r="B22" s="214" t="s">
        <v>107</v>
      </c>
      <c r="C22" s="1261">
        <f ca="1">ROUND(SUM(C23:C25),0)</f>
        <v>2084</v>
      </c>
      <c r="D22" s="239">
        <f ca="1">C26</f>
        <v>1E-3</v>
      </c>
      <c r="E22" s="240" t="s">
        <v>126</v>
      </c>
      <c r="F22" s="241">
        <f ca="1">'数据-取费表'!B40</f>
        <v>4.7500000000000001E-2</v>
      </c>
      <c r="G22" s="1196" t="str">
        <f>IF('数据-取费表'!B22&lt;=1,"单利计息","复利计息")</f>
        <v>复利计息</v>
      </c>
    </row>
    <row r="23" spans="1:7" s="218" customFormat="1" ht="13.5" customHeight="1">
      <c r="A23" s="885" t="s">
        <v>794</v>
      </c>
      <c r="B23" s="219" t="s">
        <v>1029</v>
      </c>
      <c r="C23" s="1262">
        <f ca="1">ROUND(IF('数据-取费表'!B22&lt;=1,C5*F22*'数据-取费表'!B23,C5*(POWER((1+F22),'数据-取费表'!B23)-1)),0)</f>
        <v>2024</v>
      </c>
      <c r="D23" s="242"/>
      <c r="E23" s="242"/>
      <c r="F23" s="243"/>
      <c r="G23" s="244" t="s">
        <v>108</v>
      </c>
    </row>
    <row r="24" spans="1:7" s="218" customFormat="1" ht="13.5" customHeight="1">
      <c r="A24" s="885" t="s">
        <v>792</v>
      </c>
      <c r="B24" s="219" t="s">
        <v>1024</v>
      </c>
      <c r="C24" s="1262">
        <f ca="1">ROUND(IF('数据-取费表'!B22&lt;=1,C19*F22*('数据-取费表'!B19/2+'数据-取费表'!B21),C19*(POWER((1+F22),('数据-取费表'!B19/2+'数据-取费表'!B21))-1)),0)</f>
        <v>40</v>
      </c>
      <c r="D24" s="242"/>
      <c r="E24" s="242"/>
      <c r="F24" s="243"/>
      <c r="G24" s="244" t="s">
        <v>109</v>
      </c>
    </row>
    <row r="25" spans="1:7" s="218" customFormat="1" ht="24">
      <c r="A25" s="885" t="s">
        <v>793</v>
      </c>
      <c r="B25" s="219" t="s">
        <v>1026</v>
      </c>
      <c r="C25" s="1262">
        <f ca="1">ROUND(IF('数据-取费表'!B22&lt;=1,C20*F22*'数据-取费表'!B23/2,C20*(POWER((1+F22),'数据-取费表'!B23/2)-1)),0)</f>
        <v>20</v>
      </c>
      <c r="D25" s="242"/>
      <c r="E25" s="245"/>
      <c r="F25" s="243"/>
      <c r="G25" s="246" t="s">
        <v>110</v>
      </c>
    </row>
    <row r="26" spans="1:7" s="218" customFormat="1">
      <c r="A26" s="885" t="s">
        <v>795</v>
      </c>
      <c r="B26" s="219" t="s">
        <v>1028</v>
      </c>
      <c r="C26" s="242">
        <f ca="1">ROUND(IF('数据-取费表'!B22&lt;=1,F21*F22*'数据-取费表'!B23/2,F21*(POWER((1+F22),'数据-取费表'!B23/2)-1)),4)</f>
        <v>1E-3</v>
      </c>
      <c r="D26" s="242"/>
      <c r="E26" s="245"/>
      <c r="F26" s="243"/>
      <c r="G26" s="247"/>
    </row>
    <row r="27" spans="1:7" s="218" customFormat="1" ht="24.75">
      <c r="A27" s="882" t="s">
        <v>787</v>
      </c>
      <c r="B27" s="248" t="s">
        <v>112</v>
      </c>
      <c r="C27" s="249">
        <f>C28</f>
        <v>2381</v>
      </c>
      <c r="D27" s="239">
        <f>C29</f>
        <v>2.2000000000000001E-3</v>
      </c>
      <c r="E27" s="240" t="s">
        <v>126</v>
      </c>
      <c r="F27" s="250">
        <f>'数据-取费表'!Q16</f>
        <v>0.11</v>
      </c>
      <c r="G27" s="251" t="s">
        <v>1037</v>
      </c>
    </row>
    <row r="28" spans="1:7" s="218" customFormat="1" ht="13.5" customHeight="1">
      <c r="A28" s="885" t="s">
        <v>794</v>
      </c>
      <c r="B28" s="252" t="s">
        <v>1030</v>
      </c>
      <c r="C28" s="253">
        <f>ROUND((C5+C19+C20)*F27*'数据-取费表'!B21/'数据-取费表'!B20,0)</f>
        <v>2381</v>
      </c>
      <c r="D28" s="239"/>
      <c r="E28" s="240"/>
      <c r="F28" s="250"/>
      <c r="G28" s="251"/>
    </row>
    <row r="29" spans="1:7" s="218" customFormat="1" ht="13.5" customHeight="1">
      <c r="A29" s="885" t="s">
        <v>792</v>
      </c>
      <c r="B29" s="252" t="s">
        <v>1031</v>
      </c>
      <c r="C29" s="242">
        <f>ROUND(C21*F27*'数据-取费表'!B21/'数据-取费表'!B20,4)</f>
        <v>2.2000000000000001E-3</v>
      </c>
      <c r="D29" s="239"/>
      <c r="E29" s="240"/>
      <c r="F29" s="250"/>
      <c r="G29" s="251"/>
    </row>
    <row r="30" spans="1:7" s="218" customFormat="1" ht="13.5" customHeight="1">
      <c r="A30" s="882"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28277</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6967</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6271</v>
      </c>
      <c r="D34" s="221"/>
      <c r="E34" s="224"/>
      <c r="F34" s="261">
        <f>IF('数据-取费表'!B24=0,1,'数据-取费表'!N16)</f>
        <v>1</v>
      </c>
      <c r="G34" s="223" t="s">
        <v>116</v>
      </c>
    </row>
    <row r="35" spans="1:7" ht="13.5" customHeight="1">
      <c r="A35" s="885" t="s">
        <v>796</v>
      </c>
      <c r="B35" s="219" t="s">
        <v>60</v>
      </c>
      <c r="C35" s="224">
        <f>ROUND(C34*F35,0)</f>
        <v>188</v>
      </c>
      <c r="D35" s="224"/>
      <c r="E35" s="224"/>
      <c r="F35" s="263">
        <f>'数据-取费表'!B33</f>
        <v>0.03</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5" t="s">
        <v>798</v>
      </c>
      <c r="B37" s="219" t="s">
        <v>118</v>
      </c>
      <c r="C37" s="253">
        <f>ROUND(E37*D37*F34/10000,0)</f>
        <v>414</v>
      </c>
      <c r="D37" s="221">
        <f>'数据-汇总表'!E3</f>
        <v>23006.27</v>
      </c>
      <c r="E37" s="253">
        <f>'数据-取费表'!B35</f>
        <v>180</v>
      </c>
      <c r="F37" s="263"/>
      <c r="G37" s="265" t="s">
        <v>119</v>
      </c>
    </row>
    <row r="38" spans="1:7" ht="13.5" customHeight="1">
      <c r="A38" s="885" t="s">
        <v>799</v>
      </c>
      <c r="B38" s="219" t="s">
        <v>63</v>
      </c>
      <c r="C38" s="224">
        <f>ROUND(C34*F38,0)</f>
        <v>94</v>
      </c>
      <c r="D38" s="224"/>
      <c r="E38" s="224"/>
      <c r="F38" s="263">
        <f>'数据-取费表'!B36</f>
        <v>1.4999999999999999E-2</v>
      </c>
      <c r="G38" s="223" t="s">
        <v>117</v>
      </c>
    </row>
    <row r="39" spans="1:7" s="218" customFormat="1" ht="13.5" customHeight="1">
      <c r="A39" s="882" t="s">
        <v>783</v>
      </c>
      <c r="B39" s="214" t="s">
        <v>104</v>
      </c>
      <c r="C39" s="236">
        <f>ROUND(C33*F20,0)</f>
        <v>139</v>
      </c>
      <c r="D39" s="236"/>
      <c r="E39" s="236"/>
      <c r="F39" s="237"/>
      <c r="G39" s="1196" t="s">
        <v>1039</v>
      </c>
    </row>
    <row r="40" spans="1:7" s="218" customFormat="1" ht="13.5" customHeight="1">
      <c r="A40" s="882" t="s">
        <v>784</v>
      </c>
      <c r="B40" s="214" t="s">
        <v>105</v>
      </c>
      <c r="C40" s="266">
        <f>F21</f>
        <v>0.02</v>
      </c>
      <c r="D40" s="240" t="s">
        <v>129</v>
      </c>
      <c r="E40" s="236"/>
      <c r="F40" s="237"/>
      <c r="G40" s="238" t="s">
        <v>120</v>
      </c>
    </row>
    <row r="41" spans="1:7" s="218" customFormat="1" ht="13.5" customHeight="1">
      <c r="A41" s="882" t="s">
        <v>785</v>
      </c>
      <c r="B41" s="214" t="s">
        <v>107</v>
      </c>
      <c r="C41" s="236">
        <f ca="1">ROUND(SUM(C42:C43),0)</f>
        <v>338</v>
      </c>
      <c r="D41" s="239">
        <f ca="1">C44</f>
        <v>1E-3</v>
      </c>
      <c r="E41" s="240" t="s">
        <v>129</v>
      </c>
      <c r="F41" s="241"/>
      <c r="G41" s="1196" t="str">
        <f>IF('数据-取费表'!B22&lt;=1,"单利计息","复利计息")</f>
        <v>复利计息</v>
      </c>
    </row>
    <row r="42" spans="1:7" ht="13.5" customHeight="1">
      <c r="A42" s="885" t="s">
        <v>794</v>
      </c>
      <c r="B42" s="219" t="s">
        <v>1029</v>
      </c>
      <c r="C42" s="242">
        <f ca="1">ROUND(IF('数据-取费表'!B22&lt;=1,C33*F22*'数据-取费表'!B21/2,C33*(POWER((1+F22),'数据-取费表'!B21/2)-1)),0)</f>
        <v>331</v>
      </c>
      <c r="D42" s="242"/>
      <c r="E42" s="242"/>
      <c r="F42" s="243"/>
      <c r="G42" s="3375" t="s">
        <v>121</v>
      </c>
    </row>
    <row r="43" spans="1:7" ht="13.5" customHeight="1">
      <c r="A43" s="885" t="s">
        <v>792</v>
      </c>
      <c r="B43" s="219" t="s">
        <v>1032</v>
      </c>
      <c r="C43" s="242">
        <f ca="1">ROUND(IF('数据-取费表'!B22&lt;=1,C39*F22*'数据-取费表'!B21/2,C39*(POWER((1+F22),'数据-取费表'!B21/2)-1)),0)</f>
        <v>7</v>
      </c>
      <c r="D43" s="242"/>
      <c r="E43" s="242"/>
      <c r="F43" s="243"/>
      <c r="G43" s="3376"/>
    </row>
    <row r="44" spans="1:7" ht="13.5" customHeight="1">
      <c r="A44" s="885" t="s">
        <v>793</v>
      </c>
      <c r="B44" s="219" t="s">
        <v>1034</v>
      </c>
      <c r="C44" s="242">
        <f ca="1">ROUND(IF('数据-取费表'!B22&lt;=1,C40*F22*'数据-取费表'!B21/2,C40*(POWER((1+F22),'数据-取费表'!B21/2)-1)),4)</f>
        <v>1E-3</v>
      </c>
      <c r="D44" s="242"/>
      <c r="E44" s="242"/>
      <c r="F44" s="243"/>
      <c r="G44" s="3377"/>
    </row>
    <row r="45" spans="1:7" s="218" customFormat="1" ht="13.5" customHeight="1">
      <c r="A45" s="882" t="s">
        <v>786</v>
      </c>
      <c r="B45" s="248" t="s">
        <v>112</v>
      </c>
      <c r="C45" s="249">
        <f>C46</f>
        <v>782</v>
      </c>
      <c r="D45" s="239">
        <f>C47</f>
        <v>2.2000000000000001E-3</v>
      </c>
      <c r="E45" s="240" t="s">
        <v>129</v>
      </c>
      <c r="F45" s="250"/>
      <c r="G45" s="251" t="s">
        <v>1040</v>
      </c>
    </row>
    <row r="46" spans="1:7" s="218" customFormat="1" ht="13.5" customHeight="1">
      <c r="A46" s="885" t="s">
        <v>794</v>
      </c>
      <c r="B46" s="252" t="s">
        <v>1033</v>
      </c>
      <c r="C46" s="253">
        <f>ROUND((C33+C39)*F27,0)</f>
        <v>782</v>
      </c>
      <c r="D46" s="267"/>
      <c r="E46" s="240"/>
      <c r="F46" s="250"/>
      <c r="G46" s="251"/>
    </row>
    <row r="47" spans="1:7" s="218" customFormat="1" ht="13.5" customHeight="1">
      <c r="A47" s="885" t="s">
        <v>792</v>
      </c>
      <c r="B47" s="252" t="s">
        <v>1035</v>
      </c>
      <c r="C47" s="242">
        <f>ROUND(C40*F27,4)</f>
        <v>2.2000000000000001E-3</v>
      </c>
      <c r="D47" s="267"/>
      <c r="E47" s="240"/>
      <c r="F47" s="250"/>
      <c r="G47" s="251"/>
    </row>
    <row r="48" spans="1:7" s="218" customFormat="1" ht="13.5" customHeight="1">
      <c r="A48" s="882" t="s">
        <v>787</v>
      </c>
      <c r="B48" s="214" t="s">
        <v>122</v>
      </c>
      <c r="C48" s="266">
        <f>F30</f>
        <v>5.6000000000000001E-2</v>
      </c>
      <c r="D48" s="240" t="s">
        <v>130</v>
      </c>
      <c r="E48" s="236"/>
      <c r="F48" s="241"/>
      <c r="G48" s="238" t="s">
        <v>123</v>
      </c>
    </row>
    <row r="49" spans="1:7" ht="16.5" customHeight="1">
      <c r="A49" s="882" t="s">
        <v>788</v>
      </c>
      <c r="B49" s="214" t="s">
        <v>131</v>
      </c>
      <c r="C49" s="236">
        <f ca="1">ROUND((C33+C39+C41+C45)/(1-C40-D41-D45-C48/(1+'数据-取费表'!B42)),0)</f>
        <v>8908</v>
      </c>
      <c r="D49" s="236"/>
      <c r="E49" s="236"/>
      <c r="F49" s="268"/>
      <c r="G49" s="238" t="s">
        <v>1041</v>
      </c>
    </row>
    <row r="50" spans="1:7" s="262" customFormat="1" ht="24">
      <c r="A50" s="882" t="s">
        <v>789</v>
      </c>
      <c r="B50" s="214" t="s">
        <v>124</v>
      </c>
      <c r="C50" s="236"/>
      <c r="D50" s="236"/>
      <c r="E50" s="236"/>
      <c r="F50" s="268">
        <f>IF('数据-取费表'!B24=0,'数据-取费表'!N16,1)</f>
        <v>0.97</v>
      </c>
      <c r="G50" s="251" t="s">
        <v>125</v>
      </c>
    </row>
    <row r="51" spans="1:7" ht="16.5" customHeight="1">
      <c r="A51" s="882" t="s">
        <v>790</v>
      </c>
      <c r="B51" s="214" t="s">
        <v>132</v>
      </c>
      <c r="C51" s="236">
        <f ca="1">ROUND(C49*F50,0)</f>
        <v>8641</v>
      </c>
      <c r="D51" s="236"/>
      <c r="E51" s="236"/>
      <c r="F51" s="268"/>
      <c r="G51" s="238" t="s">
        <v>64</v>
      </c>
    </row>
    <row r="52" spans="1:7" s="212" customFormat="1" ht="16.5" thickBot="1">
      <c r="A52" s="269" t="s">
        <v>65</v>
      </c>
      <c r="B52" s="270"/>
      <c r="C52" s="271">
        <f ca="1">C31+C51</f>
        <v>36918</v>
      </c>
      <c r="D52" s="270"/>
      <c r="E52" s="270"/>
      <c r="F52" s="270"/>
      <c r="G52" s="272"/>
    </row>
    <row r="55" spans="1:7" ht="15">
      <c r="B55" s="274" t="s">
        <v>66</v>
      </c>
      <c r="C55" s="275"/>
    </row>
    <row r="56" spans="1:7">
      <c r="B56" s="277" t="s">
        <v>67</v>
      </c>
      <c r="C56" s="278">
        <f ca="1">ROUND(C51/C52,3)</f>
        <v>0.23400000000000001</v>
      </c>
    </row>
    <row r="57" spans="1:7">
      <c r="B57" s="277" t="s">
        <v>68</v>
      </c>
      <c r="C57" s="279">
        <f ca="1">1-C56</f>
        <v>0.76600000000000001</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60" t="s">
        <v>156</v>
      </c>
      <c r="B1" s="3460"/>
      <c r="C1" s="3460"/>
      <c r="D1" s="3460"/>
      <c r="E1" s="3460"/>
      <c r="F1" s="3460"/>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61" t="s">
        <v>169</v>
      </c>
      <c r="B2" s="3461"/>
      <c r="C2" s="3461"/>
      <c r="D2" s="3461"/>
      <c r="E2" s="3461"/>
      <c r="F2" s="3461"/>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62"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63"/>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60" t="s">
        <v>839</v>
      </c>
      <c r="B1" s="3460"/>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在建建筑物价值</v>
      </c>
      <c r="G2" s="3127"/>
      <c r="H2" s="3127" t="str">
        <f>IF(项目基本情况!B9="房地产市场价值","房地产市场价值","房地产价值")</f>
        <v>房地产价值</v>
      </c>
      <c r="I2" s="3127"/>
    </row>
    <row r="3" spans="1:9" ht="15">
      <c r="A3" s="3128"/>
      <c r="B3" s="3128"/>
      <c r="C3" s="3128"/>
      <c r="D3" s="960" t="s">
        <v>1603</v>
      </c>
      <c r="E3" s="960" t="s">
        <v>1609</v>
      </c>
      <c r="F3" s="960" t="s">
        <v>1603</v>
      </c>
      <c r="G3" s="960" t="s">
        <v>1604</v>
      </c>
      <c r="H3" s="960" t="s">
        <v>1603</v>
      </c>
      <c r="I3" s="960" t="s">
        <v>1604</v>
      </c>
    </row>
    <row r="4" spans="1:9" ht="15">
      <c r="A4" s="1689" t="str">
        <f>项目基本情况!S2</f>
        <v>房地产</v>
      </c>
      <c r="B4" s="960">
        <f>项目基本情况!C17</f>
        <v>23006.27</v>
      </c>
      <c r="C4" s="960">
        <f>项目基本情况!C18</f>
        <v>2782.06</v>
      </c>
      <c r="D4" s="960" t="e">
        <f ca="1">结果表!D118</f>
        <v>#REF!</v>
      </c>
      <c r="E4" s="960" t="e">
        <f ca="1">结果表!E118</f>
        <v>#REF!</v>
      </c>
      <c r="F4" s="960" t="e">
        <f ca="1">结果表!F118</f>
        <v>#REF!</v>
      </c>
      <c r="G4" s="960" t="e">
        <f ca="1">结果表!G118</f>
        <v>#REF!</v>
      </c>
      <c r="H4" s="960">
        <f ca="1">结果表!H118</f>
        <v>27651</v>
      </c>
      <c r="I4" s="960">
        <f ca="1">结果表!I118</f>
        <v>18292</v>
      </c>
    </row>
    <row r="5" spans="1:9" ht="30" customHeight="1">
      <c r="A5" s="3128" t="s">
        <v>1605</v>
      </c>
      <c r="B5" s="3128"/>
      <c r="C5" s="3128"/>
      <c r="D5" s="3129" t="e">
        <f ca="1">结果表!D119</f>
        <v>#REF!</v>
      </c>
      <c r="E5" s="3129"/>
      <c r="F5" s="3129" t="e">
        <f ca="1">结果表!F119</f>
        <v>#REF!</v>
      </c>
      <c r="G5" s="3129"/>
      <c r="H5" s="3129" t="str">
        <f ca="1">结果表!H119</f>
        <v>贰亿柒仟陆佰伍拾壹万元整</v>
      </c>
      <c r="I5" s="3129"/>
    </row>
    <row r="6" spans="1:9" ht="15.75">
      <c r="A6" s="3130" t="str">
        <f>结果表!A120</f>
        <v>估价师知悉的法定优先受偿款</v>
      </c>
      <c r="B6" s="3130"/>
      <c r="C6" s="3130"/>
      <c r="D6" s="3130">
        <f>结果表!D120</f>
        <v>0</v>
      </c>
      <c r="E6" s="3130"/>
      <c r="F6" s="3130"/>
      <c r="G6" s="3130"/>
      <c r="H6" s="3130"/>
      <c r="I6" s="3130"/>
    </row>
    <row r="7" spans="1:9" ht="15">
      <c r="A7" s="3128" t="s">
        <v>1605</v>
      </c>
      <c r="B7" s="3128"/>
      <c r="C7" s="3128"/>
      <c r="D7" s="3131" t="str">
        <f>结果表!D121</f>
        <v>零元整</v>
      </c>
      <c r="E7" s="3132"/>
      <c r="F7" s="3132"/>
      <c r="G7" s="3132"/>
      <c r="H7" s="3132"/>
      <c r="I7" s="3133"/>
    </row>
    <row r="8" spans="1:9" ht="15.75">
      <c r="A8" s="3130" t="str">
        <f>结果表!A122</f>
        <v>房地产抵押价值</v>
      </c>
      <c r="B8" s="3130"/>
      <c r="C8" s="3130"/>
      <c r="D8" s="3130">
        <f ca="1">结果表!D122</f>
        <v>27651</v>
      </c>
      <c r="E8" s="3130"/>
      <c r="F8" s="3130"/>
      <c r="G8" s="3130"/>
      <c r="H8" s="3130"/>
      <c r="I8" s="3130"/>
    </row>
    <row r="9" spans="1:9" ht="15">
      <c r="A9" s="3128" t="s">
        <v>1605</v>
      </c>
      <c r="B9" s="3128"/>
      <c r="C9" s="3128"/>
      <c r="D9" s="3129" t="str">
        <f ca="1">结果表!D123</f>
        <v>贰亿柒仟陆佰伍拾壹万元整</v>
      </c>
      <c r="E9" s="3129"/>
      <c r="F9" s="3129"/>
      <c r="G9" s="3129"/>
      <c r="H9" s="3129"/>
      <c r="I9" s="3129"/>
    </row>
    <row r="10" spans="1:9" ht="15.75">
      <c r="A10" s="3130" t="str">
        <f>结果表!A124</f>
        <v/>
      </c>
      <c r="B10" s="3130"/>
      <c r="C10" s="3130"/>
      <c r="D10" s="3130" t="str">
        <f>结果表!D124</f>
        <v>——</v>
      </c>
      <c r="E10" s="3130"/>
      <c r="F10" s="3130"/>
      <c r="G10" s="3130"/>
      <c r="H10" s="3130"/>
      <c r="I10" s="3130"/>
    </row>
    <row r="11" spans="1:9" ht="15">
      <c r="A11" s="3128" t="s">
        <v>1605</v>
      </c>
      <c r="B11" s="3128"/>
      <c r="C11" s="3128"/>
      <c r="D11" s="3129" t="e">
        <f>结果表!D125</f>
        <v>#VALUE!</v>
      </c>
      <c r="E11" s="3129"/>
      <c r="F11" s="3129"/>
      <c r="G11" s="3129"/>
      <c r="H11" s="3129"/>
      <c r="I11" s="3129"/>
    </row>
    <row r="12" spans="1:9" ht="15.75">
      <c r="A12" s="3130" t="str">
        <f>结果表!A126</f>
        <v/>
      </c>
      <c r="B12" s="3130"/>
      <c r="C12" s="3130"/>
      <c r="D12" s="3130" t="str">
        <f>结果表!D126</f>
        <v>——</v>
      </c>
      <c r="E12" s="3130"/>
      <c r="F12" s="3130"/>
      <c r="G12" s="3130"/>
      <c r="H12" s="3130"/>
      <c r="I12" s="3130"/>
    </row>
    <row r="13" spans="1:9" ht="15.75" thickBot="1">
      <c r="A13" s="3134" t="s">
        <v>1605</v>
      </c>
      <c r="B13" s="3134"/>
      <c r="C13" s="3134"/>
      <c r="D13" s="3135" t="e">
        <f>结果表!D127</f>
        <v>#VALUE!</v>
      </c>
      <c r="E13" s="3135"/>
      <c r="F13" s="3135"/>
      <c r="G13" s="3135"/>
      <c r="H13" s="3135"/>
      <c r="I13" s="3135"/>
    </row>
    <row r="14" spans="1:9" ht="15" thickTop="1">
      <c r="A14" s="3136" t="s">
        <v>1610</v>
      </c>
      <c r="B14" s="3136"/>
      <c r="C14" s="3136"/>
      <c r="D14" s="3136"/>
      <c r="E14" s="3136"/>
      <c r="F14" s="3136"/>
      <c r="G14" s="3136"/>
      <c r="H14" s="3136"/>
      <c r="I14" s="313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pageSetUpPr autoPageBreaks="0" fitToPage="1"/>
  </sheetPr>
  <dimension ref="A1:Q16"/>
  <sheetViews>
    <sheetView workbookViewId="0">
      <selection activeCell="L167" sqref="L167"/>
    </sheetView>
  </sheetViews>
  <sheetFormatPr defaultRowHeight="12.75"/>
  <cols>
    <col min="1" max="1" width="30.5" style="3064" customWidth="1"/>
    <col min="2" max="2" width="9" style="3064" customWidth="1"/>
    <col min="3" max="3" width="13.375" style="3064" customWidth="1"/>
    <col min="4" max="5" width="15.875" style="3064" customWidth="1"/>
    <col min="6" max="6" width="16.375" style="3064" customWidth="1"/>
    <col min="7" max="7" width="9" style="3064" customWidth="1"/>
    <col min="8" max="8" width="18.5" style="3064" customWidth="1"/>
    <col min="9" max="10" width="10.25" style="3064" customWidth="1"/>
    <col min="11" max="12" width="12.125" style="3064" customWidth="1"/>
    <col min="13" max="14" width="16.375" style="3064" customWidth="1"/>
    <col min="15" max="15" width="7.125" style="3064" customWidth="1"/>
    <col min="16" max="16" width="33.625" style="3064" customWidth="1"/>
    <col min="17" max="17" width="9" style="3064" customWidth="1"/>
    <col min="18" max="256" width="8.875" style="3064"/>
    <col min="257" max="257" width="30.5" style="3064" customWidth="1"/>
    <col min="258" max="258" width="9" style="3064" customWidth="1"/>
    <col min="259" max="259" width="13.375" style="3064" customWidth="1"/>
    <col min="260" max="261" width="15.875" style="3064" customWidth="1"/>
    <col min="262" max="262" width="16.375" style="3064" customWidth="1"/>
    <col min="263" max="263" width="9" style="3064" customWidth="1"/>
    <col min="264" max="264" width="18.5" style="3064" customWidth="1"/>
    <col min="265" max="266" width="10.25" style="3064" customWidth="1"/>
    <col min="267" max="268" width="12.125" style="3064" customWidth="1"/>
    <col min="269" max="270" width="16.375" style="3064" customWidth="1"/>
    <col min="271" max="271" width="7.125" style="3064" customWidth="1"/>
    <col min="272" max="272" width="33.625" style="3064" customWidth="1"/>
    <col min="273" max="273" width="9" style="3064" customWidth="1"/>
    <col min="274" max="512" width="8.875" style="3064"/>
    <col min="513" max="513" width="30.5" style="3064" customWidth="1"/>
    <col min="514" max="514" width="9" style="3064" customWidth="1"/>
    <col min="515" max="515" width="13.375" style="3064" customWidth="1"/>
    <col min="516" max="517" width="15.875" style="3064" customWidth="1"/>
    <col min="518" max="518" width="16.375" style="3064" customWidth="1"/>
    <col min="519" max="519" width="9" style="3064" customWidth="1"/>
    <col min="520" max="520" width="18.5" style="3064" customWidth="1"/>
    <col min="521" max="522" width="10.25" style="3064" customWidth="1"/>
    <col min="523" max="524" width="12.125" style="3064" customWidth="1"/>
    <col min="525" max="526" width="16.375" style="3064" customWidth="1"/>
    <col min="527" max="527" width="7.125" style="3064" customWidth="1"/>
    <col min="528" max="528" width="33.625" style="3064" customWidth="1"/>
    <col min="529" max="529" width="9" style="3064" customWidth="1"/>
    <col min="530" max="768" width="8.875" style="3064"/>
    <col min="769" max="769" width="30.5" style="3064" customWidth="1"/>
    <col min="770" max="770" width="9" style="3064" customWidth="1"/>
    <col min="771" max="771" width="13.375" style="3064" customWidth="1"/>
    <col min="772" max="773" width="15.875" style="3064" customWidth="1"/>
    <col min="774" max="774" width="16.375" style="3064" customWidth="1"/>
    <col min="775" max="775" width="9" style="3064" customWidth="1"/>
    <col min="776" max="776" width="18.5" style="3064" customWidth="1"/>
    <col min="777" max="778" width="10.25" style="3064" customWidth="1"/>
    <col min="779" max="780" width="12.125" style="3064" customWidth="1"/>
    <col min="781" max="782" width="16.375" style="3064" customWidth="1"/>
    <col min="783" max="783" width="7.125" style="3064" customWidth="1"/>
    <col min="784" max="784" width="33.625" style="3064" customWidth="1"/>
    <col min="785" max="785" width="9" style="3064" customWidth="1"/>
    <col min="786" max="1024" width="8.875" style="3064"/>
    <col min="1025" max="1025" width="30.5" style="3064" customWidth="1"/>
    <col min="1026" max="1026" width="9" style="3064" customWidth="1"/>
    <col min="1027" max="1027" width="13.375" style="3064" customWidth="1"/>
    <col min="1028" max="1029" width="15.875" style="3064" customWidth="1"/>
    <col min="1030" max="1030" width="16.375" style="3064" customWidth="1"/>
    <col min="1031" max="1031" width="9" style="3064" customWidth="1"/>
    <col min="1032" max="1032" width="18.5" style="3064" customWidth="1"/>
    <col min="1033" max="1034" width="10.25" style="3064" customWidth="1"/>
    <col min="1035" max="1036" width="12.125" style="3064" customWidth="1"/>
    <col min="1037" max="1038" width="16.375" style="3064" customWidth="1"/>
    <col min="1039" max="1039" width="7.125" style="3064" customWidth="1"/>
    <col min="1040" max="1040" width="33.625" style="3064" customWidth="1"/>
    <col min="1041" max="1041" width="9" style="3064" customWidth="1"/>
    <col min="1042" max="1280" width="8.875" style="3064"/>
    <col min="1281" max="1281" width="30.5" style="3064" customWidth="1"/>
    <col min="1282" max="1282" width="9" style="3064" customWidth="1"/>
    <col min="1283" max="1283" width="13.375" style="3064" customWidth="1"/>
    <col min="1284" max="1285" width="15.875" style="3064" customWidth="1"/>
    <col min="1286" max="1286" width="16.375" style="3064" customWidth="1"/>
    <col min="1287" max="1287" width="9" style="3064" customWidth="1"/>
    <col min="1288" max="1288" width="18.5" style="3064" customWidth="1"/>
    <col min="1289" max="1290" width="10.25" style="3064" customWidth="1"/>
    <col min="1291" max="1292" width="12.125" style="3064" customWidth="1"/>
    <col min="1293" max="1294" width="16.375" style="3064" customWidth="1"/>
    <col min="1295" max="1295" width="7.125" style="3064" customWidth="1"/>
    <col min="1296" max="1296" width="33.625" style="3064" customWidth="1"/>
    <col min="1297" max="1297" width="9" style="3064" customWidth="1"/>
    <col min="1298" max="1536" width="8.875" style="3064"/>
    <col min="1537" max="1537" width="30.5" style="3064" customWidth="1"/>
    <col min="1538" max="1538" width="9" style="3064" customWidth="1"/>
    <col min="1539" max="1539" width="13.375" style="3064" customWidth="1"/>
    <col min="1540" max="1541" width="15.875" style="3064" customWidth="1"/>
    <col min="1542" max="1542" width="16.375" style="3064" customWidth="1"/>
    <col min="1543" max="1543" width="9" style="3064" customWidth="1"/>
    <col min="1544" max="1544" width="18.5" style="3064" customWidth="1"/>
    <col min="1545" max="1546" width="10.25" style="3064" customWidth="1"/>
    <col min="1547" max="1548" width="12.125" style="3064" customWidth="1"/>
    <col min="1549" max="1550" width="16.375" style="3064" customWidth="1"/>
    <col min="1551" max="1551" width="7.125" style="3064" customWidth="1"/>
    <col min="1552" max="1552" width="33.625" style="3064" customWidth="1"/>
    <col min="1553" max="1553" width="9" style="3064" customWidth="1"/>
    <col min="1554" max="1792" width="8.875" style="3064"/>
    <col min="1793" max="1793" width="30.5" style="3064" customWidth="1"/>
    <col min="1794" max="1794" width="9" style="3064" customWidth="1"/>
    <col min="1795" max="1795" width="13.375" style="3064" customWidth="1"/>
    <col min="1796" max="1797" width="15.875" style="3064" customWidth="1"/>
    <col min="1798" max="1798" width="16.375" style="3064" customWidth="1"/>
    <col min="1799" max="1799" width="9" style="3064" customWidth="1"/>
    <col min="1800" max="1800" width="18.5" style="3064" customWidth="1"/>
    <col min="1801" max="1802" width="10.25" style="3064" customWidth="1"/>
    <col min="1803" max="1804" width="12.125" style="3064" customWidth="1"/>
    <col min="1805" max="1806" width="16.375" style="3064" customWidth="1"/>
    <col min="1807" max="1807" width="7.125" style="3064" customWidth="1"/>
    <col min="1808" max="1808" width="33.625" style="3064" customWidth="1"/>
    <col min="1809" max="1809" width="9" style="3064" customWidth="1"/>
    <col min="1810" max="2048" width="8.875" style="3064"/>
    <col min="2049" max="2049" width="30.5" style="3064" customWidth="1"/>
    <col min="2050" max="2050" width="9" style="3064" customWidth="1"/>
    <col min="2051" max="2051" width="13.375" style="3064" customWidth="1"/>
    <col min="2052" max="2053" width="15.875" style="3064" customWidth="1"/>
    <col min="2054" max="2054" width="16.375" style="3064" customWidth="1"/>
    <col min="2055" max="2055" width="9" style="3064" customWidth="1"/>
    <col min="2056" max="2056" width="18.5" style="3064" customWidth="1"/>
    <col min="2057" max="2058" width="10.25" style="3064" customWidth="1"/>
    <col min="2059" max="2060" width="12.125" style="3064" customWidth="1"/>
    <col min="2061" max="2062" width="16.375" style="3064" customWidth="1"/>
    <col min="2063" max="2063" width="7.125" style="3064" customWidth="1"/>
    <col min="2064" max="2064" width="33.625" style="3064" customWidth="1"/>
    <col min="2065" max="2065" width="9" style="3064" customWidth="1"/>
    <col min="2066" max="2304" width="8.875" style="3064"/>
    <col min="2305" max="2305" width="30.5" style="3064" customWidth="1"/>
    <col min="2306" max="2306" width="9" style="3064" customWidth="1"/>
    <col min="2307" max="2307" width="13.375" style="3064" customWidth="1"/>
    <col min="2308" max="2309" width="15.875" style="3064" customWidth="1"/>
    <col min="2310" max="2310" width="16.375" style="3064" customWidth="1"/>
    <col min="2311" max="2311" width="9" style="3064" customWidth="1"/>
    <col min="2312" max="2312" width="18.5" style="3064" customWidth="1"/>
    <col min="2313" max="2314" width="10.25" style="3064" customWidth="1"/>
    <col min="2315" max="2316" width="12.125" style="3064" customWidth="1"/>
    <col min="2317" max="2318" width="16.375" style="3064" customWidth="1"/>
    <col min="2319" max="2319" width="7.125" style="3064" customWidth="1"/>
    <col min="2320" max="2320" width="33.625" style="3064" customWidth="1"/>
    <col min="2321" max="2321" width="9" style="3064" customWidth="1"/>
    <col min="2322" max="2560" width="8.875" style="3064"/>
    <col min="2561" max="2561" width="30.5" style="3064" customWidth="1"/>
    <col min="2562" max="2562" width="9" style="3064" customWidth="1"/>
    <col min="2563" max="2563" width="13.375" style="3064" customWidth="1"/>
    <col min="2564" max="2565" width="15.875" style="3064" customWidth="1"/>
    <col min="2566" max="2566" width="16.375" style="3064" customWidth="1"/>
    <col min="2567" max="2567" width="9" style="3064" customWidth="1"/>
    <col min="2568" max="2568" width="18.5" style="3064" customWidth="1"/>
    <col min="2569" max="2570" width="10.25" style="3064" customWidth="1"/>
    <col min="2571" max="2572" width="12.125" style="3064" customWidth="1"/>
    <col min="2573" max="2574" width="16.375" style="3064" customWidth="1"/>
    <col min="2575" max="2575" width="7.125" style="3064" customWidth="1"/>
    <col min="2576" max="2576" width="33.625" style="3064" customWidth="1"/>
    <col min="2577" max="2577" width="9" style="3064" customWidth="1"/>
    <col min="2578" max="2816" width="8.875" style="3064"/>
    <col min="2817" max="2817" width="30.5" style="3064" customWidth="1"/>
    <col min="2818" max="2818" width="9" style="3064" customWidth="1"/>
    <col min="2819" max="2819" width="13.375" style="3064" customWidth="1"/>
    <col min="2820" max="2821" width="15.875" style="3064" customWidth="1"/>
    <col min="2822" max="2822" width="16.375" style="3064" customWidth="1"/>
    <col min="2823" max="2823" width="9" style="3064" customWidth="1"/>
    <col min="2824" max="2824" width="18.5" style="3064" customWidth="1"/>
    <col min="2825" max="2826" width="10.25" style="3064" customWidth="1"/>
    <col min="2827" max="2828" width="12.125" style="3064" customWidth="1"/>
    <col min="2829" max="2830" width="16.375" style="3064" customWidth="1"/>
    <col min="2831" max="2831" width="7.125" style="3064" customWidth="1"/>
    <col min="2832" max="2832" width="33.625" style="3064" customWidth="1"/>
    <col min="2833" max="2833" width="9" style="3064" customWidth="1"/>
    <col min="2834" max="3072" width="8.875" style="3064"/>
    <col min="3073" max="3073" width="30.5" style="3064" customWidth="1"/>
    <col min="3074" max="3074" width="9" style="3064" customWidth="1"/>
    <col min="3075" max="3075" width="13.375" style="3064" customWidth="1"/>
    <col min="3076" max="3077" width="15.875" style="3064" customWidth="1"/>
    <col min="3078" max="3078" width="16.375" style="3064" customWidth="1"/>
    <col min="3079" max="3079" width="9" style="3064" customWidth="1"/>
    <col min="3080" max="3080" width="18.5" style="3064" customWidth="1"/>
    <col min="3081" max="3082" width="10.25" style="3064" customWidth="1"/>
    <col min="3083" max="3084" width="12.125" style="3064" customWidth="1"/>
    <col min="3085" max="3086" width="16.375" style="3064" customWidth="1"/>
    <col min="3087" max="3087" width="7.125" style="3064" customWidth="1"/>
    <col min="3088" max="3088" width="33.625" style="3064" customWidth="1"/>
    <col min="3089" max="3089" width="9" style="3064" customWidth="1"/>
    <col min="3090" max="3328" width="8.875" style="3064"/>
    <col min="3329" max="3329" width="30.5" style="3064" customWidth="1"/>
    <col min="3330" max="3330" width="9" style="3064" customWidth="1"/>
    <col min="3331" max="3331" width="13.375" style="3064" customWidth="1"/>
    <col min="3332" max="3333" width="15.875" style="3064" customWidth="1"/>
    <col min="3334" max="3334" width="16.375" style="3064" customWidth="1"/>
    <col min="3335" max="3335" width="9" style="3064" customWidth="1"/>
    <col min="3336" max="3336" width="18.5" style="3064" customWidth="1"/>
    <col min="3337" max="3338" width="10.25" style="3064" customWidth="1"/>
    <col min="3339" max="3340" width="12.125" style="3064" customWidth="1"/>
    <col min="3341" max="3342" width="16.375" style="3064" customWidth="1"/>
    <col min="3343" max="3343" width="7.125" style="3064" customWidth="1"/>
    <col min="3344" max="3344" width="33.625" style="3064" customWidth="1"/>
    <col min="3345" max="3345" width="9" style="3064" customWidth="1"/>
    <col min="3346" max="3584" width="8.875" style="3064"/>
    <col min="3585" max="3585" width="30.5" style="3064" customWidth="1"/>
    <col min="3586" max="3586" width="9" style="3064" customWidth="1"/>
    <col min="3587" max="3587" width="13.375" style="3064" customWidth="1"/>
    <col min="3588" max="3589" width="15.875" style="3064" customWidth="1"/>
    <col min="3590" max="3590" width="16.375" style="3064" customWidth="1"/>
    <col min="3591" max="3591" width="9" style="3064" customWidth="1"/>
    <col min="3592" max="3592" width="18.5" style="3064" customWidth="1"/>
    <col min="3593" max="3594" width="10.25" style="3064" customWidth="1"/>
    <col min="3595" max="3596" width="12.125" style="3064" customWidth="1"/>
    <col min="3597" max="3598" width="16.375" style="3064" customWidth="1"/>
    <col min="3599" max="3599" width="7.125" style="3064" customWidth="1"/>
    <col min="3600" max="3600" width="33.625" style="3064" customWidth="1"/>
    <col min="3601" max="3601" width="9" style="3064" customWidth="1"/>
    <col min="3602" max="3840" width="8.875" style="3064"/>
    <col min="3841" max="3841" width="30.5" style="3064" customWidth="1"/>
    <col min="3842" max="3842" width="9" style="3064" customWidth="1"/>
    <col min="3843" max="3843" width="13.375" style="3064" customWidth="1"/>
    <col min="3844" max="3845" width="15.875" style="3064" customWidth="1"/>
    <col min="3846" max="3846" width="16.375" style="3064" customWidth="1"/>
    <col min="3847" max="3847" width="9" style="3064" customWidth="1"/>
    <col min="3848" max="3848" width="18.5" style="3064" customWidth="1"/>
    <col min="3849" max="3850" width="10.25" style="3064" customWidth="1"/>
    <col min="3851" max="3852" width="12.125" style="3064" customWidth="1"/>
    <col min="3853" max="3854" width="16.375" style="3064" customWidth="1"/>
    <col min="3855" max="3855" width="7.125" style="3064" customWidth="1"/>
    <col min="3856" max="3856" width="33.625" style="3064" customWidth="1"/>
    <col min="3857" max="3857" width="9" style="3064" customWidth="1"/>
    <col min="3858" max="4096" width="8.875" style="3064"/>
    <col min="4097" max="4097" width="30.5" style="3064" customWidth="1"/>
    <col min="4098" max="4098" width="9" style="3064" customWidth="1"/>
    <col min="4099" max="4099" width="13.375" style="3064" customWidth="1"/>
    <col min="4100" max="4101" width="15.875" style="3064" customWidth="1"/>
    <col min="4102" max="4102" width="16.375" style="3064" customWidth="1"/>
    <col min="4103" max="4103" width="9" style="3064" customWidth="1"/>
    <col min="4104" max="4104" width="18.5" style="3064" customWidth="1"/>
    <col min="4105" max="4106" width="10.25" style="3064" customWidth="1"/>
    <col min="4107" max="4108" width="12.125" style="3064" customWidth="1"/>
    <col min="4109" max="4110" width="16.375" style="3064" customWidth="1"/>
    <col min="4111" max="4111" width="7.125" style="3064" customWidth="1"/>
    <col min="4112" max="4112" width="33.625" style="3064" customWidth="1"/>
    <col min="4113" max="4113" width="9" style="3064" customWidth="1"/>
    <col min="4114" max="4352" width="8.875" style="3064"/>
    <col min="4353" max="4353" width="30.5" style="3064" customWidth="1"/>
    <col min="4354" max="4354" width="9" style="3064" customWidth="1"/>
    <col min="4355" max="4355" width="13.375" style="3064" customWidth="1"/>
    <col min="4356" max="4357" width="15.875" style="3064" customWidth="1"/>
    <col min="4358" max="4358" width="16.375" style="3064" customWidth="1"/>
    <col min="4359" max="4359" width="9" style="3064" customWidth="1"/>
    <col min="4360" max="4360" width="18.5" style="3064" customWidth="1"/>
    <col min="4361" max="4362" width="10.25" style="3064" customWidth="1"/>
    <col min="4363" max="4364" width="12.125" style="3064" customWidth="1"/>
    <col min="4365" max="4366" width="16.375" style="3064" customWidth="1"/>
    <col min="4367" max="4367" width="7.125" style="3064" customWidth="1"/>
    <col min="4368" max="4368" width="33.625" style="3064" customWidth="1"/>
    <col min="4369" max="4369" width="9" style="3064" customWidth="1"/>
    <col min="4370" max="4608" width="8.875" style="3064"/>
    <col min="4609" max="4609" width="30.5" style="3064" customWidth="1"/>
    <col min="4610" max="4610" width="9" style="3064" customWidth="1"/>
    <col min="4611" max="4611" width="13.375" style="3064" customWidth="1"/>
    <col min="4612" max="4613" width="15.875" style="3064" customWidth="1"/>
    <col min="4614" max="4614" width="16.375" style="3064" customWidth="1"/>
    <col min="4615" max="4615" width="9" style="3064" customWidth="1"/>
    <col min="4616" max="4616" width="18.5" style="3064" customWidth="1"/>
    <col min="4617" max="4618" width="10.25" style="3064" customWidth="1"/>
    <col min="4619" max="4620" width="12.125" style="3064" customWidth="1"/>
    <col min="4621" max="4622" width="16.375" style="3064" customWidth="1"/>
    <col min="4623" max="4623" width="7.125" style="3064" customWidth="1"/>
    <col min="4624" max="4624" width="33.625" style="3064" customWidth="1"/>
    <col min="4625" max="4625" width="9" style="3064" customWidth="1"/>
    <col min="4626" max="4864" width="8.875" style="3064"/>
    <col min="4865" max="4865" width="30.5" style="3064" customWidth="1"/>
    <col min="4866" max="4866" width="9" style="3064" customWidth="1"/>
    <col min="4867" max="4867" width="13.375" style="3064" customWidth="1"/>
    <col min="4868" max="4869" width="15.875" style="3064" customWidth="1"/>
    <col min="4870" max="4870" width="16.375" style="3064" customWidth="1"/>
    <col min="4871" max="4871" width="9" style="3064" customWidth="1"/>
    <col min="4872" max="4872" width="18.5" style="3064" customWidth="1"/>
    <col min="4873" max="4874" width="10.25" style="3064" customWidth="1"/>
    <col min="4875" max="4876" width="12.125" style="3064" customWidth="1"/>
    <col min="4877" max="4878" width="16.375" style="3064" customWidth="1"/>
    <col min="4879" max="4879" width="7.125" style="3064" customWidth="1"/>
    <col min="4880" max="4880" width="33.625" style="3064" customWidth="1"/>
    <col min="4881" max="4881" width="9" style="3064" customWidth="1"/>
    <col min="4882" max="5120" width="8.875" style="3064"/>
    <col min="5121" max="5121" width="30.5" style="3064" customWidth="1"/>
    <col min="5122" max="5122" width="9" style="3064" customWidth="1"/>
    <col min="5123" max="5123" width="13.375" style="3064" customWidth="1"/>
    <col min="5124" max="5125" width="15.875" style="3064" customWidth="1"/>
    <col min="5126" max="5126" width="16.375" style="3064" customWidth="1"/>
    <col min="5127" max="5127" width="9" style="3064" customWidth="1"/>
    <col min="5128" max="5128" width="18.5" style="3064" customWidth="1"/>
    <col min="5129" max="5130" width="10.25" style="3064" customWidth="1"/>
    <col min="5131" max="5132" width="12.125" style="3064" customWidth="1"/>
    <col min="5133" max="5134" width="16.375" style="3064" customWidth="1"/>
    <col min="5135" max="5135" width="7.125" style="3064" customWidth="1"/>
    <col min="5136" max="5136" width="33.625" style="3064" customWidth="1"/>
    <col min="5137" max="5137" width="9" style="3064" customWidth="1"/>
    <col min="5138" max="5376" width="8.875" style="3064"/>
    <col min="5377" max="5377" width="30.5" style="3064" customWidth="1"/>
    <col min="5378" max="5378" width="9" style="3064" customWidth="1"/>
    <col min="5379" max="5379" width="13.375" style="3064" customWidth="1"/>
    <col min="5380" max="5381" width="15.875" style="3064" customWidth="1"/>
    <col min="5382" max="5382" width="16.375" style="3064" customWidth="1"/>
    <col min="5383" max="5383" width="9" style="3064" customWidth="1"/>
    <col min="5384" max="5384" width="18.5" style="3064" customWidth="1"/>
    <col min="5385" max="5386" width="10.25" style="3064" customWidth="1"/>
    <col min="5387" max="5388" width="12.125" style="3064" customWidth="1"/>
    <col min="5389" max="5390" width="16.375" style="3064" customWidth="1"/>
    <col min="5391" max="5391" width="7.125" style="3064" customWidth="1"/>
    <col min="5392" max="5392" width="33.625" style="3064" customWidth="1"/>
    <col min="5393" max="5393" width="9" style="3064" customWidth="1"/>
    <col min="5394" max="5632" width="8.875" style="3064"/>
    <col min="5633" max="5633" width="30.5" style="3064" customWidth="1"/>
    <col min="5634" max="5634" width="9" style="3064" customWidth="1"/>
    <col min="5635" max="5635" width="13.375" style="3064" customWidth="1"/>
    <col min="5636" max="5637" width="15.875" style="3064" customWidth="1"/>
    <col min="5638" max="5638" width="16.375" style="3064" customWidth="1"/>
    <col min="5639" max="5639" width="9" style="3064" customWidth="1"/>
    <col min="5640" max="5640" width="18.5" style="3064" customWidth="1"/>
    <col min="5641" max="5642" width="10.25" style="3064" customWidth="1"/>
    <col min="5643" max="5644" width="12.125" style="3064" customWidth="1"/>
    <col min="5645" max="5646" width="16.375" style="3064" customWidth="1"/>
    <col min="5647" max="5647" width="7.125" style="3064" customWidth="1"/>
    <col min="5648" max="5648" width="33.625" style="3064" customWidth="1"/>
    <col min="5649" max="5649" width="9" style="3064" customWidth="1"/>
    <col min="5650" max="5888" width="8.875" style="3064"/>
    <col min="5889" max="5889" width="30.5" style="3064" customWidth="1"/>
    <col min="5890" max="5890" width="9" style="3064" customWidth="1"/>
    <col min="5891" max="5891" width="13.375" style="3064" customWidth="1"/>
    <col min="5892" max="5893" width="15.875" style="3064" customWidth="1"/>
    <col min="5894" max="5894" width="16.375" style="3064" customWidth="1"/>
    <col min="5895" max="5895" width="9" style="3064" customWidth="1"/>
    <col min="5896" max="5896" width="18.5" style="3064" customWidth="1"/>
    <col min="5897" max="5898" width="10.25" style="3064" customWidth="1"/>
    <col min="5899" max="5900" width="12.125" style="3064" customWidth="1"/>
    <col min="5901" max="5902" width="16.375" style="3064" customWidth="1"/>
    <col min="5903" max="5903" width="7.125" style="3064" customWidth="1"/>
    <col min="5904" max="5904" width="33.625" style="3064" customWidth="1"/>
    <col min="5905" max="5905" width="9" style="3064" customWidth="1"/>
    <col min="5906" max="6144" width="8.875" style="3064"/>
    <col min="6145" max="6145" width="30.5" style="3064" customWidth="1"/>
    <col min="6146" max="6146" width="9" style="3064" customWidth="1"/>
    <col min="6147" max="6147" width="13.375" style="3064" customWidth="1"/>
    <col min="6148" max="6149" width="15.875" style="3064" customWidth="1"/>
    <col min="6150" max="6150" width="16.375" style="3064" customWidth="1"/>
    <col min="6151" max="6151" width="9" style="3064" customWidth="1"/>
    <col min="6152" max="6152" width="18.5" style="3064" customWidth="1"/>
    <col min="6153" max="6154" width="10.25" style="3064" customWidth="1"/>
    <col min="6155" max="6156" width="12.125" style="3064" customWidth="1"/>
    <col min="6157" max="6158" width="16.375" style="3064" customWidth="1"/>
    <col min="6159" max="6159" width="7.125" style="3064" customWidth="1"/>
    <col min="6160" max="6160" width="33.625" style="3064" customWidth="1"/>
    <col min="6161" max="6161" width="9" style="3064" customWidth="1"/>
    <col min="6162" max="6400" width="8.875" style="3064"/>
    <col min="6401" max="6401" width="30.5" style="3064" customWidth="1"/>
    <col min="6402" max="6402" width="9" style="3064" customWidth="1"/>
    <col min="6403" max="6403" width="13.375" style="3064" customWidth="1"/>
    <col min="6404" max="6405" width="15.875" style="3064" customWidth="1"/>
    <col min="6406" max="6406" width="16.375" style="3064" customWidth="1"/>
    <col min="6407" max="6407" width="9" style="3064" customWidth="1"/>
    <col min="6408" max="6408" width="18.5" style="3064" customWidth="1"/>
    <col min="6409" max="6410" width="10.25" style="3064" customWidth="1"/>
    <col min="6411" max="6412" width="12.125" style="3064" customWidth="1"/>
    <col min="6413" max="6414" width="16.375" style="3064" customWidth="1"/>
    <col min="6415" max="6415" width="7.125" style="3064" customWidth="1"/>
    <col min="6416" max="6416" width="33.625" style="3064" customWidth="1"/>
    <col min="6417" max="6417" width="9" style="3064" customWidth="1"/>
    <col min="6418" max="6656" width="8.875" style="3064"/>
    <col min="6657" max="6657" width="30.5" style="3064" customWidth="1"/>
    <col min="6658" max="6658" width="9" style="3064" customWidth="1"/>
    <col min="6659" max="6659" width="13.375" style="3064" customWidth="1"/>
    <col min="6660" max="6661" width="15.875" style="3064" customWidth="1"/>
    <col min="6662" max="6662" width="16.375" style="3064" customWidth="1"/>
    <col min="6663" max="6663" width="9" style="3064" customWidth="1"/>
    <col min="6664" max="6664" width="18.5" style="3064" customWidth="1"/>
    <col min="6665" max="6666" width="10.25" style="3064" customWidth="1"/>
    <col min="6667" max="6668" width="12.125" style="3064" customWidth="1"/>
    <col min="6669" max="6670" width="16.375" style="3064" customWidth="1"/>
    <col min="6671" max="6671" width="7.125" style="3064" customWidth="1"/>
    <col min="6672" max="6672" width="33.625" style="3064" customWidth="1"/>
    <col min="6673" max="6673" width="9" style="3064" customWidth="1"/>
    <col min="6674" max="6912" width="8.875" style="3064"/>
    <col min="6913" max="6913" width="30.5" style="3064" customWidth="1"/>
    <col min="6914" max="6914" width="9" style="3064" customWidth="1"/>
    <col min="6915" max="6915" width="13.375" style="3064" customWidth="1"/>
    <col min="6916" max="6917" width="15.875" style="3064" customWidth="1"/>
    <col min="6918" max="6918" width="16.375" style="3064" customWidth="1"/>
    <col min="6919" max="6919" width="9" style="3064" customWidth="1"/>
    <col min="6920" max="6920" width="18.5" style="3064" customWidth="1"/>
    <col min="6921" max="6922" width="10.25" style="3064" customWidth="1"/>
    <col min="6923" max="6924" width="12.125" style="3064" customWidth="1"/>
    <col min="6925" max="6926" width="16.375" style="3064" customWidth="1"/>
    <col min="6927" max="6927" width="7.125" style="3064" customWidth="1"/>
    <col min="6928" max="6928" width="33.625" style="3064" customWidth="1"/>
    <col min="6929" max="6929" width="9" style="3064" customWidth="1"/>
    <col min="6930" max="7168" width="8.875" style="3064"/>
    <col min="7169" max="7169" width="30.5" style="3064" customWidth="1"/>
    <col min="7170" max="7170" width="9" style="3064" customWidth="1"/>
    <col min="7171" max="7171" width="13.375" style="3064" customWidth="1"/>
    <col min="7172" max="7173" width="15.875" style="3064" customWidth="1"/>
    <col min="7174" max="7174" width="16.375" style="3064" customWidth="1"/>
    <col min="7175" max="7175" width="9" style="3064" customWidth="1"/>
    <col min="7176" max="7176" width="18.5" style="3064" customWidth="1"/>
    <col min="7177" max="7178" width="10.25" style="3064" customWidth="1"/>
    <col min="7179" max="7180" width="12.125" style="3064" customWidth="1"/>
    <col min="7181" max="7182" width="16.375" style="3064" customWidth="1"/>
    <col min="7183" max="7183" width="7.125" style="3064" customWidth="1"/>
    <col min="7184" max="7184" width="33.625" style="3064" customWidth="1"/>
    <col min="7185" max="7185" width="9" style="3064" customWidth="1"/>
    <col min="7186" max="7424" width="8.875" style="3064"/>
    <col min="7425" max="7425" width="30.5" style="3064" customWidth="1"/>
    <col min="7426" max="7426" width="9" style="3064" customWidth="1"/>
    <col min="7427" max="7427" width="13.375" style="3064" customWidth="1"/>
    <col min="7428" max="7429" width="15.875" style="3064" customWidth="1"/>
    <col min="7430" max="7430" width="16.375" style="3064" customWidth="1"/>
    <col min="7431" max="7431" width="9" style="3064" customWidth="1"/>
    <col min="7432" max="7432" width="18.5" style="3064" customWidth="1"/>
    <col min="7433" max="7434" width="10.25" style="3064" customWidth="1"/>
    <col min="7435" max="7436" width="12.125" style="3064" customWidth="1"/>
    <col min="7437" max="7438" width="16.375" style="3064" customWidth="1"/>
    <col min="7439" max="7439" width="7.125" style="3064" customWidth="1"/>
    <col min="7440" max="7440" width="33.625" style="3064" customWidth="1"/>
    <col min="7441" max="7441" width="9" style="3064" customWidth="1"/>
    <col min="7442" max="7680" width="8.875" style="3064"/>
    <col min="7681" max="7681" width="30.5" style="3064" customWidth="1"/>
    <col min="7682" max="7682" width="9" style="3064" customWidth="1"/>
    <col min="7683" max="7683" width="13.375" style="3064" customWidth="1"/>
    <col min="7684" max="7685" width="15.875" style="3064" customWidth="1"/>
    <col min="7686" max="7686" width="16.375" style="3064" customWidth="1"/>
    <col min="7687" max="7687" width="9" style="3064" customWidth="1"/>
    <col min="7688" max="7688" width="18.5" style="3064" customWidth="1"/>
    <col min="7689" max="7690" width="10.25" style="3064" customWidth="1"/>
    <col min="7691" max="7692" width="12.125" style="3064" customWidth="1"/>
    <col min="7693" max="7694" width="16.375" style="3064" customWidth="1"/>
    <col min="7695" max="7695" width="7.125" style="3064" customWidth="1"/>
    <col min="7696" max="7696" width="33.625" style="3064" customWidth="1"/>
    <col min="7697" max="7697" width="9" style="3064" customWidth="1"/>
    <col min="7698" max="7936" width="8.875" style="3064"/>
    <col min="7937" max="7937" width="30.5" style="3064" customWidth="1"/>
    <col min="7938" max="7938" width="9" style="3064" customWidth="1"/>
    <col min="7939" max="7939" width="13.375" style="3064" customWidth="1"/>
    <col min="7940" max="7941" width="15.875" style="3064" customWidth="1"/>
    <col min="7942" max="7942" width="16.375" style="3064" customWidth="1"/>
    <col min="7943" max="7943" width="9" style="3064" customWidth="1"/>
    <col min="7944" max="7944" width="18.5" style="3064" customWidth="1"/>
    <col min="7945" max="7946" width="10.25" style="3064" customWidth="1"/>
    <col min="7947" max="7948" width="12.125" style="3064" customWidth="1"/>
    <col min="7949" max="7950" width="16.375" style="3064" customWidth="1"/>
    <col min="7951" max="7951" width="7.125" style="3064" customWidth="1"/>
    <col min="7952" max="7952" width="33.625" style="3064" customWidth="1"/>
    <col min="7953" max="7953" width="9" style="3064" customWidth="1"/>
    <col min="7954" max="8192" width="8.875" style="3064"/>
    <col min="8193" max="8193" width="30.5" style="3064" customWidth="1"/>
    <col min="8194" max="8194" width="9" style="3064" customWidth="1"/>
    <col min="8195" max="8195" width="13.375" style="3064" customWidth="1"/>
    <col min="8196" max="8197" width="15.875" style="3064" customWidth="1"/>
    <col min="8198" max="8198" width="16.375" style="3064" customWidth="1"/>
    <col min="8199" max="8199" width="9" style="3064" customWidth="1"/>
    <col min="8200" max="8200" width="18.5" style="3064" customWidth="1"/>
    <col min="8201" max="8202" width="10.25" style="3064" customWidth="1"/>
    <col min="8203" max="8204" width="12.125" style="3064" customWidth="1"/>
    <col min="8205" max="8206" width="16.375" style="3064" customWidth="1"/>
    <col min="8207" max="8207" width="7.125" style="3064" customWidth="1"/>
    <col min="8208" max="8208" width="33.625" style="3064" customWidth="1"/>
    <col min="8209" max="8209" width="9" style="3064" customWidth="1"/>
    <col min="8210" max="8448" width="8.875" style="3064"/>
    <col min="8449" max="8449" width="30.5" style="3064" customWidth="1"/>
    <col min="8450" max="8450" width="9" style="3064" customWidth="1"/>
    <col min="8451" max="8451" width="13.375" style="3064" customWidth="1"/>
    <col min="8452" max="8453" width="15.875" style="3064" customWidth="1"/>
    <col min="8454" max="8454" width="16.375" style="3064" customWidth="1"/>
    <col min="8455" max="8455" width="9" style="3064" customWidth="1"/>
    <col min="8456" max="8456" width="18.5" style="3064" customWidth="1"/>
    <col min="8457" max="8458" width="10.25" style="3064" customWidth="1"/>
    <col min="8459" max="8460" width="12.125" style="3064" customWidth="1"/>
    <col min="8461" max="8462" width="16.375" style="3064" customWidth="1"/>
    <col min="8463" max="8463" width="7.125" style="3064" customWidth="1"/>
    <col min="8464" max="8464" width="33.625" style="3064" customWidth="1"/>
    <col min="8465" max="8465" width="9" style="3064" customWidth="1"/>
    <col min="8466" max="8704" width="8.875" style="3064"/>
    <col min="8705" max="8705" width="30.5" style="3064" customWidth="1"/>
    <col min="8706" max="8706" width="9" style="3064" customWidth="1"/>
    <col min="8707" max="8707" width="13.375" style="3064" customWidth="1"/>
    <col min="8708" max="8709" width="15.875" style="3064" customWidth="1"/>
    <col min="8710" max="8710" width="16.375" style="3064" customWidth="1"/>
    <col min="8711" max="8711" width="9" style="3064" customWidth="1"/>
    <col min="8712" max="8712" width="18.5" style="3064" customWidth="1"/>
    <col min="8713" max="8714" width="10.25" style="3064" customWidth="1"/>
    <col min="8715" max="8716" width="12.125" style="3064" customWidth="1"/>
    <col min="8717" max="8718" width="16.375" style="3064" customWidth="1"/>
    <col min="8719" max="8719" width="7.125" style="3064" customWidth="1"/>
    <col min="8720" max="8720" width="33.625" style="3064" customWidth="1"/>
    <col min="8721" max="8721" width="9" style="3064" customWidth="1"/>
    <col min="8722" max="8960" width="8.875" style="3064"/>
    <col min="8961" max="8961" width="30.5" style="3064" customWidth="1"/>
    <col min="8962" max="8962" width="9" style="3064" customWidth="1"/>
    <col min="8963" max="8963" width="13.375" style="3064" customWidth="1"/>
    <col min="8964" max="8965" width="15.875" style="3064" customWidth="1"/>
    <col min="8966" max="8966" width="16.375" style="3064" customWidth="1"/>
    <col min="8967" max="8967" width="9" style="3064" customWidth="1"/>
    <col min="8968" max="8968" width="18.5" style="3064" customWidth="1"/>
    <col min="8969" max="8970" width="10.25" style="3064" customWidth="1"/>
    <col min="8971" max="8972" width="12.125" style="3064" customWidth="1"/>
    <col min="8973" max="8974" width="16.375" style="3064" customWidth="1"/>
    <col min="8975" max="8975" width="7.125" style="3064" customWidth="1"/>
    <col min="8976" max="8976" width="33.625" style="3064" customWidth="1"/>
    <col min="8977" max="8977" width="9" style="3064" customWidth="1"/>
    <col min="8978" max="9216" width="8.875" style="3064"/>
    <col min="9217" max="9217" width="30.5" style="3064" customWidth="1"/>
    <col min="9218" max="9218" width="9" style="3064" customWidth="1"/>
    <col min="9219" max="9219" width="13.375" style="3064" customWidth="1"/>
    <col min="9220" max="9221" width="15.875" style="3064" customWidth="1"/>
    <col min="9222" max="9222" width="16.375" style="3064" customWidth="1"/>
    <col min="9223" max="9223" width="9" style="3064" customWidth="1"/>
    <col min="9224" max="9224" width="18.5" style="3064" customWidth="1"/>
    <col min="9225" max="9226" width="10.25" style="3064" customWidth="1"/>
    <col min="9227" max="9228" width="12.125" style="3064" customWidth="1"/>
    <col min="9229" max="9230" width="16.375" style="3064" customWidth="1"/>
    <col min="9231" max="9231" width="7.125" style="3064" customWidth="1"/>
    <col min="9232" max="9232" width="33.625" style="3064" customWidth="1"/>
    <col min="9233" max="9233" width="9" style="3064" customWidth="1"/>
    <col min="9234" max="9472" width="8.875" style="3064"/>
    <col min="9473" max="9473" width="30.5" style="3064" customWidth="1"/>
    <col min="9474" max="9474" width="9" style="3064" customWidth="1"/>
    <col min="9475" max="9475" width="13.375" style="3064" customWidth="1"/>
    <col min="9476" max="9477" width="15.875" style="3064" customWidth="1"/>
    <col min="9478" max="9478" width="16.375" style="3064" customWidth="1"/>
    <col min="9479" max="9479" width="9" style="3064" customWidth="1"/>
    <col min="9480" max="9480" width="18.5" style="3064" customWidth="1"/>
    <col min="9481" max="9482" width="10.25" style="3064" customWidth="1"/>
    <col min="9483" max="9484" width="12.125" style="3064" customWidth="1"/>
    <col min="9485" max="9486" width="16.375" style="3064" customWidth="1"/>
    <col min="9487" max="9487" width="7.125" style="3064" customWidth="1"/>
    <col min="9488" max="9488" width="33.625" style="3064" customWidth="1"/>
    <col min="9489" max="9489" width="9" style="3064" customWidth="1"/>
    <col min="9490" max="9728" width="8.875" style="3064"/>
    <col min="9729" max="9729" width="30.5" style="3064" customWidth="1"/>
    <col min="9730" max="9730" width="9" style="3064" customWidth="1"/>
    <col min="9731" max="9731" width="13.375" style="3064" customWidth="1"/>
    <col min="9732" max="9733" width="15.875" style="3064" customWidth="1"/>
    <col min="9734" max="9734" width="16.375" style="3064" customWidth="1"/>
    <col min="9735" max="9735" width="9" style="3064" customWidth="1"/>
    <col min="9736" max="9736" width="18.5" style="3064" customWidth="1"/>
    <col min="9737" max="9738" width="10.25" style="3064" customWidth="1"/>
    <col min="9739" max="9740" width="12.125" style="3064" customWidth="1"/>
    <col min="9741" max="9742" width="16.375" style="3064" customWidth="1"/>
    <col min="9743" max="9743" width="7.125" style="3064" customWidth="1"/>
    <col min="9744" max="9744" width="33.625" style="3064" customWidth="1"/>
    <col min="9745" max="9745" width="9" style="3064" customWidth="1"/>
    <col min="9746" max="9984" width="8.875" style="3064"/>
    <col min="9985" max="9985" width="30.5" style="3064" customWidth="1"/>
    <col min="9986" max="9986" width="9" style="3064" customWidth="1"/>
    <col min="9987" max="9987" width="13.375" style="3064" customWidth="1"/>
    <col min="9988" max="9989" width="15.875" style="3064" customWidth="1"/>
    <col min="9990" max="9990" width="16.375" style="3064" customWidth="1"/>
    <col min="9991" max="9991" width="9" style="3064" customWidth="1"/>
    <col min="9992" max="9992" width="18.5" style="3064" customWidth="1"/>
    <col min="9993" max="9994" width="10.25" style="3064" customWidth="1"/>
    <col min="9995" max="9996" width="12.125" style="3064" customWidth="1"/>
    <col min="9997" max="9998" width="16.375" style="3064" customWidth="1"/>
    <col min="9999" max="9999" width="7.125" style="3064" customWidth="1"/>
    <col min="10000" max="10000" width="33.625" style="3064" customWidth="1"/>
    <col min="10001" max="10001" width="9" style="3064" customWidth="1"/>
    <col min="10002" max="10240" width="8.875" style="3064"/>
    <col min="10241" max="10241" width="30.5" style="3064" customWidth="1"/>
    <col min="10242" max="10242" width="9" style="3064" customWidth="1"/>
    <col min="10243" max="10243" width="13.375" style="3064" customWidth="1"/>
    <col min="10244" max="10245" width="15.875" style="3064" customWidth="1"/>
    <col min="10246" max="10246" width="16.375" style="3064" customWidth="1"/>
    <col min="10247" max="10247" width="9" style="3064" customWidth="1"/>
    <col min="10248" max="10248" width="18.5" style="3064" customWidth="1"/>
    <col min="10249" max="10250" width="10.25" style="3064" customWidth="1"/>
    <col min="10251" max="10252" width="12.125" style="3064" customWidth="1"/>
    <col min="10253" max="10254" width="16.375" style="3064" customWidth="1"/>
    <col min="10255" max="10255" width="7.125" style="3064" customWidth="1"/>
    <col min="10256" max="10256" width="33.625" style="3064" customWidth="1"/>
    <col min="10257" max="10257" width="9" style="3064" customWidth="1"/>
    <col min="10258" max="10496" width="8.875" style="3064"/>
    <col min="10497" max="10497" width="30.5" style="3064" customWidth="1"/>
    <col min="10498" max="10498" width="9" style="3064" customWidth="1"/>
    <col min="10499" max="10499" width="13.375" style="3064" customWidth="1"/>
    <col min="10500" max="10501" width="15.875" style="3064" customWidth="1"/>
    <col min="10502" max="10502" width="16.375" style="3064" customWidth="1"/>
    <col min="10503" max="10503" width="9" style="3064" customWidth="1"/>
    <col min="10504" max="10504" width="18.5" style="3064" customWidth="1"/>
    <col min="10505" max="10506" width="10.25" style="3064" customWidth="1"/>
    <col min="10507" max="10508" width="12.125" style="3064" customWidth="1"/>
    <col min="10509" max="10510" width="16.375" style="3064" customWidth="1"/>
    <col min="10511" max="10511" width="7.125" style="3064" customWidth="1"/>
    <col min="10512" max="10512" width="33.625" style="3064" customWidth="1"/>
    <col min="10513" max="10513" width="9" style="3064" customWidth="1"/>
    <col min="10514" max="10752" width="8.875" style="3064"/>
    <col min="10753" max="10753" width="30.5" style="3064" customWidth="1"/>
    <col min="10754" max="10754" width="9" style="3064" customWidth="1"/>
    <col min="10755" max="10755" width="13.375" style="3064" customWidth="1"/>
    <col min="10756" max="10757" width="15.875" style="3064" customWidth="1"/>
    <col min="10758" max="10758" width="16.375" style="3064" customWidth="1"/>
    <col min="10759" max="10759" width="9" style="3064" customWidth="1"/>
    <col min="10760" max="10760" width="18.5" style="3064" customWidth="1"/>
    <col min="10761" max="10762" width="10.25" style="3064" customWidth="1"/>
    <col min="10763" max="10764" width="12.125" style="3064" customWidth="1"/>
    <col min="10765" max="10766" width="16.375" style="3064" customWidth="1"/>
    <col min="10767" max="10767" width="7.125" style="3064" customWidth="1"/>
    <col min="10768" max="10768" width="33.625" style="3064" customWidth="1"/>
    <col min="10769" max="10769" width="9" style="3064" customWidth="1"/>
    <col min="10770" max="11008" width="8.875" style="3064"/>
    <col min="11009" max="11009" width="30.5" style="3064" customWidth="1"/>
    <col min="11010" max="11010" width="9" style="3064" customWidth="1"/>
    <col min="11011" max="11011" width="13.375" style="3064" customWidth="1"/>
    <col min="11012" max="11013" width="15.875" style="3064" customWidth="1"/>
    <col min="11014" max="11014" width="16.375" style="3064" customWidth="1"/>
    <col min="11015" max="11015" width="9" style="3064" customWidth="1"/>
    <col min="11016" max="11016" width="18.5" style="3064" customWidth="1"/>
    <col min="11017" max="11018" width="10.25" style="3064" customWidth="1"/>
    <col min="11019" max="11020" width="12.125" style="3064" customWidth="1"/>
    <col min="11021" max="11022" width="16.375" style="3064" customWidth="1"/>
    <col min="11023" max="11023" width="7.125" style="3064" customWidth="1"/>
    <col min="11024" max="11024" width="33.625" style="3064" customWidth="1"/>
    <col min="11025" max="11025" width="9" style="3064" customWidth="1"/>
    <col min="11026" max="11264" width="8.875" style="3064"/>
    <col min="11265" max="11265" width="30.5" style="3064" customWidth="1"/>
    <col min="11266" max="11266" width="9" style="3064" customWidth="1"/>
    <col min="11267" max="11267" width="13.375" style="3064" customWidth="1"/>
    <col min="11268" max="11269" width="15.875" style="3064" customWidth="1"/>
    <col min="11270" max="11270" width="16.375" style="3064" customWidth="1"/>
    <col min="11271" max="11271" width="9" style="3064" customWidth="1"/>
    <col min="11272" max="11272" width="18.5" style="3064" customWidth="1"/>
    <col min="11273" max="11274" width="10.25" style="3064" customWidth="1"/>
    <col min="11275" max="11276" width="12.125" style="3064" customWidth="1"/>
    <col min="11277" max="11278" width="16.375" style="3064" customWidth="1"/>
    <col min="11279" max="11279" width="7.125" style="3064" customWidth="1"/>
    <col min="11280" max="11280" width="33.625" style="3064" customWidth="1"/>
    <col min="11281" max="11281" width="9" style="3064" customWidth="1"/>
    <col min="11282" max="11520" width="8.875" style="3064"/>
    <col min="11521" max="11521" width="30.5" style="3064" customWidth="1"/>
    <col min="11522" max="11522" width="9" style="3064" customWidth="1"/>
    <col min="11523" max="11523" width="13.375" style="3064" customWidth="1"/>
    <col min="11524" max="11525" width="15.875" style="3064" customWidth="1"/>
    <col min="11526" max="11526" width="16.375" style="3064" customWidth="1"/>
    <col min="11527" max="11527" width="9" style="3064" customWidth="1"/>
    <col min="11528" max="11528" width="18.5" style="3064" customWidth="1"/>
    <col min="11529" max="11530" width="10.25" style="3064" customWidth="1"/>
    <col min="11531" max="11532" width="12.125" style="3064" customWidth="1"/>
    <col min="11533" max="11534" width="16.375" style="3064" customWidth="1"/>
    <col min="11535" max="11535" width="7.125" style="3064" customWidth="1"/>
    <col min="11536" max="11536" width="33.625" style="3064" customWidth="1"/>
    <col min="11537" max="11537" width="9" style="3064" customWidth="1"/>
    <col min="11538" max="11776" width="8.875" style="3064"/>
    <col min="11777" max="11777" width="30.5" style="3064" customWidth="1"/>
    <col min="11778" max="11778" width="9" style="3064" customWidth="1"/>
    <col min="11779" max="11779" width="13.375" style="3064" customWidth="1"/>
    <col min="11780" max="11781" width="15.875" style="3064" customWidth="1"/>
    <col min="11782" max="11782" width="16.375" style="3064" customWidth="1"/>
    <col min="11783" max="11783" width="9" style="3064" customWidth="1"/>
    <col min="11784" max="11784" width="18.5" style="3064" customWidth="1"/>
    <col min="11785" max="11786" width="10.25" style="3064" customWidth="1"/>
    <col min="11787" max="11788" width="12.125" style="3064" customWidth="1"/>
    <col min="11789" max="11790" width="16.375" style="3064" customWidth="1"/>
    <col min="11791" max="11791" width="7.125" style="3064" customWidth="1"/>
    <col min="11792" max="11792" width="33.625" style="3064" customWidth="1"/>
    <col min="11793" max="11793" width="9" style="3064" customWidth="1"/>
    <col min="11794" max="12032" width="8.875" style="3064"/>
    <col min="12033" max="12033" width="30.5" style="3064" customWidth="1"/>
    <col min="12034" max="12034" width="9" style="3064" customWidth="1"/>
    <col min="12035" max="12035" width="13.375" style="3064" customWidth="1"/>
    <col min="12036" max="12037" width="15.875" style="3064" customWidth="1"/>
    <col min="12038" max="12038" width="16.375" style="3064" customWidth="1"/>
    <col min="12039" max="12039" width="9" style="3064" customWidth="1"/>
    <col min="12040" max="12040" width="18.5" style="3064" customWidth="1"/>
    <col min="12041" max="12042" width="10.25" style="3064" customWidth="1"/>
    <col min="12043" max="12044" width="12.125" style="3064" customWidth="1"/>
    <col min="12045" max="12046" width="16.375" style="3064" customWidth="1"/>
    <col min="12047" max="12047" width="7.125" style="3064" customWidth="1"/>
    <col min="12048" max="12048" width="33.625" style="3064" customWidth="1"/>
    <col min="12049" max="12049" width="9" style="3064" customWidth="1"/>
    <col min="12050" max="12288" width="8.875" style="3064"/>
    <col min="12289" max="12289" width="30.5" style="3064" customWidth="1"/>
    <col min="12290" max="12290" width="9" style="3064" customWidth="1"/>
    <col min="12291" max="12291" width="13.375" style="3064" customWidth="1"/>
    <col min="12292" max="12293" width="15.875" style="3064" customWidth="1"/>
    <col min="12294" max="12294" width="16.375" style="3064" customWidth="1"/>
    <col min="12295" max="12295" width="9" style="3064" customWidth="1"/>
    <col min="12296" max="12296" width="18.5" style="3064" customWidth="1"/>
    <col min="12297" max="12298" width="10.25" style="3064" customWidth="1"/>
    <col min="12299" max="12300" width="12.125" style="3064" customWidth="1"/>
    <col min="12301" max="12302" width="16.375" style="3064" customWidth="1"/>
    <col min="12303" max="12303" width="7.125" style="3064" customWidth="1"/>
    <col min="12304" max="12304" width="33.625" style="3064" customWidth="1"/>
    <col min="12305" max="12305" width="9" style="3064" customWidth="1"/>
    <col min="12306" max="12544" width="8.875" style="3064"/>
    <col min="12545" max="12545" width="30.5" style="3064" customWidth="1"/>
    <col min="12546" max="12546" width="9" style="3064" customWidth="1"/>
    <col min="12547" max="12547" width="13.375" style="3064" customWidth="1"/>
    <col min="12548" max="12549" width="15.875" style="3064" customWidth="1"/>
    <col min="12550" max="12550" width="16.375" style="3064" customWidth="1"/>
    <col min="12551" max="12551" width="9" style="3064" customWidth="1"/>
    <col min="12552" max="12552" width="18.5" style="3064" customWidth="1"/>
    <col min="12553" max="12554" width="10.25" style="3064" customWidth="1"/>
    <col min="12555" max="12556" width="12.125" style="3064" customWidth="1"/>
    <col min="12557" max="12558" width="16.375" style="3064" customWidth="1"/>
    <col min="12559" max="12559" width="7.125" style="3064" customWidth="1"/>
    <col min="12560" max="12560" width="33.625" style="3064" customWidth="1"/>
    <col min="12561" max="12561" width="9" style="3064" customWidth="1"/>
    <col min="12562" max="12800" width="8.875" style="3064"/>
    <col min="12801" max="12801" width="30.5" style="3064" customWidth="1"/>
    <col min="12802" max="12802" width="9" style="3064" customWidth="1"/>
    <col min="12803" max="12803" width="13.375" style="3064" customWidth="1"/>
    <col min="12804" max="12805" width="15.875" style="3064" customWidth="1"/>
    <col min="12806" max="12806" width="16.375" style="3064" customWidth="1"/>
    <col min="12807" max="12807" width="9" style="3064" customWidth="1"/>
    <col min="12808" max="12808" width="18.5" style="3064" customWidth="1"/>
    <col min="12809" max="12810" width="10.25" style="3064" customWidth="1"/>
    <col min="12811" max="12812" width="12.125" style="3064" customWidth="1"/>
    <col min="12813" max="12814" width="16.375" style="3064" customWidth="1"/>
    <col min="12815" max="12815" width="7.125" style="3064" customWidth="1"/>
    <col min="12816" max="12816" width="33.625" style="3064" customWidth="1"/>
    <col min="12817" max="12817" width="9" style="3064" customWidth="1"/>
    <col min="12818" max="13056" width="8.875" style="3064"/>
    <col min="13057" max="13057" width="30.5" style="3064" customWidth="1"/>
    <col min="13058" max="13058" width="9" style="3064" customWidth="1"/>
    <col min="13059" max="13059" width="13.375" style="3064" customWidth="1"/>
    <col min="13060" max="13061" width="15.875" style="3064" customWidth="1"/>
    <col min="13062" max="13062" width="16.375" style="3064" customWidth="1"/>
    <col min="13063" max="13063" width="9" style="3064" customWidth="1"/>
    <col min="13064" max="13064" width="18.5" style="3064" customWidth="1"/>
    <col min="13065" max="13066" width="10.25" style="3064" customWidth="1"/>
    <col min="13067" max="13068" width="12.125" style="3064" customWidth="1"/>
    <col min="13069" max="13070" width="16.375" style="3064" customWidth="1"/>
    <col min="13071" max="13071" width="7.125" style="3064" customWidth="1"/>
    <col min="13072" max="13072" width="33.625" style="3064" customWidth="1"/>
    <col min="13073" max="13073" width="9" style="3064" customWidth="1"/>
    <col min="13074" max="13312" width="8.875" style="3064"/>
    <col min="13313" max="13313" width="30.5" style="3064" customWidth="1"/>
    <col min="13314" max="13314" width="9" style="3064" customWidth="1"/>
    <col min="13315" max="13315" width="13.375" style="3064" customWidth="1"/>
    <col min="13316" max="13317" width="15.875" style="3064" customWidth="1"/>
    <col min="13318" max="13318" width="16.375" style="3064" customWidth="1"/>
    <col min="13319" max="13319" width="9" style="3064" customWidth="1"/>
    <col min="13320" max="13320" width="18.5" style="3064" customWidth="1"/>
    <col min="13321" max="13322" width="10.25" style="3064" customWidth="1"/>
    <col min="13323" max="13324" width="12.125" style="3064" customWidth="1"/>
    <col min="13325" max="13326" width="16.375" style="3064" customWidth="1"/>
    <col min="13327" max="13327" width="7.125" style="3064" customWidth="1"/>
    <col min="13328" max="13328" width="33.625" style="3064" customWidth="1"/>
    <col min="13329" max="13329" width="9" style="3064" customWidth="1"/>
    <col min="13330" max="13568" width="8.875" style="3064"/>
    <col min="13569" max="13569" width="30.5" style="3064" customWidth="1"/>
    <col min="13570" max="13570" width="9" style="3064" customWidth="1"/>
    <col min="13571" max="13571" width="13.375" style="3064" customWidth="1"/>
    <col min="13572" max="13573" width="15.875" style="3064" customWidth="1"/>
    <col min="13574" max="13574" width="16.375" style="3064" customWidth="1"/>
    <col min="13575" max="13575" width="9" style="3064" customWidth="1"/>
    <col min="13576" max="13576" width="18.5" style="3064" customWidth="1"/>
    <col min="13577" max="13578" width="10.25" style="3064" customWidth="1"/>
    <col min="13579" max="13580" width="12.125" style="3064" customWidth="1"/>
    <col min="13581" max="13582" width="16.375" style="3064" customWidth="1"/>
    <col min="13583" max="13583" width="7.125" style="3064" customWidth="1"/>
    <col min="13584" max="13584" width="33.625" style="3064" customWidth="1"/>
    <col min="13585" max="13585" width="9" style="3064" customWidth="1"/>
    <col min="13586" max="13824" width="8.875" style="3064"/>
    <col min="13825" max="13825" width="30.5" style="3064" customWidth="1"/>
    <col min="13826" max="13826" width="9" style="3064" customWidth="1"/>
    <col min="13827" max="13827" width="13.375" style="3064" customWidth="1"/>
    <col min="13828" max="13829" width="15.875" style="3064" customWidth="1"/>
    <col min="13830" max="13830" width="16.375" style="3064" customWidth="1"/>
    <col min="13831" max="13831" width="9" style="3064" customWidth="1"/>
    <col min="13832" max="13832" width="18.5" style="3064" customWidth="1"/>
    <col min="13833" max="13834" width="10.25" style="3064" customWidth="1"/>
    <col min="13835" max="13836" width="12.125" style="3064" customWidth="1"/>
    <col min="13837" max="13838" width="16.375" style="3064" customWidth="1"/>
    <col min="13839" max="13839" width="7.125" style="3064" customWidth="1"/>
    <col min="13840" max="13840" width="33.625" style="3064" customWidth="1"/>
    <col min="13841" max="13841" width="9" style="3064" customWidth="1"/>
    <col min="13842" max="14080" width="8.875" style="3064"/>
    <col min="14081" max="14081" width="30.5" style="3064" customWidth="1"/>
    <col min="14082" max="14082" width="9" style="3064" customWidth="1"/>
    <col min="14083" max="14083" width="13.375" style="3064" customWidth="1"/>
    <col min="14084" max="14085" width="15.875" style="3064" customWidth="1"/>
    <col min="14086" max="14086" width="16.375" style="3064" customWidth="1"/>
    <col min="14087" max="14087" width="9" style="3064" customWidth="1"/>
    <col min="14088" max="14088" width="18.5" style="3064" customWidth="1"/>
    <col min="14089" max="14090" width="10.25" style="3064" customWidth="1"/>
    <col min="14091" max="14092" width="12.125" style="3064" customWidth="1"/>
    <col min="14093" max="14094" width="16.375" style="3064" customWidth="1"/>
    <col min="14095" max="14095" width="7.125" style="3064" customWidth="1"/>
    <col min="14096" max="14096" width="33.625" style="3064" customWidth="1"/>
    <col min="14097" max="14097" width="9" style="3064" customWidth="1"/>
    <col min="14098" max="14336" width="8.875" style="3064"/>
    <col min="14337" max="14337" width="30.5" style="3064" customWidth="1"/>
    <col min="14338" max="14338" width="9" style="3064" customWidth="1"/>
    <col min="14339" max="14339" width="13.375" style="3064" customWidth="1"/>
    <col min="14340" max="14341" width="15.875" style="3064" customWidth="1"/>
    <col min="14342" max="14342" width="16.375" style="3064" customWidth="1"/>
    <col min="14343" max="14343" width="9" style="3064" customWidth="1"/>
    <col min="14344" max="14344" width="18.5" style="3064" customWidth="1"/>
    <col min="14345" max="14346" width="10.25" style="3064" customWidth="1"/>
    <col min="14347" max="14348" width="12.125" style="3064" customWidth="1"/>
    <col min="14349" max="14350" width="16.375" style="3064" customWidth="1"/>
    <col min="14351" max="14351" width="7.125" style="3064" customWidth="1"/>
    <col min="14352" max="14352" width="33.625" style="3064" customWidth="1"/>
    <col min="14353" max="14353" width="9" style="3064" customWidth="1"/>
    <col min="14354" max="14592" width="8.875" style="3064"/>
    <col min="14593" max="14593" width="30.5" style="3064" customWidth="1"/>
    <col min="14594" max="14594" width="9" style="3064" customWidth="1"/>
    <col min="14595" max="14595" width="13.375" style="3064" customWidth="1"/>
    <col min="14596" max="14597" width="15.875" style="3064" customWidth="1"/>
    <col min="14598" max="14598" width="16.375" style="3064" customWidth="1"/>
    <col min="14599" max="14599" width="9" style="3064" customWidth="1"/>
    <col min="14600" max="14600" width="18.5" style="3064" customWidth="1"/>
    <col min="14601" max="14602" width="10.25" style="3064" customWidth="1"/>
    <col min="14603" max="14604" width="12.125" style="3064" customWidth="1"/>
    <col min="14605" max="14606" width="16.375" style="3064" customWidth="1"/>
    <col min="14607" max="14607" width="7.125" style="3064" customWidth="1"/>
    <col min="14608" max="14608" width="33.625" style="3064" customWidth="1"/>
    <col min="14609" max="14609" width="9" style="3064" customWidth="1"/>
    <col min="14610" max="14848" width="8.875" style="3064"/>
    <col min="14849" max="14849" width="30.5" style="3064" customWidth="1"/>
    <col min="14850" max="14850" width="9" style="3064" customWidth="1"/>
    <col min="14851" max="14851" width="13.375" style="3064" customWidth="1"/>
    <col min="14852" max="14853" width="15.875" style="3064" customWidth="1"/>
    <col min="14854" max="14854" width="16.375" style="3064" customWidth="1"/>
    <col min="14855" max="14855" width="9" style="3064" customWidth="1"/>
    <col min="14856" max="14856" width="18.5" style="3064" customWidth="1"/>
    <col min="14857" max="14858" width="10.25" style="3064" customWidth="1"/>
    <col min="14859" max="14860" width="12.125" style="3064" customWidth="1"/>
    <col min="14861" max="14862" width="16.375" style="3064" customWidth="1"/>
    <col min="14863" max="14863" width="7.125" style="3064" customWidth="1"/>
    <col min="14864" max="14864" width="33.625" style="3064" customWidth="1"/>
    <col min="14865" max="14865" width="9" style="3064" customWidth="1"/>
    <col min="14866" max="15104" width="8.875" style="3064"/>
    <col min="15105" max="15105" width="30.5" style="3064" customWidth="1"/>
    <col min="15106" max="15106" width="9" style="3064" customWidth="1"/>
    <col min="15107" max="15107" width="13.375" style="3064" customWidth="1"/>
    <col min="15108" max="15109" width="15.875" style="3064" customWidth="1"/>
    <col min="15110" max="15110" width="16.375" style="3064" customWidth="1"/>
    <col min="15111" max="15111" width="9" style="3064" customWidth="1"/>
    <col min="15112" max="15112" width="18.5" style="3064" customWidth="1"/>
    <col min="15113" max="15114" width="10.25" style="3064" customWidth="1"/>
    <col min="15115" max="15116" width="12.125" style="3064" customWidth="1"/>
    <col min="15117" max="15118" width="16.375" style="3064" customWidth="1"/>
    <col min="15119" max="15119" width="7.125" style="3064" customWidth="1"/>
    <col min="15120" max="15120" width="33.625" style="3064" customWidth="1"/>
    <col min="15121" max="15121" width="9" style="3064" customWidth="1"/>
    <col min="15122" max="15360" width="8.875" style="3064"/>
    <col min="15361" max="15361" width="30.5" style="3064" customWidth="1"/>
    <col min="15362" max="15362" width="9" style="3064" customWidth="1"/>
    <col min="15363" max="15363" width="13.375" style="3064" customWidth="1"/>
    <col min="15364" max="15365" width="15.875" style="3064" customWidth="1"/>
    <col min="15366" max="15366" width="16.375" style="3064" customWidth="1"/>
    <col min="15367" max="15367" width="9" style="3064" customWidth="1"/>
    <col min="15368" max="15368" width="18.5" style="3064" customWidth="1"/>
    <col min="15369" max="15370" width="10.25" style="3064" customWidth="1"/>
    <col min="15371" max="15372" width="12.125" style="3064" customWidth="1"/>
    <col min="15373" max="15374" width="16.375" style="3064" customWidth="1"/>
    <col min="15375" max="15375" width="7.125" style="3064" customWidth="1"/>
    <col min="15376" max="15376" width="33.625" style="3064" customWidth="1"/>
    <col min="15377" max="15377" width="9" style="3064" customWidth="1"/>
    <col min="15378" max="15616" width="8.875" style="3064"/>
    <col min="15617" max="15617" width="30.5" style="3064" customWidth="1"/>
    <col min="15618" max="15618" width="9" style="3064" customWidth="1"/>
    <col min="15619" max="15619" width="13.375" style="3064" customWidth="1"/>
    <col min="15620" max="15621" width="15.875" style="3064" customWidth="1"/>
    <col min="15622" max="15622" width="16.375" style="3064" customWidth="1"/>
    <col min="15623" max="15623" width="9" style="3064" customWidth="1"/>
    <col min="15624" max="15624" width="18.5" style="3064" customWidth="1"/>
    <col min="15625" max="15626" width="10.25" style="3064" customWidth="1"/>
    <col min="15627" max="15628" width="12.125" style="3064" customWidth="1"/>
    <col min="15629" max="15630" width="16.375" style="3064" customWidth="1"/>
    <col min="15631" max="15631" width="7.125" style="3064" customWidth="1"/>
    <col min="15632" max="15632" width="33.625" style="3064" customWidth="1"/>
    <col min="15633" max="15633" width="9" style="3064" customWidth="1"/>
    <col min="15634" max="15872" width="8.875" style="3064"/>
    <col min="15873" max="15873" width="30.5" style="3064" customWidth="1"/>
    <col min="15874" max="15874" width="9" style="3064" customWidth="1"/>
    <col min="15875" max="15875" width="13.375" style="3064" customWidth="1"/>
    <col min="15876" max="15877" width="15.875" style="3064" customWidth="1"/>
    <col min="15878" max="15878" width="16.375" style="3064" customWidth="1"/>
    <col min="15879" max="15879" width="9" style="3064" customWidth="1"/>
    <col min="15880" max="15880" width="18.5" style="3064" customWidth="1"/>
    <col min="15881" max="15882" width="10.25" style="3064" customWidth="1"/>
    <col min="15883" max="15884" width="12.125" style="3064" customWidth="1"/>
    <col min="15885" max="15886" width="16.375" style="3064" customWidth="1"/>
    <col min="15887" max="15887" width="7.125" style="3064" customWidth="1"/>
    <col min="15888" max="15888" width="33.625" style="3064" customWidth="1"/>
    <col min="15889" max="15889" width="9" style="3064" customWidth="1"/>
    <col min="15890" max="16128" width="8.875" style="3064"/>
    <col min="16129" max="16129" width="30.5" style="3064" customWidth="1"/>
    <col min="16130" max="16130" width="9" style="3064" customWidth="1"/>
    <col min="16131" max="16131" width="13.375" style="3064" customWidth="1"/>
    <col min="16132" max="16133" width="15.875" style="3064" customWidth="1"/>
    <col min="16134" max="16134" width="16.375" style="3064" customWidth="1"/>
    <col min="16135" max="16135" width="9" style="3064" customWidth="1"/>
    <col min="16136" max="16136" width="18.5" style="3064" customWidth="1"/>
    <col min="16137" max="16138" width="10.25" style="3064" customWidth="1"/>
    <col min="16139" max="16140" width="12.125" style="3064" customWidth="1"/>
    <col min="16141" max="16142" width="16.375" style="3064" customWidth="1"/>
    <col min="16143" max="16143" width="7.125" style="3064" customWidth="1"/>
    <col min="16144" max="16144" width="33.625" style="3064" customWidth="1"/>
    <col min="16145" max="16145" width="9" style="3064" customWidth="1"/>
    <col min="16146" max="16384" width="8.875" style="3064"/>
  </cols>
  <sheetData>
    <row r="1" spans="1:17">
      <c r="A1" s="3064" t="s">
        <v>3093</v>
      </c>
      <c r="B1" s="3064" t="s">
        <v>3094</v>
      </c>
      <c r="C1" s="3064" t="s">
        <v>3095</v>
      </c>
      <c r="D1" s="3064" t="s">
        <v>3096</v>
      </c>
      <c r="E1" s="3064" t="s">
        <v>3097</v>
      </c>
      <c r="F1" s="3064" t="s">
        <v>3098</v>
      </c>
      <c r="G1" s="3064" t="s">
        <v>3099</v>
      </c>
      <c r="H1" s="3064" t="s">
        <v>3100</v>
      </c>
      <c r="I1" s="3064" t="s">
        <v>3101</v>
      </c>
      <c r="J1" s="3064" t="s">
        <v>3102</v>
      </c>
      <c r="K1" s="3064" t="s">
        <v>3103</v>
      </c>
      <c r="L1" s="3064" t="s">
        <v>3104</v>
      </c>
      <c r="M1" s="3064" t="s">
        <v>3105</v>
      </c>
      <c r="N1" s="3065" t="s">
        <v>3106</v>
      </c>
      <c r="O1" s="3064" t="s">
        <v>3107</v>
      </c>
      <c r="P1" s="3064" t="s">
        <v>3108</v>
      </c>
      <c r="Q1" s="3064" t="s">
        <v>3109</v>
      </c>
    </row>
    <row r="2" spans="1:17">
      <c r="A2" s="3064" t="s">
        <v>3110</v>
      </c>
      <c r="B2" s="3064" t="s">
        <v>3111</v>
      </c>
      <c r="C2" s="3064" t="s">
        <v>3112</v>
      </c>
      <c r="D2" s="3064">
        <v>3004.75</v>
      </c>
      <c r="E2" s="3064">
        <v>11297.86</v>
      </c>
      <c r="F2" s="3064" t="s">
        <v>3113</v>
      </c>
      <c r="G2" s="3064" t="s">
        <v>3114</v>
      </c>
      <c r="H2" s="3064" t="s">
        <v>3115</v>
      </c>
      <c r="I2" s="3064" t="s">
        <v>3116</v>
      </c>
      <c r="J2" s="3064" t="s">
        <v>3116</v>
      </c>
      <c r="K2" s="3064">
        <v>7400</v>
      </c>
      <c r="L2" s="3064">
        <v>8100</v>
      </c>
      <c r="M2" s="3064">
        <v>7169.5</v>
      </c>
      <c r="N2" s="3064">
        <f>ROUND(L2*10000/D2/666.67,2)</f>
        <v>40.44</v>
      </c>
      <c r="O2" s="3064">
        <v>9.4600000000000009</v>
      </c>
      <c r="P2" s="3064" t="s">
        <v>3117</v>
      </c>
      <c r="Q2" s="3064" t="s">
        <v>3118</v>
      </c>
    </row>
    <row r="3" spans="1:17">
      <c r="A3" s="3064" t="s">
        <v>3119</v>
      </c>
      <c r="B3" s="3064" t="s">
        <v>3111</v>
      </c>
      <c r="C3" s="3064" t="s">
        <v>3112</v>
      </c>
      <c r="D3" s="3064">
        <v>27915.9</v>
      </c>
      <c r="E3" s="3064">
        <v>125559.28</v>
      </c>
      <c r="F3" s="3064" t="s">
        <v>3120</v>
      </c>
      <c r="G3" s="3064" t="s">
        <v>3114</v>
      </c>
      <c r="H3" s="3064" t="s">
        <v>3115</v>
      </c>
      <c r="I3" s="3064" t="s">
        <v>3121</v>
      </c>
      <c r="J3" s="3064" t="s">
        <v>3121</v>
      </c>
      <c r="K3" s="3064">
        <v>31100</v>
      </c>
      <c r="L3" s="3064">
        <v>31100</v>
      </c>
      <c r="M3" s="3064">
        <v>2476.92</v>
      </c>
      <c r="N3" s="3064">
        <f t="shared" ref="N3:N16" si="0">ROUND(L3*10000/D3/666.67,2)</f>
        <v>16.71</v>
      </c>
      <c r="O3" s="3064">
        <v>0</v>
      </c>
      <c r="P3" s="3064" t="s">
        <v>3122</v>
      </c>
      <c r="Q3" s="3064" t="s">
        <v>3123</v>
      </c>
    </row>
    <row r="4" spans="1:17">
      <c r="A4" s="3064" t="s">
        <v>3124</v>
      </c>
      <c r="B4" s="3064" t="s">
        <v>3111</v>
      </c>
      <c r="C4" s="3064" t="s">
        <v>3112</v>
      </c>
      <c r="D4" s="3064">
        <v>5576.45</v>
      </c>
      <c r="E4" s="3064">
        <v>22305.81</v>
      </c>
      <c r="F4" s="3064" t="s">
        <v>3125</v>
      </c>
      <c r="G4" s="3064" t="s">
        <v>3126</v>
      </c>
      <c r="H4" s="3064" t="s">
        <v>3115</v>
      </c>
      <c r="I4" s="3064" t="s">
        <v>3127</v>
      </c>
      <c r="J4" s="3064" t="s">
        <v>3127</v>
      </c>
      <c r="K4" s="3064">
        <v>5820</v>
      </c>
      <c r="L4" s="3064">
        <v>5820</v>
      </c>
      <c r="M4" s="3064">
        <v>2609.19</v>
      </c>
      <c r="N4" s="3064">
        <f t="shared" si="0"/>
        <v>15.66</v>
      </c>
      <c r="O4" s="3064">
        <v>0</v>
      </c>
      <c r="P4" s="3064" t="s">
        <v>3128</v>
      </c>
      <c r="Q4" s="3064" t="s">
        <v>3129</v>
      </c>
    </row>
    <row r="5" spans="1:17" s="3066" customFormat="1">
      <c r="A5" s="3066" t="s">
        <v>3130</v>
      </c>
      <c r="B5" s="3066" t="s">
        <v>3111</v>
      </c>
      <c r="C5" s="3066" t="s">
        <v>3112</v>
      </c>
      <c r="D5" s="3066">
        <v>5287.71</v>
      </c>
      <c r="E5" s="3066">
        <v>29082.41</v>
      </c>
      <c r="F5" s="3066" t="s">
        <v>3131</v>
      </c>
      <c r="G5" s="3066" t="s">
        <v>3114</v>
      </c>
      <c r="H5" s="3066" t="s">
        <v>3132</v>
      </c>
      <c r="I5" s="3066" t="s">
        <v>3133</v>
      </c>
      <c r="J5" s="3066" t="s">
        <v>3133</v>
      </c>
      <c r="K5" s="3066">
        <v>11300</v>
      </c>
      <c r="L5" s="3066">
        <v>11800</v>
      </c>
      <c r="M5" s="3066">
        <v>4057.44</v>
      </c>
      <c r="N5" s="3066">
        <f t="shared" si="0"/>
        <v>33.47</v>
      </c>
      <c r="O5" s="3066">
        <v>4.42</v>
      </c>
      <c r="P5" s="3066" t="s">
        <v>3134</v>
      </c>
      <c r="Q5" s="3066" t="s">
        <v>3118</v>
      </c>
    </row>
    <row r="6" spans="1:17">
      <c r="A6" s="3064" t="s">
        <v>3135</v>
      </c>
      <c r="B6" s="3064" t="s">
        <v>3111</v>
      </c>
      <c r="C6" s="3064" t="s">
        <v>3112</v>
      </c>
      <c r="D6" s="3064">
        <v>20500.259999999998</v>
      </c>
      <c r="E6" s="3064">
        <v>92251.17</v>
      </c>
      <c r="F6" s="3064" t="s">
        <v>3136</v>
      </c>
      <c r="G6" s="3064" t="s">
        <v>3114</v>
      </c>
      <c r="H6" s="3064" t="s">
        <v>3132</v>
      </c>
      <c r="I6" s="3064" t="s">
        <v>3137</v>
      </c>
      <c r="J6" s="3064" t="s">
        <v>3137</v>
      </c>
      <c r="K6" s="3064">
        <v>23200</v>
      </c>
      <c r="L6" s="3064">
        <v>24800</v>
      </c>
      <c r="M6" s="3064">
        <v>2688.3</v>
      </c>
      <c r="N6" s="3064">
        <f t="shared" si="0"/>
        <v>18.149999999999999</v>
      </c>
      <c r="O6" s="3064">
        <v>6.9</v>
      </c>
      <c r="P6" s="3064" t="s">
        <v>3138</v>
      </c>
      <c r="Q6" s="3064" t="s">
        <v>3118</v>
      </c>
    </row>
    <row r="7" spans="1:17" s="3066" customFormat="1">
      <c r="A7" s="3066" t="s">
        <v>3139</v>
      </c>
      <c r="B7" s="3066" t="s">
        <v>3111</v>
      </c>
      <c r="C7" s="3066" t="s">
        <v>3112</v>
      </c>
      <c r="D7" s="3066">
        <v>8904.74</v>
      </c>
      <c r="E7" s="3066">
        <v>48347</v>
      </c>
      <c r="F7" s="3066">
        <v>5.43</v>
      </c>
      <c r="G7" s="3066" t="s">
        <v>3114</v>
      </c>
      <c r="H7" s="3066" t="s">
        <v>3132</v>
      </c>
      <c r="I7" s="3066" t="s">
        <v>3140</v>
      </c>
      <c r="J7" s="3066" t="s">
        <v>3140</v>
      </c>
      <c r="K7" s="3066">
        <v>16200</v>
      </c>
      <c r="L7" s="3066">
        <v>17900</v>
      </c>
      <c r="M7" s="3066">
        <v>3702.4</v>
      </c>
      <c r="N7" s="3066">
        <f t="shared" si="0"/>
        <v>30.15</v>
      </c>
      <c r="O7" s="3066">
        <v>10.49</v>
      </c>
      <c r="P7" s="3066" t="s">
        <v>3141</v>
      </c>
      <c r="Q7" s="3066" t="s">
        <v>3118</v>
      </c>
    </row>
    <row r="8" spans="1:17" s="3066" customFormat="1">
      <c r="A8" s="3066" t="s">
        <v>3142</v>
      </c>
      <c r="B8" s="3066" t="s">
        <v>3111</v>
      </c>
      <c r="C8" s="3066" t="s">
        <v>3112</v>
      </c>
      <c r="D8" s="3066">
        <v>9799.93</v>
      </c>
      <c r="E8" s="3066">
        <v>58799.58</v>
      </c>
      <c r="F8" s="3066" t="s">
        <v>3143</v>
      </c>
      <c r="G8" s="3066" t="s">
        <v>3114</v>
      </c>
      <c r="H8" s="3066" t="s">
        <v>3144</v>
      </c>
      <c r="I8" s="3066" t="s">
        <v>3145</v>
      </c>
      <c r="J8" s="3066" t="s">
        <v>3145</v>
      </c>
      <c r="K8" s="3066">
        <v>18100</v>
      </c>
      <c r="L8" s="3066">
        <v>19200</v>
      </c>
      <c r="M8" s="3066">
        <v>3265.32</v>
      </c>
      <c r="N8" s="3066">
        <f t="shared" si="0"/>
        <v>29.39</v>
      </c>
      <c r="O8" s="3066">
        <v>6.08</v>
      </c>
      <c r="P8" s="3066" t="s">
        <v>3146</v>
      </c>
      <c r="Q8" s="3066" t="s">
        <v>3118</v>
      </c>
    </row>
    <row r="9" spans="1:17">
      <c r="A9" s="3064" t="s">
        <v>3147</v>
      </c>
      <c r="B9" s="3064" t="s">
        <v>3111</v>
      </c>
      <c r="C9" s="3064" t="s">
        <v>3112</v>
      </c>
      <c r="D9" s="3064">
        <v>39549.919999999998</v>
      </c>
      <c r="E9" s="3064">
        <v>149498.70000000001</v>
      </c>
      <c r="F9" s="3064" t="s">
        <v>3148</v>
      </c>
      <c r="G9" s="3064" t="s">
        <v>3126</v>
      </c>
      <c r="H9" s="3064" t="s">
        <v>3115</v>
      </c>
      <c r="I9" s="3064" t="s">
        <v>3149</v>
      </c>
      <c r="J9" s="3064" t="s">
        <v>3149</v>
      </c>
      <c r="K9" s="3064">
        <v>29870</v>
      </c>
      <c r="L9" s="3064">
        <v>29920</v>
      </c>
      <c r="M9" s="3064">
        <v>2001.35</v>
      </c>
      <c r="N9" s="3064">
        <f t="shared" si="0"/>
        <v>11.35</v>
      </c>
      <c r="O9" s="3064">
        <v>0.17</v>
      </c>
      <c r="P9" s="3064" t="s">
        <v>3150</v>
      </c>
      <c r="Q9" s="3064" t="s">
        <v>3118</v>
      </c>
    </row>
    <row r="10" spans="1:17">
      <c r="A10" s="3064" t="s">
        <v>3151</v>
      </c>
      <c r="B10" s="3064" t="s">
        <v>3111</v>
      </c>
      <c r="C10" s="3064" t="s">
        <v>3112</v>
      </c>
      <c r="D10" s="3064">
        <v>12343.8</v>
      </c>
      <c r="E10" s="3064">
        <v>12343.8</v>
      </c>
      <c r="F10" s="3064" t="s">
        <v>3152</v>
      </c>
      <c r="G10" s="3064" t="s">
        <v>3114</v>
      </c>
      <c r="H10" s="3064" t="s">
        <v>3153</v>
      </c>
      <c r="I10" s="3064" t="s">
        <v>3154</v>
      </c>
      <c r="J10" s="3064" t="s">
        <v>3154</v>
      </c>
      <c r="K10" s="3064">
        <v>1800</v>
      </c>
      <c r="L10" s="3064">
        <v>2000</v>
      </c>
      <c r="M10" s="3064">
        <v>1620.25</v>
      </c>
      <c r="N10" s="3064">
        <f t="shared" si="0"/>
        <v>2.4300000000000002</v>
      </c>
      <c r="O10" s="3064">
        <v>11.11</v>
      </c>
      <c r="P10" s="3064" t="s">
        <v>3155</v>
      </c>
      <c r="Q10" s="3064" t="s">
        <v>3118</v>
      </c>
    </row>
    <row r="11" spans="1:17" s="3066" customFormat="1">
      <c r="A11" s="3066" t="s">
        <v>3156</v>
      </c>
      <c r="B11" s="3066" t="s">
        <v>3111</v>
      </c>
      <c r="C11" s="3066" t="s">
        <v>3112</v>
      </c>
      <c r="D11" s="3066">
        <v>12620</v>
      </c>
      <c r="E11" s="3066">
        <v>73196</v>
      </c>
      <c r="F11" s="3066" t="s">
        <v>3157</v>
      </c>
      <c r="G11" s="3066" t="s">
        <v>3114</v>
      </c>
      <c r="H11" s="3066" t="s">
        <v>3144</v>
      </c>
      <c r="I11" s="3066" t="s">
        <v>3154</v>
      </c>
      <c r="J11" s="3066" t="s">
        <v>3154</v>
      </c>
      <c r="K11" s="3066">
        <v>22000</v>
      </c>
      <c r="L11" s="3066">
        <v>24200</v>
      </c>
      <c r="M11" s="3066">
        <v>3306.19</v>
      </c>
      <c r="N11" s="3066">
        <f t="shared" si="0"/>
        <v>28.76</v>
      </c>
      <c r="O11" s="3066">
        <v>10</v>
      </c>
      <c r="P11" s="3066" t="s">
        <v>3158</v>
      </c>
      <c r="Q11" s="3066" t="s">
        <v>3118</v>
      </c>
    </row>
    <row r="12" spans="1:17">
      <c r="A12" s="3064" t="s">
        <v>3159</v>
      </c>
      <c r="B12" s="3064" t="s">
        <v>3111</v>
      </c>
      <c r="C12" s="3064" t="s">
        <v>3112</v>
      </c>
      <c r="D12" s="3064">
        <v>4992.3</v>
      </c>
      <c r="E12" s="3064">
        <v>1497.69</v>
      </c>
      <c r="F12" s="3064" t="s">
        <v>3160</v>
      </c>
      <c r="G12" s="3064" t="s">
        <v>3126</v>
      </c>
      <c r="H12" s="3064" t="s">
        <v>3161</v>
      </c>
      <c r="I12" s="3064" t="s">
        <v>3162</v>
      </c>
      <c r="J12" s="3064" t="s">
        <v>3162</v>
      </c>
      <c r="K12" s="3064">
        <v>3190</v>
      </c>
      <c r="L12" s="3064">
        <v>30000</v>
      </c>
      <c r="M12" s="3064">
        <v>200308.48000000001</v>
      </c>
      <c r="N12" s="3064">
        <f t="shared" si="0"/>
        <v>90.14</v>
      </c>
      <c r="O12" s="3064">
        <v>840.44</v>
      </c>
      <c r="P12" s="3064" t="s">
        <v>3163</v>
      </c>
      <c r="Q12" s="3064" t="s">
        <v>3129</v>
      </c>
    </row>
    <row r="13" spans="1:17">
      <c r="A13" s="3064" t="s">
        <v>3164</v>
      </c>
      <c r="B13" s="3064" t="s">
        <v>3111</v>
      </c>
      <c r="C13" s="3064" t="s">
        <v>3112</v>
      </c>
      <c r="D13" s="3064">
        <v>11283.08</v>
      </c>
      <c r="E13" s="3064">
        <v>62282.6</v>
      </c>
      <c r="F13" s="3064" t="s">
        <v>3165</v>
      </c>
      <c r="G13" s="3064" t="s">
        <v>3114</v>
      </c>
      <c r="H13" s="3064" t="s">
        <v>3144</v>
      </c>
      <c r="I13" s="3064" t="s">
        <v>3166</v>
      </c>
      <c r="J13" s="3064" t="s">
        <v>3166</v>
      </c>
      <c r="K13" s="3064">
        <v>16000</v>
      </c>
      <c r="L13" s="3064">
        <v>17700</v>
      </c>
      <c r="M13" s="3064">
        <v>2841.88</v>
      </c>
      <c r="N13" s="3064">
        <f t="shared" si="0"/>
        <v>23.53</v>
      </c>
      <c r="O13" s="3064">
        <v>10.63</v>
      </c>
      <c r="P13" s="3064" t="s">
        <v>3167</v>
      </c>
      <c r="Q13" s="3064" t="s">
        <v>3118</v>
      </c>
    </row>
    <row r="14" spans="1:17">
      <c r="A14" s="3064" t="s">
        <v>3168</v>
      </c>
      <c r="B14" s="3064" t="s">
        <v>3111</v>
      </c>
      <c r="C14" s="3064" t="s">
        <v>3112</v>
      </c>
      <c r="D14" s="3064">
        <v>12738.86</v>
      </c>
      <c r="E14" s="3064">
        <v>50955.43</v>
      </c>
      <c r="F14" s="3064" t="s">
        <v>3169</v>
      </c>
      <c r="G14" s="3064" t="s">
        <v>3126</v>
      </c>
      <c r="H14" s="3064" t="s">
        <v>3115</v>
      </c>
      <c r="I14" s="3064" t="s">
        <v>3170</v>
      </c>
      <c r="J14" s="3064" t="s">
        <v>3170</v>
      </c>
      <c r="K14" s="3064">
        <v>6930</v>
      </c>
      <c r="L14" s="3064">
        <v>7030</v>
      </c>
      <c r="M14" s="3064">
        <v>1379.64</v>
      </c>
      <c r="N14" s="3064">
        <f t="shared" si="0"/>
        <v>8.2799999999999994</v>
      </c>
      <c r="O14" s="3064">
        <v>1.44</v>
      </c>
      <c r="P14" s="3064" t="s">
        <v>3171</v>
      </c>
      <c r="Q14" s="3064" t="s">
        <v>3118</v>
      </c>
    </row>
    <row r="15" spans="1:17">
      <c r="A15" s="3064" t="s">
        <v>3172</v>
      </c>
      <c r="B15" s="3064" t="s">
        <v>3111</v>
      </c>
      <c r="C15" s="3064" t="s">
        <v>3112</v>
      </c>
      <c r="D15" s="3064">
        <v>10489.76</v>
      </c>
      <c r="E15" s="3064">
        <v>41959.05</v>
      </c>
      <c r="F15" s="3064" t="s">
        <v>3169</v>
      </c>
      <c r="G15" s="3064" t="s">
        <v>3126</v>
      </c>
      <c r="H15" s="3064" t="s">
        <v>3115</v>
      </c>
      <c r="I15" s="3064" t="s">
        <v>3170</v>
      </c>
      <c r="J15" s="3064" t="s">
        <v>3170</v>
      </c>
      <c r="K15" s="3064">
        <v>5710</v>
      </c>
      <c r="L15" s="3064">
        <v>5810</v>
      </c>
      <c r="M15" s="3064">
        <v>1384.68</v>
      </c>
      <c r="N15" s="3064">
        <f t="shared" si="0"/>
        <v>8.31</v>
      </c>
      <c r="O15" s="3064">
        <v>1.75</v>
      </c>
      <c r="P15" s="3064" t="s">
        <v>3171</v>
      </c>
      <c r="Q15" s="3064" t="s">
        <v>3118</v>
      </c>
    </row>
    <row r="16" spans="1:17">
      <c r="A16" s="3064" t="s">
        <v>3173</v>
      </c>
      <c r="B16" s="3064" t="s">
        <v>3111</v>
      </c>
      <c r="C16" s="3064" t="s">
        <v>3112</v>
      </c>
      <c r="D16" s="3064">
        <v>8883.5300000000007</v>
      </c>
      <c r="E16" s="3064">
        <v>29000</v>
      </c>
      <c r="F16" s="3064" t="s">
        <v>3174</v>
      </c>
      <c r="G16" s="3064" t="s">
        <v>3114</v>
      </c>
      <c r="H16" s="3064" t="s">
        <v>3115</v>
      </c>
      <c r="I16" s="3064" t="s">
        <v>3175</v>
      </c>
      <c r="J16" s="3064" t="s">
        <v>3175</v>
      </c>
      <c r="K16" s="3064">
        <v>9200</v>
      </c>
      <c r="L16" s="3064">
        <v>9200</v>
      </c>
      <c r="M16" s="3064">
        <v>3172.4</v>
      </c>
      <c r="N16" s="3064">
        <f t="shared" si="0"/>
        <v>15.53</v>
      </c>
      <c r="O16" s="3064">
        <v>0</v>
      </c>
      <c r="P16" s="3064" t="s">
        <v>3176</v>
      </c>
      <c r="Q16" s="3064" t="s">
        <v>3118</v>
      </c>
    </row>
  </sheetData>
  <phoneticPr fontId="140" type="noConversion"/>
  <pageMargins left="0.75" right="0.75" top="1" bottom="1" header="0.5" footer="0.5"/>
  <pageSetup orientation="portrait" horizontalDpi="300" verticalDpi="300"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37" t="s">
        <v>1627</v>
      </c>
      <c r="B1" s="3137"/>
      <c r="C1" s="3137"/>
      <c r="D1" s="3137"/>
    </row>
    <row r="2" spans="1:4" ht="18">
      <c r="A2" s="3138" t="s">
        <v>1611</v>
      </c>
      <c r="B2" s="3138"/>
      <c r="C2" s="3138"/>
      <c r="D2" s="3138"/>
    </row>
    <row r="3" spans="1:4" ht="18.75">
      <c r="A3" s="1693" t="s">
        <v>1612</v>
      </c>
      <c r="B3" s="1693" t="s">
        <v>1613</v>
      </c>
      <c r="C3" s="1693" t="s">
        <v>1614</v>
      </c>
      <c r="D3" s="1693" t="s">
        <v>1615</v>
      </c>
    </row>
    <row r="4" spans="1:4" ht="56.25" customHeight="1">
      <c r="A4" s="1694" t="str">
        <f>项目基本情况!B4</f>
        <v>王鹏</v>
      </c>
      <c r="B4" s="1695">
        <f ca="1">项目基本情况!C4</f>
        <v>1120050019</v>
      </c>
      <c r="C4" s="1696"/>
      <c r="D4" s="1697" t="s">
        <v>1616</v>
      </c>
    </row>
    <row r="5" spans="1:4" ht="56.25" customHeight="1">
      <c r="A5" s="1694" t="str">
        <f>项目基本情况!D4</f>
        <v>郑燚</v>
      </c>
      <c r="B5" s="1695">
        <f ca="1">项目基本情况!E4</f>
        <v>1120070131</v>
      </c>
      <c r="C5" s="1698"/>
      <c r="D5" s="1697" t="s">
        <v>1616</v>
      </c>
    </row>
    <row r="6" spans="1:4" ht="18">
      <c r="A6" s="3138" t="s">
        <v>1617</v>
      </c>
      <c r="B6" s="3138"/>
      <c r="C6" s="3138"/>
      <c r="D6" s="3138"/>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139" t="s">
        <v>1620</v>
      </c>
      <c r="B11" s="3140"/>
      <c r="C11" s="3140"/>
      <c r="D11" s="3140"/>
    </row>
    <row r="12" spans="1:4" ht="15.75">
      <c r="A12" s="3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1"/>
      <c r="C12" s="3141"/>
      <c r="D12" s="3141"/>
    </row>
    <row r="13" spans="1:4" ht="30" customHeight="1">
      <c r="A13" s="3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1"/>
      <c r="C13" s="3141"/>
      <c r="D13" s="3141"/>
    </row>
    <row r="14" spans="1:4" ht="15.75" customHeight="1">
      <c r="A14" s="3140" t="str">
        <f>IF(项目基本情况!B8="抵押","4.本次评估估价师所知悉的法定优先受偿款情况说明如下：","——")</f>
        <v>4.本次评估估价师所知悉的法定优先受偿款情况说明如下：</v>
      </c>
      <c r="B14" s="3141"/>
      <c r="C14" s="3141"/>
      <c r="D14" s="3141"/>
    </row>
    <row r="15" spans="1:4" ht="42" customHeight="1">
      <c r="A15" s="3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0"/>
      <c r="C15" s="3140"/>
      <c r="D15" s="3140"/>
    </row>
    <row r="16" spans="1:4" ht="30" customHeight="1">
      <c r="A16" s="3143" t="s">
        <v>1621</v>
      </c>
      <c r="B16" s="3143"/>
      <c r="C16" s="3143"/>
      <c r="D16" s="3143"/>
    </row>
    <row r="17" spans="1:4" ht="144" customHeight="1">
      <c r="A17" s="3143" t="s">
        <v>1622</v>
      </c>
      <c r="B17" s="3143"/>
      <c r="C17" s="3143"/>
      <c r="D17" s="3143"/>
    </row>
    <row r="18" spans="1:4" ht="15.75" customHeight="1">
      <c r="A18" s="3140" t="str">
        <f>IF(项目基本情况!B8="抵押",结果表!K120,"——")</f>
        <v>故，本次评估不存在估价师知悉的法定优先受偿款</v>
      </c>
      <c r="B18" s="3140"/>
      <c r="C18" s="3140"/>
      <c r="D18" s="3140"/>
    </row>
    <row r="19" spans="1:4" ht="46.5" customHeight="1">
      <c r="A19" s="3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0"/>
      <c r="C19" s="3140"/>
      <c r="D19" s="3140"/>
    </row>
    <row r="20" spans="1:4" ht="57.75" customHeight="1">
      <c r="A20" s="3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0"/>
      <c r="C20" s="3140"/>
      <c r="D20" s="3140"/>
    </row>
    <row r="21" spans="1:4" ht="57.75" customHeight="1">
      <c r="A21" s="3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4"/>
      <c r="C21" s="3144"/>
      <c r="D21" s="3144"/>
    </row>
    <row r="22" spans="1:4" ht="18.75" customHeight="1">
      <c r="A22" s="3145" t="s">
        <v>1623</v>
      </c>
      <c r="B22" s="3145"/>
      <c r="C22" s="3145"/>
      <c r="D22" s="314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42">
        <v>42551</v>
      </c>
      <c r="D31" s="31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51" t="s">
        <v>1634</v>
      </c>
      <c r="B15" s="3146" t="s">
        <v>136</v>
      </c>
      <c r="C15" s="3147"/>
    </row>
    <row r="16" spans="1:7" ht="13.5">
      <c r="A16" s="3152"/>
      <c r="B16" s="3146" t="s">
        <v>69</v>
      </c>
      <c r="C16" s="3147"/>
    </row>
    <row r="17" spans="1:3" ht="13.5">
      <c r="A17" s="3152"/>
      <c r="B17" s="3149" t="s">
        <v>1635</v>
      </c>
      <c r="C17" s="1716" t="s">
        <v>1634</v>
      </c>
    </row>
    <row r="18" spans="1:3" ht="13.5">
      <c r="A18" s="3152"/>
      <c r="B18" s="3149"/>
      <c r="C18" s="1716" t="s">
        <v>1636</v>
      </c>
    </row>
    <row r="19" spans="1:3" ht="13.5">
      <c r="A19" s="3152"/>
      <c r="B19" s="3149"/>
      <c r="C19" s="1716" t="s">
        <v>1637</v>
      </c>
    </row>
    <row r="20" spans="1:3" ht="13.5">
      <c r="A20" s="3153"/>
      <c r="B20" s="3148" t="s">
        <v>1638</v>
      </c>
      <c r="C20" s="3147"/>
    </row>
    <row r="21" spans="1:3" ht="13.5">
      <c r="A21" s="1717" t="s">
        <v>1639</v>
      </c>
      <c r="B21" s="1718"/>
      <c r="C21" s="1719"/>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6" t="s">
        <v>1645</v>
      </c>
    </row>
    <row r="26" spans="1:3" ht="13.5">
      <c r="A26" s="3150"/>
      <c r="B26" s="3149"/>
      <c r="C26" s="1716" t="s">
        <v>1646</v>
      </c>
    </row>
    <row r="27" spans="1:3" ht="13.5">
      <c r="A27" s="3150"/>
      <c r="B27" s="3149"/>
      <c r="C27" s="1716" t="s">
        <v>1647</v>
      </c>
    </row>
    <row r="28" spans="1:3" ht="13.5">
      <c r="A28" s="3150"/>
      <c r="B28" s="3149"/>
      <c r="C28" s="1716" t="s">
        <v>1648</v>
      </c>
    </row>
    <row r="29" spans="1:3" ht="13.5">
      <c r="A29" s="3150"/>
      <c r="B29" s="3149"/>
      <c r="C29" s="1716" t="s">
        <v>1649</v>
      </c>
    </row>
    <row r="30" spans="1:3" ht="13.5">
      <c r="A30" s="3150"/>
      <c r="B30" s="3149"/>
      <c r="C30" s="1716" t="s">
        <v>1650</v>
      </c>
    </row>
    <row r="31" spans="1:3" ht="13.5">
      <c r="A31" s="3150"/>
      <c r="B31" s="3149"/>
      <c r="C31" s="1716" t="s">
        <v>1651</v>
      </c>
    </row>
    <row r="32" spans="1:3" ht="13.5">
      <c r="A32" s="3150"/>
      <c r="B32" s="3149"/>
      <c r="C32" s="1716" t="s">
        <v>1652</v>
      </c>
    </row>
    <row r="33" spans="1:3" ht="13.5">
      <c r="A33" s="3150"/>
      <c r="B33" s="314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2882</v>
      </c>
      <c r="B2" s="2561">
        <f ca="1">TODAY()</f>
        <v>44137</v>
      </c>
      <c r="C2" s="2562" t="s">
        <v>2883</v>
      </c>
      <c r="D2" s="2562"/>
      <c r="E2" s="2562"/>
      <c r="F2" s="2558"/>
      <c r="G2" s="2558"/>
      <c r="H2" s="2558"/>
    </row>
    <row r="3" spans="1:8" ht="24" customHeight="1">
      <c r="A3" s="2563" t="s">
        <v>2884</v>
      </c>
      <c r="B3" s="2564" t="s">
        <v>2885</v>
      </c>
      <c r="C3" s="2564" t="s">
        <v>2886</v>
      </c>
      <c r="D3" s="2565" t="s">
        <v>2887</v>
      </c>
      <c r="E3" s="2566" t="s">
        <v>2888</v>
      </c>
      <c r="F3" s="1471" t="s">
        <v>2889</v>
      </c>
      <c r="G3" s="2564" t="s">
        <v>2886</v>
      </c>
      <c r="H3" s="2565" t="s">
        <v>2890</v>
      </c>
    </row>
    <row r="4" spans="1:8" ht="24" customHeight="1">
      <c r="A4" s="1471" t="s">
        <v>2891</v>
      </c>
      <c r="B4" s="1471">
        <f ca="1">IF(C4&lt;B2,"已过期",1119970066)</f>
        <v>1119970066</v>
      </c>
      <c r="C4" s="2567">
        <v>44876</v>
      </c>
      <c r="D4" s="2568" t="str">
        <f ca="1">A4&amp;"（注册号："&amp;B4&amp;"）"</f>
        <v>梁津（注册号：1119970066）</v>
      </c>
      <c r="E4" s="2569" t="s">
        <v>2891</v>
      </c>
      <c r="F4" s="1471">
        <f ca="1">IF(G4&lt;B2,"已过期",96010014)</f>
        <v>96010014</v>
      </c>
      <c r="G4" s="2570">
        <v>47118</v>
      </c>
      <c r="H4" s="2571" t="str">
        <f ca="1">E4&amp;"（注册号："&amp;F4&amp;"）"</f>
        <v>梁津（注册号：96010014）</v>
      </c>
    </row>
    <row r="5" spans="1:8" ht="24" customHeight="1">
      <c r="A5" s="1471" t="s">
        <v>2892</v>
      </c>
      <c r="B5" s="1471">
        <f ca="1">IF(C5&lt;B2,"已过期",1119970111)</f>
        <v>1119970111</v>
      </c>
      <c r="C5" s="2567">
        <v>44876</v>
      </c>
      <c r="D5" s="2568" t="str">
        <f t="shared" ref="D5:D15" ca="1" si="0">A5&amp;"（注册号："&amp;B5&amp;"）"</f>
        <v>叶凌（注册号：1119970111）</v>
      </c>
      <c r="E5" s="2569" t="s">
        <v>2892</v>
      </c>
      <c r="F5" s="1471">
        <f ca="1">IF(G5&lt;B2,"已过期",94010078)</f>
        <v>94010078</v>
      </c>
      <c r="G5" s="2570">
        <v>46387</v>
      </c>
      <c r="H5" s="2571" t="str">
        <f t="shared" ref="H5:H16" ca="1" si="1">E5&amp;"（注册号："&amp;F5&amp;"）"</f>
        <v>叶凌（注册号：94010078）</v>
      </c>
    </row>
    <row r="6" spans="1:8" ht="24" customHeight="1">
      <c r="A6" s="1471" t="s">
        <v>2893</v>
      </c>
      <c r="B6" s="1471">
        <f ca="1">IF(C6&lt;B2,"已过期",1120050019)</f>
        <v>1120050019</v>
      </c>
      <c r="C6" s="2567">
        <v>44395</v>
      </c>
      <c r="D6" s="2568" t="str">
        <f t="shared" ca="1" si="0"/>
        <v>王鹏（注册号：1120050019）</v>
      </c>
      <c r="E6" s="2569" t="s">
        <v>2893</v>
      </c>
      <c r="F6" s="1471">
        <f ca="1">IF(G6&lt;B2,"已过期",2002110030)</f>
        <v>2002110030</v>
      </c>
      <c r="G6" s="2570">
        <v>46387</v>
      </c>
      <c r="H6" s="2571" t="str">
        <f t="shared" ca="1" si="1"/>
        <v>王鹏（注册号：2002110030）</v>
      </c>
    </row>
    <row r="7" spans="1:8" ht="24" customHeight="1">
      <c r="A7" s="1471" t="s">
        <v>2894</v>
      </c>
      <c r="B7" s="1471">
        <f ca="1">IF(C7&lt;B2,"已过期",1120000080)</f>
        <v>1120000080</v>
      </c>
      <c r="C7" s="2567">
        <v>44876</v>
      </c>
      <c r="D7" s="2568" t="str">
        <f t="shared" ca="1" si="0"/>
        <v>欧红伟（注册号：1120000080）</v>
      </c>
      <c r="E7" s="2569" t="s">
        <v>2894</v>
      </c>
      <c r="F7" s="1471">
        <f ca="1">IF(G7&lt;B2,"已过期",2000110082)</f>
        <v>2000110082</v>
      </c>
      <c r="G7" s="2570">
        <v>46387</v>
      </c>
      <c r="H7" s="2571" t="str">
        <f t="shared" ca="1" si="1"/>
        <v>欧红伟（注册号：2000110082）</v>
      </c>
    </row>
    <row r="8" spans="1:8" ht="24" customHeight="1">
      <c r="A8" s="1471" t="s">
        <v>2895</v>
      </c>
      <c r="B8" s="1471">
        <f ca="1">IF(C8&lt;B2,"已过期",1419970001)</f>
        <v>1419970001</v>
      </c>
      <c r="C8" s="2567">
        <v>44899</v>
      </c>
      <c r="D8" s="2568" t="str">
        <f t="shared" ca="1" si="0"/>
        <v>吴薇（注册号：1419970001）</v>
      </c>
      <c r="E8" s="2569" t="s">
        <v>2895</v>
      </c>
      <c r="F8" s="1471">
        <f ca="1">IF(G8&lt;B2,"已过期",2002110125)</f>
        <v>2002110125</v>
      </c>
      <c r="G8" s="2570">
        <v>47118</v>
      </c>
      <c r="H8" s="2571" t="str">
        <f t="shared" ca="1" si="1"/>
        <v>吴薇（注册号：2002110125）</v>
      </c>
    </row>
    <row r="9" spans="1:8" ht="24" customHeight="1">
      <c r="A9" s="1471" t="s">
        <v>2896</v>
      </c>
      <c r="B9" s="1471">
        <f ca="1">IF(C9&lt;B2,"已过期",1120060040)</f>
        <v>1120060040</v>
      </c>
      <c r="C9" s="2572">
        <v>44554</v>
      </c>
      <c r="D9" s="2568" t="str">
        <f t="shared" ca="1" si="0"/>
        <v>陈颖（注册号：1120060040）</v>
      </c>
      <c r="E9" s="2569" t="s">
        <v>2896</v>
      </c>
      <c r="F9" s="1471">
        <f ca="1">IF(G9&lt;B2,"已过期",2004110096)</f>
        <v>2004110096</v>
      </c>
      <c r="G9" s="2570">
        <v>47118</v>
      </c>
      <c r="H9" s="2571" t="str">
        <f t="shared" ca="1" si="1"/>
        <v>陈颖（注册号：2004110096）</v>
      </c>
    </row>
    <row r="10" spans="1:8" ht="24" customHeight="1">
      <c r="A10" s="1471" t="s">
        <v>2897</v>
      </c>
      <c r="B10" s="1471">
        <f ca="1">IF(C10&lt;B2,"已过期",1120100036)</f>
        <v>1120100036</v>
      </c>
      <c r="C10" s="2572">
        <v>44675</v>
      </c>
      <c r="D10" s="2568" t="str">
        <f t="shared" ca="1" si="0"/>
        <v>崔锴（注册号：1120100036）</v>
      </c>
      <c r="E10" s="2569" t="s">
        <v>2897</v>
      </c>
      <c r="F10" s="1471">
        <f ca="1">IF(G10&lt;B2,"已过期",2010110070)</f>
        <v>2010110070</v>
      </c>
      <c r="G10" s="2570">
        <v>47907</v>
      </c>
      <c r="H10" s="2571" t="str">
        <f t="shared" ca="1" si="1"/>
        <v>崔锴（注册号：2010110070）</v>
      </c>
    </row>
    <row r="11" spans="1:8" ht="24" customHeight="1">
      <c r="A11" s="1471" t="s">
        <v>2898</v>
      </c>
      <c r="B11" s="1471">
        <f ca="1">IF(C11&lt;B2,"已过期",1120070131)</f>
        <v>1120070131</v>
      </c>
      <c r="C11" s="2567">
        <v>44849</v>
      </c>
      <c r="D11" s="2568" t="str">
        <f t="shared" ca="1" si="0"/>
        <v>郑燚（注册号：1120070131）</v>
      </c>
      <c r="E11" s="2569" t="s">
        <v>2898</v>
      </c>
      <c r="F11" s="1471">
        <f ca="1">IF(G11&lt;B2,"已过期",2014110011)</f>
        <v>2014110011</v>
      </c>
      <c r="G11" s="2570">
        <v>49302</v>
      </c>
      <c r="H11" s="2571" t="str">
        <f t="shared" ca="1" si="1"/>
        <v>郑燚（注册号：2014110011）</v>
      </c>
    </row>
    <row r="12" spans="1:8" ht="24" customHeight="1">
      <c r="A12" s="1471" t="s">
        <v>2899</v>
      </c>
      <c r="B12" s="1471">
        <f ca="1">IF(C12&lt;B2,"已过期",1120040230)</f>
        <v>1120040230</v>
      </c>
      <c r="C12" s="2572">
        <v>44864</v>
      </c>
      <c r="D12" s="2568" t="str">
        <f t="shared" ca="1" si="0"/>
        <v>苏海（注册号：1120040230）</v>
      </c>
      <c r="E12" s="2569" t="s">
        <v>2899</v>
      </c>
      <c r="F12" s="1471">
        <f ca="1">IF(G12&lt;B2,"已过期",98030020)</f>
        <v>98030020</v>
      </c>
      <c r="G12" s="2570">
        <v>47118</v>
      </c>
      <c r="H12" s="2571" t="str">
        <f t="shared" ca="1" si="1"/>
        <v>苏海（注册号：98030020）</v>
      </c>
    </row>
    <row r="13" spans="1:8" ht="24" customHeight="1">
      <c r="A13" s="1471" t="s">
        <v>2900</v>
      </c>
      <c r="B13" s="1471">
        <f ca="1">IF(C13&lt;B2,"已过期",1120020033)</f>
        <v>1120020033</v>
      </c>
      <c r="C13" s="2567">
        <v>44339</v>
      </c>
      <c r="D13" s="2568" t="str">
        <f t="shared" ca="1" si="0"/>
        <v>刘敬东（注册号：1120020033）</v>
      </c>
      <c r="E13" s="2569" t="s">
        <v>2900</v>
      </c>
      <c r="F13" s="1471">
        <f ca="1">IF(G13&lt;B2,"已过期",2000110137)</f>
        <v>2000110137</v>
      </c>
      <c r="G13" s="2570">
        <v>46387</v>
      </c>
      <c r="H13" s="2571" t="str">
        <f t="shared" ca="1" si="1"/>
        <v>刘敬东（注册号：2000110137）</v>
      </c>
    </row>
    <row r="14" spans="1:8" ht="24" customHeight="1">
      <c r="A14" s="1471" t="s">
        <v>2901</v>
      </c>
      <c r="B14" s="1471">
        <f ca="1">IF(C14&lt;B2,"已过期",1119980106)</f>
        <v>1119980106</v>
      </c>
      <c r="C14" s="2572">
        <v>44969</v>
      </c>
      <c r="D14" s="2568" t="str">
        <f t="shared" ca="1" si="0"/>
        <v>刘俊财（注册号：1119980106）</v>
      </c>
      <c r="E14" s="2569" t="s">
        <v>2901</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2902</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54" t="s">
        <v>2903</v>
      </c>
      <c r="B17" s="3154"/>
      <c r="C17" s="3154"/>
      <c r="D17" s="3154"/>
      <c r="E17" s="3154"/>
      <c r="F17" s="3154"/>
      <c r="G17" s="3154"/>
      <c r="H17" s="3154"/>
    </row>
    <row r="18" spans="1:8" ht="24" customHeight="1">
      <c r="A18" s="3155" t="s">
        <v>2904</v>
      </c>
      <c r="B18" s="3155"/>
      <c r="C18" s="3155"/>
      <c r="D18" s="2565"/>
      <c r="E18" s="3156" t="s">
        <v>2905</v>
      </c>
      <c r="F18" s="3155"/>
      <c r="G18" s="3155"/>
    </row>
    <row r="19" spans="1:8" s="2576" customFormat="1" ht="24" customHeight="1">
      <c r="A19" s="2575" t="s">
        <v>2906</v>
      </c>
      <c r="B19" s="2564" t="s">
        <v>2907</v>
      </c>
      <c r="C19" s="2564" t="s">
        <v>2886</v>
      </c>
      <c r="D19" s="2565"/>
      <c r="E19" s="2569" t="s">
        <v>2906</v>
      </c>
      <c r="F19" s="2564" t="s">
        <v>2907</v>
      </c>
      <c r="G19" s="2564" t="s">
        <v>2886</v>
      </c>
    </row>
    <row r="20" spans="1:8" s="2576" customFormat="1" ht="24" customHeight="1">
      <c r="A20" s="2577" t="s">
        <v>2908</v>
      </c>
      <c r="B20" s="2577" t="s">
        <v>2909</v>
      </c>
      <c r="C20" s="2570">
        <v>44820</v>
      </c>
      <c r="D20" s="2578"/>
      <c r="E20" s="2579" t="s">
        <v>2910</v>
      </c>
      <c r="F20" s="2577" t="s">
        <v>2911</v>
      </c>
      <c r="G20" s="2580">
        <v>44377</v>
      </c>
    </row>
    <row r="21" spans="1:8" s="2576" customFormat="1" ht="24" customHeight="1">
      <c r="A21" s="2577"/>
      <c r="B21" s="2577"/>
      <c r="C21" s="2581"/>
      <c r="D21" s="2582"/>
      <c r="E21" s="2579" t="s">
        <v>2912</v>
      </c>
      <c r="F21" s="2583" t="s">
        <v>2913</v>
      </c>
      <c r="G21" s="2584">
        <v>44012</v>
      </c>
    </row>
    <row r="22" spans="1:8" ht="24" customHeight="1">
      <c r="C22" s="2585"/>
      <c r="D22" s="2585"/>
      <c r="E22" s="2586"/>
      <c r="F22" s="2587"/>
      <c r="G22" s="2588"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比较法-商业</vt:lpstr>
      <vt:lpstr>典型户型修正</vt:lpstr>
      <vt:lpstr>商业案例</vt:lpstr>
      <vt:lpstr>收益法</vt:lpstr>
      <vt:lpstr>租金案例</vt:lpstr>
      <vt:lpstr>台账</vt:lpstr>
      <vt:lpstr>租金收入</vt:lpstr>
      <vt:lpstr>结果表车位</vt:lpstr>
      <vt:lpstr>比较法-车位</vt:lpstr>
      <vt:lpstr>车位案例</vt:lpstr>
      <vt:lpstr>收益法 (元)</vt:lpstr>
      <vt:lpstr>收益法（汇总）</vt:lpstr>
      <vt:lpstr>成本法</vt:lpstr>
      <vt:lpstr>成本法 (元)</vt:lpstr>
      <vt:lpstr>假设开发法</vt:lpstr>
      <vt:lpstr>土地比较法-住宅、综合</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2020-11-02T08:57:23Z</dcterms:modified>
</cp:coreProperties>
</file>