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表二" sheetId="71"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state="hidden" r:id="rId44"/>
    <sheet name="Sheet1" sheetId="73" state="hidden" r:id="rId45"/>
    <sheet name="Sheet2" sheetId="74" state="hidden"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'剩余法-待开发'!$A$1:$K$36</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Q54" i="71"/>
  <c r="D21"/>
  <c r="D22"/>
  <c r="C15" l="1"/>
  <c r="C16" l="1"/>
  <c r="C10" i="12" l="1"/>
  <c r="C8" l="1"/>
  <c r="Q48" i="71" l="1"/>
  <c r="J59" l="1"/>
  <c r="J60" s="1"/>
  <c r="C55" l="1"/>
  <c r="D6" l="1"/>
  <c r="E3"/>
  <c r="E6"/>
  <c r="D5"/>
  <c r="Q56" s="1"/>
  <c r="D4"/>
  <c r="T48"/>
  <c r="C56" l="1"/>
  <c r="C58" s="1"/>
  <c r="C59" s="1"/>
  <c r="Q51"/>
  <c r="Q57" s="1"/>
  <c r="D16" l="1"/>
  <c r="D15"/>
  <c r="D5" i="9"/>
  <c r="C34" i="71"/>
  <c r="Q34"/>
  <c r="F1" i="46" l="1"/>
  <c r="D2" i="71" l="1"/>
  <c r="AY3" i="3" l="1"/>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4"/>
  <c r="A11"/>
  <c r="A10"/>
  <c r="A9"/>
  <c r="A8"/>
  <c r="A6" i="54"/>
  <c r="A8"/>
  <c r="A7"/>
  <c r="A28" i="51"/>
  <c r="A27"/>
  <c r="D5" i="46" l="1"/>
  <c r="Q8" i="59" l="1"/>
  <c r="O8"/>
  <c r="N9"/>
  <c r="O9"/>
  <c r="P9"/>
  <c r="Q9"/>
  <c r="N8"/>
  <c r="P8"/>
  <c r="F13" i="67"/>
  <c r="F11"/>
  <c r="E9"/>
  <c r="E12"/>
  <c r="F10"/>
  <c r="E14"/>
  <c r="B14"/>
  <c r="B8"/>
  <c r="F12"/>
  <c r="B13"/>
  <c r="E8"/>
  <c r="F14"/>
  <c r="E11"/>
  <c r="B12"/>
  <c r="B9"/>
  <c r="F8"/>
  <c r="E10"/>
  <c r="F9"/>
  <c r="B11"/>
  <c r="B10"/>
  <c r="E13"/>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6" i="59" l="1"/>
  <c r="C3" i="65"/>
  <c r="C1"/>
  <c r="N1" s="1"/>
  <c r="N7"/>
  <c r="C5" i="59" l="1"/>
  <c r="D5" s="1"/>
  <c r="T6"/>
  <c r="D6"/>
  <c r="H1" i="65"/>
  <c r="B76" i="63"/>
  <c r="N4" i="65"/>
  <c r="N6"/>
  <c r="J6"/>
  <c r="N5"/>
  <c r="N3"/>
  <c r="C4" l="1"/>
  <c r="B39" i="1" s="1"/>
  <c r="J5" i="65"/>
  <c r="J4"/>
  <c r="I7"/>
  <c r="I6"/>
  <c r="J7"/>
  <c r="I5"/>
  <c r="I3"/>
  <c r="J3"/>
  <c r="I4"/>
  <c r="J1" l="1"/>
  <c r="E20" i="46"/>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AA18" s="1"/>
  <c r="O18"/>
  <c r="Y18" s="1"/>
  <c r="Z18" s="1"/>
  <c r="N18"/>
  <c r="X18" s="1"/>
  <c r="Q17"/>
  <c r="AB17" s="1"/>
  <c r="P17"/>
  <c r="AA17" s="1"/>
  <c r="O17"/>
  <c r="Y17" s="1"/>
  <c r="Z17" s="1"/>
  <c r="N17"/>
  <c r="X17" s="1"/>
  <c r="Q16"/>
  <c r="AB16" s="1"/>
  <c r="P16"/>
  <c r="AA16" s="1"/>
  <c r="O16"/>
  <c r="Y16" s="1"/>
  <c r="Z16" s="1"/>
  <c r="N16"/>
  <c r="X16" s="1"/>
  <c r="Q15"/>
  <c r="P15"/>
  <c r="O15"/>
  <c r="N15"/>
  <c r="D15"/>
  <c r="Q14"/>
  <c r="AB14" s="1"/>
  <c r="P14"/>
  <c r="AA14" s="1"/>
  <c r="O14"/>
  <c r="Y14" s="1"/>
  <c r="Z14" s="1"/>
  <c r="N14"/>
  <c r="X14" s="1"/>
  <c r="Q13"/>
  <c r="AB13" s="1"/>
  <c r="P13"/>
  <c r="AA13" s="1"/>
  <c r="O13"/>
  <c r="Y13" s="1"/>
  <c r="Z13" s="1"/>
  <c r="N13"/>
  <c r="X13" s="1"/>
  <c r="Q12"/>
  <c r="AB12" s="1"/>
  <c r="P12"/>
  <c r="AA12" s="1"/>
  <c r="O12"/>
  <c r="Y12" s="1"/>
  <c r="Z12" s="1"/>
  <c r="N12"/>
  <c r="X12" s="1"/>
  <c r="Q11"/>
  <c r="P11"/>
  <c r="AA11" s="1"/>
  <c r="O11"/>
  <c r="N11"/>
  <c r="D11"/>
  <c r="X5" l="1"/>
  <c r="AA5"/>
  <c r="Y5"/>
  <c r="AB5"/>
  <c r="C16"/>
  <c r="Y15"/>
  <c r="Z15" s="1"/>
  <c r="F16"/>
  <c r="AB15"/>
  <c r="B20"/>
  <c r="B21" s="1"/>
  <c r="B22" s="1"/>
  <c r="S22" s="1"/>
  <c r="X19"/>
  <c r="E20"/>
  <c r="E21" s="1"/>
  <c r="E22" s="1"/>
  <c r="U22" s="1"/>
  <c r="AA19"/>
  <c r="B10"/>
  <c r="X6"/>
  <c r="E10"/>
  <c r="AA6"/>
  <c r="B12"/>
  <c r="X11"/>
  <c r="C12"/>
  <c r="Y11"/>
  <c r="Z11" s="1"/>
  <c r="F12"/>
  <c r="AB11"/>
  <c r="B16"/>
  <c r="B17" s="1"/>
  <c r="B18" s="1"/>
  <c r="S18" s="1"/>
  <c r="X15"/>
  <c r="E16"/>
  <c r="E17" s="1"/>
  <c r="E18" s="1"/>
  <c r="U18" s="1"/>
  <c r="AA15"/>
  <c r="C20"/>
  <c r="Y19"/>
  <c r="Z19" s="1"/>
  <c r="F20"/>
  <c r="AB19"/>
  <c r="C10"/>
  <c r="Y6"/>
  <c r="Z6" s="1"/>
  <c r="Z5"/>
  <c r="F10"/>
  <c r="AB6"/>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U10"/>
  <c r="E9"/>
  <c r="E8" s="1"/>
  <c r="E6" s="1"/>
  <c r="D10"/>
  <c r="T10"/>
  <c r="C9"/>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E5" i="59" l="1"/>
  <c r="U6"/>
  <c r="F5"/>
  <c r="V6"/>
  <c r="B5"/>
  <c r="S6"/>
  <c r="D9"/>
  <c r="C8"/>
  <c r="D8" s="1"/>
  <c r="T42"/>
  <c r="D42"/>
  <c r="T14"/>
  <c r="D14"/>
  <c r="T22"/>
  <c r="D22"/>
  <c r="M19" i="46" s="1"/>
  <c r="T26" i="59"/>
  <c r="D26"/>
  <c r="T34"/>
  <c r="D34"/>
  <c r="T38"/>
  <c r="D38"/>
  <c r="T46"/>
  <c r="D46"/>
  <c r="T18"/>
  <c r="D18"/>
  <c r="O48"/>
  <c r="D48"/>
  <c r="O47"/>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E15"/>
  <c r="I14"/>
  <c r="I13"/>
  <c r="I12"/>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D80"/>
  <c r="D81"/>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BT106"/>
  <c r="BS106"/>
  <c r="BR106"/>
  <c r="BQ106"/>
  <c r="BP106"/>
  <c r="BO106"/>
  <c r="BN106"/>
  <c r="BM106"/>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G101" s="1"/>
  <c r="BT100"/>
  <c r="BS100"/>
  <c r="BR100"/>
  <c r="BQ100"/>
  <c r="BP100"/>
  <c r="BO100"/>
  <c r="BN100"/>
  <c r="BM100"/>
  <c r="BK100"/>
  <c r="BJ100"/>
  <c r="BI100"/>
  <c r="BH100"/>
  <c r="BG100"/>
  <c r="BF100"/>
  <c r="BE100"/>
  <c r="BD100"/>
  <c r="BC100"/>
  <c r="BB100"/>
  <c r="AX100"/>
  <c r="AW100"/>
  <c r="AV100"/>
  <c r="AC100"/>
  <c r="H100"/>
  <c r="G100" s="1"/>
  <c r="BT99"/>
  <c r="BS99"/>
  <c r="BR99"/>
  <c r="BQ99"/>
  <c r="BP99"/>
  <c r="BO99"/>
  <c r="BN99"/>
  <c r="BM99"/>
  <c r="BL99" s="1"/>
  <c r="BK99"/>
  <c r="BJ99"/>
  <c r="BI99"/>
  <c r="BH99"/>
  <c r="BG99"/>
  <c r="BF99"/>
  <c r="BE99"/>
  <c r="BD99"/>
  <c r="BC99"/>
  <c r="BB99"/>
  <c r="AX99"/>
  <c r="AW99"/>
  <c r="AV99"/>
  <c r="AC99"/>
  <c r="H99"/>
  <c r="BT98"/>
  <c r="BS98"/>
  <c r="BR98"/>
  <c r="BQ98"/>
  <c r="BP98"/>
  <c r="BO98"/>
  <c r="BN98"/>
  <c r="BM98"/>
  <c r="BK98"/>
  <c r="BJ98"/>
  <c r="BI98"/>
  <c r="BH98"/>
  <c r="BG98"/>
  <c r="BF98"/>
  <c r="BE98"/>
  <c r="BD98"/>
  <c r="BC98"/>
  <c r="BB98"/>
  <c r="AX98"/>
  <c r="AW98"/>
  <c r="AV98"/>
  <c r="AC98"/>
  <c r="H98"/>
  <c r="G98" s="1"/>
  <c r="BT97"/>
  <c r="BS97"/>
  <c r="BR97"/>
  <c r="BQ97"/>
  <c r="BP97"/>
  <c r="BO97"/>
  <c r="BN97"/>
  <c r="BM97"/>
  <c r="BL97" s="1"/>
  <c r="BK97"/>
  <c r="BJ97"/>
  <c r="BI97"/>
  <c r="BH97"/>
  <c r="BG97"/>
  <c r="BF97"/>
  <c r="BE97"/>
  <c r="BD97"/>
  <c r="BC97"/>
  <c r="BB97"/>
  <c r="AX97"/>
  <c r="AW97"/>
  <c r="AV97"/>
  <c r="AC97"/>
  <c r="H97"/>
  <c r="BT96"/>
  <c r="BS96"/>
  <c r="BR96"/>
  <c r="BQ96"/>
  <c r="BP96"/>
  <c r="BO96"/>
  <c r="BN96"/>
  <c r="BM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s="1"/>
  <c r="AX94"/>
  <c r="AW94"/>
  <c r="AV94"/>
  <c r="AC94"/>
  <c r="H94"/>
  <c r="BT93"/>
  <c r="BS93"/>
  <c r="BR93"/>
  <c r="BQ93"/>
  <c r="BP93"/>
  <c r="BO93"/>
  <c r="BN93"/>
  <c r="BM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X91"/>
  <c r="AW91"/>
  <c r="AV91"/>
  <c r="AC91"/>
  <c r="H91"/>
  <c r="BT90"/>
  <c r="BS90"/>
  <c r="BR90"/>
  <c r="BQ90"/>
  <c r="BP90"/>
  <c r="BO90"/>
  <c r="BN90"/>
  <c r="BM90"/>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AX88"/>
  <c r="AW88"/>
  <c r="AV88"/>
  <c r="AC88"/>
  <c r="H88"/>
  <c r="G88" s="1"/>
  <c r="BT87"/>
  <c r="BS87"/>
  <c r="BR87"/>
  <c r="BQ87"/>
  <c r="BP87"/>
  <c r="BO87"/>
  <c r="BN87"/>
  <c r="BM87"/>
  <c r="BK87"/>
  <c r="BJ87"/>
  <c r="BI87"/>
  <c r="BH87"/>
  <c r="BG87"/>
  <c r="BF87"/>
  <c r="BE87"/>
  <c r="BD87"/>
  <c r="BC87"/>
  <c r="BB87"/>
  <c r="AX87"/>
  <c r="AW87"/>
  <c r="AV87"/>
  <c r="AC87"/>
  <c r="H87"/>
  <c r="G87" s="1"/>
  <c r="BT86"/>
  <c r="BS86"/>
  <c r="BR86"/>
  <c r="BQ86"/>
  <c r="BP86"/>
  <c r="BO86"/>
  <c r="BN86"/>
  <c r="BM86"/>
  <c r="BL86" s="1"/>
  <c r="BK86"/>
  <c r="BJ86"/>
  <c r="BI86"/>
  <c r="BH86"/>
  <c r="BG86"/>
  <c r="BF86"/>
  <c r="BE86"/>
  <c r="BD86"/>
  <c r="BC86"/>
  <c r="BB86"/>
  <c r="AX86"/>
  <c r="AW86"/>
  <c r="AV86"/>
  <c r="AC86"/>
  <c r="H86"/>
  <c r="BT85"/>
  <c r="BS85"/>
  <c r="BR85"/>
  <c r="BQ85"/>
  <c r="BP85"/>
  <c r="BO85"/>
  <c r="BN85"/>
  <c r="BM85"/>
  <c r="BK85"/>
  <c r="BJ85"/>
  <c r="BI85"/>
  <c r="BH85"/>
  <c r="BG85"/>
  <c r="BF85"/>
  <c r="BE85"/>
  <c r="BD85"/>
  <c r="BC85"/>
  <c r="BB85"/>
  <c r="AX85"/>
  <c r="AW85"/>
  <c r="AV85"/>
  <c r="AC85"/>
  <c r="H85"/>
  <c r="G85" s="1"/>
  <c r="BT84"/>
  <c r="BS84"/>
  <c r="BR84"/>
  <c r="BQ84"/>
  <c r="BP84"/>
  <c r="BO84"/>
  <c r="BN84"/>
  <c r="BM84"/>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BT82"/>
  <c r="BS82"/>
  <c r="BR82"/>
  <c r="BQ82"/>
  <c r="BP82"/>
  <c r="BO82"/>
  <c r="BN82"/>
  <c r="BM82"/>
  <c r="BL82" s="1"/>
  <c r="BK82"/>
  <c r="BJ82"/>
  <c r="BI82"/>
  <c r="BH82"/>
  <c r="BG82"/>
  <c r="BF82"/>
  <c r="BE82"/>
  <c r="BD82"/>
  <c r="BC82"/>
  <c r="BB82"/>
  <c r="AX82"/>
  <c r="AW82"/>
  <c r="AV82"/>
  <c r="AC82"/>
  <c r="H82"/>
  <c r="BT81"/>
  <c r="BS81"/>
  <c r="BR81"/>
  <c r="BQ81"/>
  <c r="BP81"/>
  <c r="BO81"/>
  <c r="BN81"/>
  <c r="BM81"/>
  <c r="BL81" s="1"/>
  <c r="BK81"/>
  <c r="BJ81"/>
  <c r="BI81"/>
  <c r="BH81"/>
  <c r="BG81"/>
  <c r="BF81"/>
  <c r="BE81"/>
  <c r="BD81"/>
  <c r="BC81"/>
  <c r="BB81"/>
  <c r="AX81"/>
  <c r="AW81"/>
  <c r="AV81"/>
  <c r="AC81"/>
  <c r="H81"/>
  <c r="G81" s="1"/>
  <c r="BT80"/>
  <c r="BS80"/>
  <c r="BR80"/>
  <c r="BQ80"/>
  <c r="BP80"/>
  <c r="BO80"/>
  <c r="BN80"/>
  <c r="BM80"/>
  <c r="BK80"/>
  <c r="BJ80"/>
  <c r="BI80"/>
  <c r="BH80"/>
  <c r="BG80"/>
  <c r="BF80"/>
  <c r="BE80"/>
  <c r="BD80"/>
  <c r="BC80"/>
  <c r="BB80"/>
  <c r="AX80"/>
  <c r="AW80"/>
  <c r="AV80"/>
  <c r="AC80"/>
  <c r="H80"/>
  <c r="G80" s="1"/>
  <c r="BT79"/>
  <c r="BS79"/>
  <c r="BR79"/>
  <c r="BQ79"/>
  <c r="BP79"/>
  <c r="BO79"/>
  <c r="BN79"/>
  <c r="BM79"/>
  <c r="BL79" s="1"/>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s="1"/>
  <c r="AX74"/>
  <c r="AW74"/>
  <c r="AV74"/>
  <c r="AC74"/>
  <c r="H74"/>
  <c r="BT73"/>
  <c r="BS73"/>
  <c r="BR73"/>
  <c r="BQ73"/>
  <c r="BP73"/>
  <c r="BO73"/>
  <c r="BN73"/>
  <c r="BM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BA72" s="1"/>
  <c r="AZ72" s="1"/>
  <c r="AX72"/>
  <c r="AW72"/>
  <c r="AV72"/>
  <c r="AC72"/>
  <c r="H72"/>
  <c r="BT71"/>
  <c r="BS71"/>
  <c r="BR71"/>
  <c r="BQ71"/>
  <c r="BP71"/>
  <c r="BO71"/>
  <c r="BN71"/>
  <c r="BM7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s="1"/>
  <c r="AX70"/>
  <c r="AW70"/>
  <c r="AV70"/>
  <c r="AC70"/>
  <c r="H70"/>
  <c r="BT69"/>
  <c r="BS69"/>
  <c r="BR69"/>
  <c r="BQ69"/>
  <c r="BP69"/>
  <c r="BO69"/>
  <c r="BN69"/>
  <c r="BM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BT66"/>
  <c r="BS66"/>
  <c r="BR66"/>
  <c r="BQ66"/>
  <c r="BP66"/>
  <c r="BO66"/>
  <c r="BN66"/>
  <c r="BM66"/>
  <c r="BK66"/>
  <c r="BJ66"/>
  <c r="BI66"/>
  <c r="BH66"/>
  <c r="BG66"/>
  <c r="BF66"/>
  <c r="BE66"/>
  <c r="BD66"/>
  <c r="BC66"/>
  <c r="BB66"/>
  <c r="AX66"/>
  <c r="AW66"/>
  <c r="AV66"/>
  <c r="AC66"/>
  <c r="H66"/>
  <c r="G66" s="1"/>
  <c r="BT65"/>
  <c r="BS65"/>
  <c r="BR65"/>
  <c r="BQ65"/>
  <c r="BP65"/>
  <c r="BO65"/>
  <c r="BN65"/>
  <c r="BM65"/>
  <c r="BL65" s="1"/>
  <c r="BK65"/>
  <c r="BJ65"/>
  <c r="BI65"/>
  <c r="BH65"/>
  <c r="BG65"/>
  <c r="BF65"/>
  <c r="BE65"/>
  <c r="BD65"/>
  <c r="BC65"/>
  <c r="BB65"/>
  <c r="AX65"/>
  <c r="AW65"/>
  <c r="AV65"/>
  <c r="AC65"/>
  <c r="H65"/>
  <c r="BT64"/>
  <c r="BS64"/>
  <c r="BR64"/>
  <c r="BQ64"/>
  <c r="BP64"/>
  <c r="BO64"/>
  <c r="BN64"/>
  <c r="BM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BA63" s="1"/>
  <c r="AX63"/>
  <c r="AW63"/>
  <c r="AV63"/>
  <c r="AC63"/>
  <c r="H63"/>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X61"/>
  <c r="AW61"/>
  <c r="AV61"/>
  <c r="AC61"/>
  <c r="H61"/>
  <c r="BT60"/>
  <c r="BS60"/>
  <c r="BR60"/>
  <c r="BQ60"/>
  <c r="BP60"/>
  <c r="BO60"/>
  <c r="BN60"/>
  <c r="BM60"/>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AX54"/>
  <c r="AW54"/>
  <c r="AV54"/>
  <c r="AC54"/>
  <c r="H54"/>
  <c r="G54" s="1"/>
  <c r="BT53"/>
  <c r="BS53"/>
  <c r="BR53"/>
  <c r="BQ53"/>
  <c r="BP53"/>
  <c r="BO53"/>
  <c r="BN53"/>
  <c r="BM53"/>
  <c r="BL53" s="1"/>
  <c r="BK53"/>
  <c r="BJ53"/>
  <c r="BI53"/>
  <c r="BH53"/>
  <c r="BG53"/>
  <c r="BF53"/>
  <c r="BE53"/>
  <c r="BD53"/>
  <c r="BC53"/>
  <c r="BB53"/>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L51" s="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G50" s="1"/>
  <c r="BT49"/>
  <c r="BS49"/>
  <c r="BR49"/>
  <c r="BQ49"/>
  <c r="BP49"/>
  <c r="BO49"/>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H40"/>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BA35" s="1"/>
  <c r="AX35"/>
  <c r="AW35"/>
  <c r="AV35"/>
  <c r="AC35"/>
  <c r="H35"/>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s="1"/>
  <c r="AZ33" s="1"/>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s="1"/>
  <c r="AX29"/>
  <c r="AW29"/>
  <c r="AV29"/>
  <c r="AC29"/>
  <c r="H29"/>
  <c r="BT28"/>
  <c r="BS28"/>
  <c r="BR28"/>
  <c r="BQ28"/>
  <c r="BP28"/>
  <c r="BO28"/>
  <c r="BN28"/>
  <c r="BM28"/>
  <c r="BK28"/>
  <c r="BJ28"/>
  <c r="BI28"/>
  <c r="BH28"/>
  <c r="BG28"/>
  <c r="BF28"/>
  <c r="BE28"/>
  <c r="BD28"/>
  <c r="BC28"/>
  <c r="BB28"/>
  <c r="BA28" s="1"/>
  <c r="AX28"/>
  <c r="AW28"/>
  <c r="AV28"/>
  <c r="AC28"/>
  <c r="H28"/>
  <c r="BT27"/>
  <c r="BS27"/>
  <c r="BR27"/>
  <c r="BQ27"/>
  <c r="BP27"/>
  <c r="BO27"/>
  <c r="BN27"/>
  <c r="BM27"/>
  <c r="BL27" s="1"/>
  <c r="BK27"/>
  <c r="BJ27"/>
  <c r="BI27"/>
  <c r="BH27"/>
  <c r="BG27"/>
  <c r="BF27"/>
  <c r="BE27"/>
  <c r="BD27"/>
  <c r="BC27"/>
  <c r="BB27"/>
  <c r="AX27"/>
  <c r="AW27"/>
  <c r="AV27"/>
  <c r="AC27"/>
  <c r="H27"/>
  <c r="BT26"/>
  <c r="BS26"/>
  <c r="BR26"/>
  <c r="BQ26"/>
  <c r="BP26"/>
  <c r="BO26"/>
  <c r="BN26"/>
  <c r="BM26"/>
  <c r="BL26" s="1"/>
  <c r="BK26"/>
  <c r="BJ26"/>
  <c r="BI26"/>
  <c r="BH26"/>
  <c r="BG26"/>
  <c r="BF26"/>
  <c r="BE26"/>
  <c r="BD26"/>
  <c r="BC26"/>
  <c r="BB26"/>
  <c r="AX26"/>
  <c r="AW26"/>
  <c r="AV26"/>
  <c r="AC26"/>
  <c r="H26"/>
  <c r="G26" s="1"/>
  <c r="BT25"/>
  <c r="BS25"/>
  <c r="BR25"/>
  <c r="BQ25"/>
  <c r="BP25"/>
  <c r="BO25"/>
  <c r="BN25"/>
  <c r="BM25"/>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L204" s="1"/>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G201" s="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L198" s="1"/>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s="1"/>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s="1"/>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L186" s="1"/>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L182" s="1"/>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L152" s="1"/>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G149" s="1"/>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K129"/>
  <c r="BJ129"/>
  <c r="BI129"/>
  <c r="BH129"/>
  <c r="BG129"/>
  <c r="BF129"/>
  <c r="BE129"/>
  <c r="BD129"/>
  <c r="BC129"/>
  <c r="BB129"/>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L120" s="1"/>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L117" s="1"/>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s="1"/>
  <c r="AX113"/>
  <c r="AW113"/>
  <c r="AV113"/>
  <c r="AC113"/>
  <c r="H113"/>
  <c r="BT296"/>
  <c r="BS296"/>
  <c r="BR296"/>
  <c r="BQ296"/>
  <c r="BP296"/>
  <c r="BO296"/>
  <c r="BN296"/>
  <c r="BM296"/>
  <c r="BK296"/>
  <c r="BJ296"/>
  <c r="BI296"/>
  <c r="BH296"/>
  <c r="BG296"/>
  <c r="BF296"/>
  <c r="BE296"/>
  <c r="BD296"/>
  <c r="BC296"/>
  <c r="BB296"/>
  <c r="AX296"/>
  <c r="AW296"/>
  <c r="AV296"/>
  <c r="AC296"/>
  <c r="H296"/>
  <c r="G296" s="1"/>
  <c r="BT295"/>
  <c r="BS295"/>
  <c r="BR295"/>
  <c r="BQ295"/>
  <c r="BP295"/>
  <c r="BO295"/>
  <c r="BN295"/>
  <c r="BM295"/>
  <c r="BK295"/>
  <c r="BJ295"/>
  <c r="BI295"/>
  <c r="BH295"/>
  <c r="BG295"/>
  <c r="BF295"/>
  <c r="BE295"/>
  <c r="BD295"/>
  <c r="BC295"/>
  <c r="BB295"/>
  <c r="BA295" s="1"/>
  <c r="AX295"/>
  <c r="AW295"/>
  <c r="AV295"/>
  <c r="AC295"/>
  <c r="H295"/>
  <c r="G295" s="1"/>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L293" s="1"/>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s="1"/>
  <c r="AZ291" s="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BA287" s="1"/>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BA283" s="1"/>
  <c r="AZ283" s="1"/>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L281" s="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G280" s="1"/>
  <c r="BT279"/>
  <c r="BS279"/>
  <c r="BR279"/>
  <c r="BQ279"/>
  <c r="BP279"/>
  <c r="BO279"/>
  <c r="BN279"/>
  <c r="BM279"/>
  <c r="BK279"/>
  <c r="BJ279"/>
  <c r="BI279"/>
  <c r="BH279"/>
  <c r="BG279"/>
  <c r="BF279"/>
  <c r="BE279"/>
  <c r="BD279"/>
  <c r="BC279"/>
  <c r="BB279"/>
  <c r="BA279" s="1"/>
  <c r="AX279"/>
  <c r="AW279"/>
  <c r="AV279"/>
  <c r="AC279"/>
  <c r="H279"/>
  <c r="BT278"/>
  <c r="BS278"/>
  <c r="BR278"/>
  <c r="BQ278"/>
  <c r="BP278"/>
  <c r="BO278"/>
  <c r="BN278"/>
  <c r="BM278"/>
  <c r="BK278"/>
  <c r="BJ278"/>
  <c r="BI278"/>
  <c r="BH278"/>
  <c r="BG278"/>
  <c r="BF278"/>
  <c r="BE278"/>
  <c r="BD278"/>
  <c r="BC278"/>
  <c r="BB278"/>
  <c r="BA278" s="1"/>
  <c r="AX278"/>
  <c r="AW278"/>
  <c r="AV278"/>
  <c r="AC278"/>
  <c r="H278"/>
  <c r="BT277"/>
  <c r="BS277"/>
  <c r="BR277"/>
  <c r="BQ277"/>
  <c r="BP277"/>
  <c r="BO277"/>
  <c r="BN277"/>
  <c r="BM277"/>
  <c r="BL277" s="1"/>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L274" s="1"/>
  <c r="BK274"/>
  <c r="BJ274"/>
  <c r="BI274"/>
  <c r="BH274"/>
  <c r="BG274"/>
  <c r="BF274"/>
  <c r="BE274"/>
  <c r="BD274"/>
  <c r="BC274"/>
  <c r="BB274"/>
  <c r="AX274"/>
  <c r="AW274"/>
  <c r="AV274"/>
  <c r="AC274"/>
  <c r="H274"/>
  <c r="BT273"/>
  <c r="BS273"/>
  <c r="BR273"/>
  <c r="BQ273"/>
  <c r="BP273"/>
  <c r="BO273"/>
  <c r="BN273"/>
  <c r="BM273"/>
  <c r="BL273" s="1"/>
  <c r="BK273"/>
  <c r="BJ273"/>
  <c r="BI273"/>
  <c r="BH273"/>
  <c r="BG273"/>
  <c r="BF273"/>
  <c r="BE273"/>
  <c r="BD273"/>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BA259"/>
  <c r="AX259"/>
  <c r="AW259"/>
  <c r="AV259"/>
  <c r="AC259"/>
  <c r="H259"/>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s="1"/>
  <c r="AX257"/>
  <c r="AW257"/>
  <c r="AV257"/>
  <c r="AC257"/>
  <c r="H257"/>
  <c r="BT256"/>
  <c r="BS256"/>
  <c r="BR256"/>
  <c r="BQ256"/>
  <c r="BP256"/>
  <c r="BO256"/>
  <c r="BN256"/>
  <c r="BM256"/>
  <c r="BK256"/>
  <c r="BJ256"/>
  <c r="BI256"/>
  <c r="BH256"/>
  <c r="BG256"/>
  <c r="BF256"/>
  <c r="BE256"/>
  <c r="BD256"/>
  <c r="BC256"/>
  <c r="BB256"/>
  <c r="BA256"/>
  <c r="AX256"/>
  <c r="AW256"/>
  <c r="AV256"/>
  <c r="AC256"/>
  <c r="H256"/>
  <c r="BT255"/>
  <c r="BS255"/>
  <c r="BR255"/>
  <c r="BQ255"/>
  <c r="BP255"/>
  <c r="BO255"/>
  <c r="BN255"/>
  <c r="BM255"/>
  <c r="BL255"/>
  <c r="BK255"/>
  <c r="BJ255"/>
  <c r="BI255"/>
  <c r="BH255"/>
  <c r="BG255"/>
  <c r="BF255"/>
  <c r="BE255"/>
  <c r="BD255"/>
  <c r="BC255"/>
  <c r="BB255"/>
  <c r="BA255" s="1"/>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BA249" s="1"/>
  <c r="AX249"/>
  <c r="AW249"/>
  <c r="AV249"/>
  <c r="AC249"/>
  <c r="H249"/>
  <c r="G249" s="1"/>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L242" s="1"/>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G241" s="1"/>
  <c r="BT240"/>
  <c r="BS240"/>
  <c r="BR240"/>
  <c r="BQ240"/>
  <c r="BP240"/>
  <c r="BO240"/>
  <c r="BN240"/>
  <c r="BM240"/>
  <c r="BK240"/>
  <c r="BJ240"/>
  <c r="BI240"/>
  <c r="BH240"/>
  <c r="BG240"/>
  <c r="BF240"/>
  <c r="BE240"/>
  <c r="BD240"/>
  <c r="BC240"/>
  <c r="BB240"/>
  <c r="BA240" s="1"/>
  <c r="AX240"/>
  <c r="AW240"/>
  <c r="AV240"/>
  <c r="AC240"/>
  <c r="H240"/>
  <c r="BT239"/>
  <c r="BS239"/>
  <c r="BR239"/>
  <c r="BQ239"/>
  <c r="BP239"/>
  <c r="BO239"/>
  <c r="BN239"/>
  <c r="BM239"/>
  <c r="BL239" s="1"/>
  <c r="BK239"/>
  <c r="BJ239"/>
  <c r="BI239"/>
  <c r="BH239"/>
  <c r="BG239"/>
  <c r="BF239"/>
  <c r="BE239"/>
  <c r="BD239"/>
  <c r="BC239"/>
  <c r="BB239"/>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L234" s="1"/>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s="1"/>
  <c r="AZ232" s="1"/>
  <c r="AX232"/>
  <c r="AW232"/>
  <c r="AV232"/>
  <c r="AC232"/>
  <c r="H232"/>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BA227"/>
  <c r="AX227"/>
  <c r="AW227"/>
  <c r="AV227"/>
  <c r="AC227"/>
  <c r="H227"/>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s="1"/>
  <c r="AX225"/>
  <c r="AW225"/>
  <c r="AV225"/>
  <c r="AC225"/>
  <c r="H225"/>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s="1"/>
  <c r="AZ219" s="1"/>
  <c r="AX219"/>
  <c r="AW219"/>
  <c r="AV219"/>
  <c r="AC219"/>
  <c r="H219"/>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G214" s="1"/>
  <c r="BT213"/>
  <c r="BS213"/>
  <c r="BR213"/>
  <c r="BQ213"/>
  <c r="BP213"/>
  <c r="BO213"/>
  <c r="BN213"/>
  <c r="BM213"/>
  <c r="BK213"/>
  <c r="BJ213"/>
  <c r="BI213"/>
  <c r="BH213"/>
  <c r="BG213"/>
  <c r="BF213"/>
  <c r="BE213"/>
  <c r="BD213"/>
  <c r="BC213"/>
  <c r="BB213"/>
  <c r="BA213" s="1"/>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G209" s="1"/>
  <c r="BT208"/>
  <c r="BS208"/>
  <c r="BR208"/>
  <c r="BQ208"/>
  <c r="BP208"/>
  <c r="BO208"/>
  <c r="BN208"/>
  <c r="BM208"/>
  <c r="BK208"/>
  <c r="BJ208"/>
  <c r="BI208"/>
  <c r="BH208"/>
  <c r="BG208"/>
  <c r="BF208"/>
  <c r="BE208"/>
  <c r="BD208"/>
  <c r="BC208"/>
  <c r="BB208"/>
  <c r="BA208" s="1"/>
  <c r="AX208"/>
  <c r="AW208"/>
  <c r="AV208"/>
  <c r="AC208"/>
  <c r="H208"/>
  <c r="BT207"/>
  <c r="BS207"/>
  <c r="BR207"/>
  <c r="BQ207"/>
  <c r="BP207"/>
  <c r="BO207"/>
  <c r="BN207"/>
  <c r="BM207"/>
  <c r="BL207" s="1"/>
  <c r="BK207"/>
  <c r="BJ207"/>
  <c r="BI207"/>
  <c r="BH207"/>
  <c r="BG207"/>
  <c r="BF207"/>
  <c r="BE207"/>
  <c r="BD207"/>
  <c r="BC207"/>
  <c r="BB207"/>
  <c r="AX207"/>
  <c r="AW207"/>
  <c r="AV207"/>
  <c r="AC207"/>
  <c r="H207"/>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K205"/>
  <c r="BJ205"/>
  <c r="BI205"/>
  <c r="BH205"/>
  <c r="BG205"/>
  <c r="BF205"/>
  <c r="BE205"/>
  <c r="BD205"/>
  <c r="BC205"/>
  <c r="BB205"/>
  <c r="AX205"/>
  <c r="AW205"/>
  <c r="AV205"/>
  <c r="AC205"/>
  <c r="H205"/>
  <c r="G205" s="1"/>
  <c r="BT388"/>
  <c r="BS388"/>
  <c r="BR388"/>
  <c r="BQ388"/>
  <c r="BP388"/>
  <c r="BO388"/>
  <c r="BN388"/>
  <c r="BM388"/>
  <c r="BK388"/>
  <c r="BJ388"/>
  <c r="BI388"/>
  <c r="BH388"/>
  <c r="BG388"/>
  <c r="BF388"/>
  <c r="BE388"/>
  <c r="BD388"/>
  <c r="BC388"/>
  <c r="BB388"/>
  <c r="BA388" s="1"/>
  <c r="AX388"/>
  <c r="AW388"/>
  <c r="AV388"/>
  <c r="AC388"/>
  <c r="H388"/>
  <c r="G388"/>
  <c r="BT387"/>
  <c r="BS387"/>
  <c r="BR387"/>
  <c r="BQ387"/>
  <c r="BP387"/>
  <c r="BO387"/>
  <c r="BN387"/>
  <c r="BM387"/>
  <c r="BL387" s="1"/>
  <c r="BK387"/>
  <c r="BJ387"/>
  <c r="BI387"/>
  <c r="BH387"/>
  <c r="BG387"/>
  <c r="BF387"/>
  <c r="BE387"/>
  <c r="BD387"/>
  <c r="BC387"/>
  <c r="BB387"/>
  <c r="BA387" s="1"/>
  <c r="AZ387" s="1"/>
  <c r="AX387"/>
  <c r="AW387"/>
  <c r="AV387"/>
  <c r="AC387"/>
  <c r="H387"/>
  <c r="G387" s="1"/>
  <c r="BT386"/>
  <c r="BS386"/>
  <c r="BR386"/>
  <c r="BQ386"/>
  <c r="BP386"/>
  <c r="BO386"/>
  <c r="BN386"/>
  <c r="BM386"/>
  <c r="BL386" s="1"/>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L384" s="1"/>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s="1"/>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BA334" s="1"/>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L480" s="1"/>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s="1"/>
  <c r="AZ478" s="1"/>
  <c r="AX478"/>
  <c r="AW478"/>
  <c r="AV478"/>
  <c r="AC478"/>
  <c r="H478"/>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L476" s="1"/>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s="1"/>
  <c r="AX471"/>
  <c r="AW471"/>
  <c r="AV471"/>
  <c r="AC471"/>
  <c r="H471"/>
  <c r="BT470"/>
  <c r="BS470"/>
  <c r="BR470"/>
  <c r="BQ470"/>
  <c r="BP470"/>
  <c r="BO470"/>
  <c r="BN470"/>
  <c r="BM470"/>
  <c r="BK470"/>
  <c r="BJ470"/>
  <c r="BI470"/>
  <c r="BH470"/>
  <c r="BG470"/>
  <c r="BF470"/>
  <c r="BE470"/>
  <c r="BD470"/>
  <c r="BC470"/>
  <c r="BB470"/>
  <c r="BA470"/>
  <c r="AX470"/>
  <c r="AW470"/>
  <c r="AV470"/>
  <c r="AC470"/>
  <c r="H470"/>
  <c r="BT469"/>
  <c r="BS469"/>
  <c r="BR469"/>
  <c r="BQ469"/>
  <c r="BP469"/>
  <c r="BO469"/>
  <c r="BN469"/>
  <c r="BM469"/>
  <c r="BL469"/>
  <c r="BK469"/>
  <c r="BJ469"/>
  <c r="BI469"/>
  <c r="BH469"/>
  <c r="BG469"/>
  <c r="BF469"/>
  <c r="BE469"/>
  <c r="BD469"/>
  <c r="BC469"/>
  <c r="BB469"/>
  <c r="BA469" s="1"/>
  <c r="AZ469" s="1"/>
  <c r="AX469"/>
  <c r="AW469"/>
  <c r="AV469"/>
  <c r="AC469"/>
  <c r="H469"/>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s="1"/>
  <c r="AX467"/>
  <c r="AW467"/>
  <c r="AV467"/>
  <c r="AC467"/>
  <c r="H467"/>
  <c r="BT466"/>
  <c r="BS466"/>
  <c r="BR466"/>
  <c r="BQ466"/>
  <c r="BP466"/>
  <c r="BO466"/>
  <c r="BN466"/>
  <c r="BM466"/>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BA463" s="1"/>
  <c r="AX463"/>
  <c r="AW463"/>
  <c r="AV463"/>
  <c r="AC463"/>
  <c r="H463"/>
  <c r="G463" s="1"/>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L461" s="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BT450"/>
  <c r="BS450"/>
  <c r="BR450"/>
  <c r="BQ450"/>
  <c r="BP450"/>
  <c r="BO450"/>
  <c r="BN450"/>
  <c r="BM450"/>
  <c r="BL450" s="1"/>
  <c r="BK450"/>
  <c r="BJ450"/>
  <c r="BI450"/>
  <c r="BH450"/>
  <c r="BG450"/>
  <c r="BF450"/>
  <c r="BE450"/>
  <c r="BD450"/>
  <c r="BC450"/>
  <c r="BB450"/>
  <c r="AX450"/>
  <c r="AW450"/>
  <c r="AV450"/>
  <c r="AC450"/>
  <c r="H450"/>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G447" s="1"/>
  <c r="BT446"/>
  <c r="BS446"/>
  <c r="BR446"/>
  <c r="BQ446"/>
  <c r="BP446"/>
  <c r="BO446"/>
  <c r="BN446"/>
  <c r="BM446"/>
  <c r="BL446" s="1"/>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BA444" s="1"/>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L442" s="1"/>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s="1"/>
  <c r="AX432"/>
  <c r="AW432"/>
  <c r="AV432"/>
  <c r="AC432"/>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BA424" s="1"/>
  <c r="AX424"/>
  <c r="AW424"/>
  <c r="AV424"/>
  <c r="AC424"/>
  <c r="H424"/>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L422" s="1"/>
  <c r="BK422"/>
  <c r="BJ422"/>
  <c r="BI422"/>
  <c r="BH422"/>
  <c r="BG422"/>
  <c r="BF422"/>
  <c r="BE422"/>
  <c r="BD422"/>
  <c r="BC422"/>
  <c r="BB422"/>
  <c r="AX422"/>
  <c r="AW422"/>
  <c r="AV422"/>
  <c r="AC422"/>
  <c r="H422"/>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L419" s="1"/>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Z417" s="1"/>
  <c r="AX417"/>
  <c r="AW417"/>
  <c r="AV417"/>
  <c r="AC417"/>
  <c r="H417"/>
  <c r="BT416"/>
  <c r="BS416"/>
  <c r="BR416"/>
  <c r="BQ416"/>
  <c r="BP416"/>
  <c r="BO416"/>
  <c r="BN416"/>
  <c r="BM416"/>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s="1"/>
  <c r="AX415"/>
  <c r="AW415"/>
  <c r="AV415"/>
  <c r="AC415"/>
  <c r="H415"/>
  <c r="G415" s="1"/>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BT412"/>
  <c r="BS412"/>
  <c r="BR412"/>
  <c r="BQ412"/>
  <c r="BP412"/>
  <c r="BO412"/>
  <c r="BN412"/>
  <c r="BM412"/>
  <c r="BL412" s="1"/>
  <c r="BK412"/>
  <c r="BJ412"/>
  <c r="BI412"/>
  <c r="BH412"/>
  <c r="BG412"/>
  <c r="BF412"/>
  <c r="BE412"/>
  <c r="BD412"/>
  <c r="BC412"/>
  <c r="BB412"/>
  <c r="AX412"/>
  <c r="AW412"/>
  <c r="AV412"/>
  <c r="AC412"/>
  <c r="H412"/>
  <c r="G412" s="1"/>
  <c r="BT411"/>
  <c r="BS411"/>
  <c r="BR411"/>
  <c r="BQ411"/>
  <c r="BP411"/>
  <c r="BO411"/>
  <c r="BN411"/>
  <c r="BM41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s="1"/>
  <c r="AX408"/>
  <c r="AW408"/>
  <c r="AV408"/>
  <c r="AC408"/>
  <c r="H408"/>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L406" s="1"/>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BT401"/>
  <c r="BS401"/>
  <c r="BR401"/>
  <c r="BQ401"/>
  <c r="BP401"/>
  <c r="BO401"/>
  <c r="BN401"/>
  <c r="BM40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BT397"/>
  <c r="BS397"/>
  <c r="BR397"/>
  <c r="BQ397"/>
  <c r="BP397"/>
  <c r="BO397"/>
  <c r="BN397"/>
  <c r="BM397"/>
  <c r="BK397"/>
  <c r="BJ397"/>
  <c r="BI397"/>
  <c r="BH397"/>
  <c r="BG397"/>
  <c r="BF397"/>
  <c r="BE397"/>
  <c r="BD397"/>
  <c r="BC397"/>
  <c r="BB397"/>
  <c r="BA397"/>
  <c r="AX397"/>
  <c r="AW397"/>
  <c r="AV397"/>
  <c r="AC397"/>
  <c r="H397"/>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BT394"/>
  <c r="BS394"/>
  <c r="BR394"/>
  <c r="BQ394"/>
  <c r="BP394"/>
  <c r="BO394"/>
  <c r="BN394"/>
  <c r="BM394"/>
  <c r="BK394"/>
  <c r="BJ394"/>
  <c r="BI394"/>
  <c r="BH394"/>
  <c r="BG394"/>
  <c r="BF394"/>
  <c r="BE394"/>
  <c r="BD394"/>
  <c r="BC394"/>
  <c r="BB394"/>
  <c r="AX394"/>
  <c r="AW394"/>
  <c r="AV394"/>
  <c r="AC394"/>
  <c r="H394"/>
  <c r="G394" s="1"/>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L391"/>
  <c r="BK391"/>
  <c r="BJ391"/>
  <c r="BI391"/>
  <c r="BH391"/>
  <c r="BG391"/>
  <c r="BF391"/>
  <c r="BE391"/>
  <c r="BD391"/>
  <c r="BC391"/>
  <c r="BB391"/>
  <c r="BA391" s="1"/>
  <c r="AZ391" s="1"/>
  <c r="AX391"/>
  <c r="AW391"/>
  <c r="AV391"/>
  <c r="AC391"/>
  <c r="H391"/>
  <c r="BT390"/>
  <c r="BS390"/>
  <c r="BR390"/>
  <c r="BQ390"/>
  <c r="BP390"/>
  <c r="BO390"/>
  <c r="BN390"/>
  <c r="BM390"/>
  <c r="BL390"/>
  <c r="BK390"/>
  <c r="BJ390"/>
  <c r="BI390"/>
  <c r="BH390"/>
  <c r="BG390"/>
  <c r="BF390"/>
  <c r="BE390"/>
  <c r="BD390"/>
  <c r="BC390"/>
  <c r="BB390"/>
  <c r="BA390" s="1"/>
  <c r="AZ390" s="1"/>
  <c r="AX390"/>
  <c r="AW390"/>
  <c r="AV390"/>
  <c r="AC390"/>
  <c r="H390"/>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C6" i="12"/>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s="1"/>
  <c r="F99" s="1"/>
  <c r="G99" s="1"/>
  <c r="F33" s="1"/>
  <c r="H42" i="34"/>
  <c r="J42"/>
  <c r="F42"/>
  <c r="J38"/>
  <c r="D114"/>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AC39" s="1"/>
  <c r="B108"/>
  <c r="C23"/>
  <c r="C19"/>
  <c r="C17"/>
  <c r="C15"/>
  <c r="B112"/>
  <c r="D107"/>
  <c r="E107" s="1"/>
  <c r="F107" s="1"/>
  <c r="D105"/>
  <c r="E105" s="1"/>
  <c r="F105" s="1"/>
  <c r="G105" s="1"/>
  <c r="H36"/>
  <c r="D103"/>
  <c r="J35"/>
  <c r="AC35" s="1"/>
  <c r="F97"/>
  <c r="E97"/>
  <c r="D97"/>
  <c r="C97"/>
  <c r="D96"/>
  <c r="E96" s="1"/>
  <c r="F96" s="1"/>
  <c r="G96" s="1"/>
  <c r="H96" s="1"/>
  <c r="I96" s="1"/>
  <c r="J96" s="1"/>
  <c r="K96" s="1"/>
  <c r="L96" s="1"/>
  <c r="M96" s="1"/>
  <c r="D94"/>
  <c r="M90"/>
  <c r="L90"/>
  <c r="K90"/>
  <c r="J90"/>
  <c r="I90"/>
  <c r="H90"/>
  <c r="G90"/>
  <c r="F90"/>
  <c r="E90"/>
  <c r="D90"/>
  <c r="C90"/>
  <c r="D89"/>
  <c r="B86"/>
  <c r="B84"/>
  <c r="H27" s="1"/>
  <c r="B82"/>
  <c r="J26" s="1"/>
  <c r="W26" s="1"/>
  <c r="D79"/>
  <c r="E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H26"/>
  <c r="AB26" s="1"/>
  <c r="Q25"/>
  <c r="Z25" s="1"/>
  <c r="J25"/>
  <c r="W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s="1"/>
  <c r="S32" s="1"/>
  <c r="B95"/>
  <c r="H34" s="1"/>
  <c r="U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W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H34" s="1"/>
  <c r="B77"/>
  <c r="B75"/>
  <c r="J24" s="1"/>
  <c r="B73"/>
  <c r="J23" s="1"/>
  <c r="B57"/>
  <c r="B61"/>
  <c r="B59"/>
  <c r="H12" s="1"/>
  <c r="B131" i="34"/>
  <c r="B129"/>
  <c r="B127"/>
  <c r="B99"/>
  <c r="B97"/>
  <c r="B95"/>
  <c r="B93"/>
  <c r="B75"/>
  <c r="B73"/>
  <c r="B71"/>
  <c r="B130" i="33"/>
  <c r="B128"/>
  <c r="H45" s="1"/>
  <c r="B126"/>
  <c r="B98"/>
  <c r="F31" s="1"/>
  <c r="B96"/>
  <c r="B94"/>
  <c r="B74"/>
  <c r="B72"/>
  <c r="B70"/>
  <c r="H12" s="1"/>
  <c r="U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Q35"/>
  <c r="Z35" s="1"/>
  <c r="Q34"/>
  <c r="Z34" s="1"/>
  <c r="J34"/>
  <c r="AC34" s="1"/>
  <c r="Q33"/>
  <c r="Z33" s="1"/>
  <c r="Q32"/>
  <c r="Z32" s="1"/>
  <c r="H32"/>
  <c r="AB32" s="1"/>
  <c r="F32"/>
  <c r="AA32" s="1"/>
  <c r="Q31"/>
  <c r="Z31" s="1"/>
  <c r="AC31"/>
  <c r="AB31"/>
  <c r="AA31"/>
  <c r="Q30"/>
  <c r="Z30" s="1"/>
  <c r="Q29"/>
  <c r="Z29" s="1"/>
  <c r="Q28"/>
  <c r="Z28" s="1"/>
  <c r="J28"/>
  <c r="H28"/>
  <c r="F28"/>
  <c r="AA28" s="1"/>
  <c r="Q27"/>
  <c r="Z27" s="1"/>
  <c r="Q26"/>
  <c r="Z26" s="1"/>
  <c r="Q25"/>
  <c r="Z25" s="1"/>
  <c r="Q24"/>
  <c r="Z24" s="1"/>
  <c r="Q23"/>
  <c r="Z23" s="1"/>
  <c r="Q22"/>
  <c r="Z22" s="1"/>
  <c r="Q20"/>
  <c r="Z20" s="1"/>
  <c r="Q16"/>
  <c r="Z16" s="1"/>
  <c r="Q14"/>
  <c r="Z14" s="1"/>
  <c r="Q13"/>
  <c r="Z13" s="1"/>
  <c r="Q12"/>
  <c r="Z12" s="1"/>
  <c r="F12"/>
  <c r="AA12" s="1"/>
  <c r="Q11"/>
  <c r="Z11" s="1"/>
  <c r="Q10"/>
  <c r="Z10" s="1"/>
  <c r="Q9"/>
  <c r="Z9" s="1"/>
  <c r="J9"/>
  <c r="W9" s="1"/>
  <c r="J8"/>
  <c r="H8"/>
  <c r="F8"/>
  <c r="AA8" s="1"/>
  <c r="C7"/>
  <c r="D120" i="34"/>
  <c r="E120" s="1"/>
  <c r="F120" s="1"/>
  <c r="G120" s="1"/>
  <c r="H120" s="1"/>
  <c r="I120" s="1"/>
  <c r="J120" s="1"/>
  <c r="K120" s="1"/>
  <c r="L120" s="1"/>
  <c r="M120" s="1"/>
  <c r="D90"/>
  <c r="C15"/>
  <c r="F67"/>
  <c r="G67" s="1"/>
  <c r="H67" s="1"/>
  <c r="I67" s="1"/>
  <c r="D126"/>
  <c r="E126" s="1"/>
  <c r="F126" s="1"/>
  <c r="G126" s="1"/>
  <c r="D124"/>
  <c r="E124" s="1"/>
  <c r="F124" s="1"/>
  <c r="G124" s="1"/>
  <c r="H124" s="1"/>
  <c r="I124" s="1"/>
  <c r="J124" s="1"/>
  <c r="K124" s="1"/>
  <c r="L124" s="1"/>
  <c r="M124"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D107"/>
  <c r="E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Q42"/>
  <c r="Z42" s="1"/>
  <c r="Q41"/>
  <c r="Z41" s="1"/>
  <c r="Q40"/>
  <c r="Z40" s="1"/>
  <c r="F40"/>
  <c r="S40" s="1"/>
  <c r="Q39"/>
  <c r="Z39" s="1"/>
  <c r="F39"/>
  <c r="Q38"/>
  <c r="Z38" s="1"/>
  <c r="Q37"/>
  <c r="Z37" s="1"/>
  <c r="Q36"/>
  <c r="Z36" s="1"/>
  <c r="Q35"/>
  <c r="Z35" s="1"/>
  <c r="Q34"/>
  <c r="Z34" s="1"/>
  <c r="J34"/>
  <c r="H34"/>
  <c r="AB34" s="1"/>
  <c r="F34"/>
  <c r="AA34" s="1"/>
  <c r="Q33"/>
  <c r="Z33"/>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F12"/>
  <c r="S12" s="1"/>
  <c r="Q11"/>
  <c r="Z11" s="1"/>
  <c r="Q10"/>
  <c r="Z10" s="1"/>
  <c r="Q9"/>
  <c r="Z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H29" s="1"/>
  <c r="U29" s="1"/>
  <c r="B92"/>
  <c r="B90"/>
  <c r="H27" s="1"/>
  <c r="AB27" s="1"/>
  <c r="B74"/>
  <c r="B72"/>
  <c r="J13" s="1"/>
  <c r="AC13" s="1"/>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F38"/>
  <c r="S38" s="1"/>
  <c r="F36"/>
  <c r="S36" s="1"/>
  <c r="F39"/>
  <c r="AA39" s="1"/>
  <c r="J40"/>
  <c r="H35"/>
  <c r="AB35" s="1"/>
  <c r="J8"/>
  <c r="H8"/>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W39"/>
  <c r="F29" i="36"/>
  <c r="AA29" s="1"/>
  <c r="F16"/>
  <c r="AA16" s="1"/>
  <c r="U22"/>
  <c r="W23"/>
  <c r="W22"/>
  <c r="U26"/>
  <c r="AC31"/>
  <c r="J33"/>
  <c r="W33" s="1"/>
  <c r="AC27" i="35"/>
  <c r="U31"/>
  <c r="S31"/>
  <c r="W31"/>
  <c r="F36" i="34"/>
  <c r="S36" s="1"/>
  <c r="S34"/>
  <c r="H39" i="33"/>
  <c r="AB39" s="1"/>
  <c r="F26"/>
  <c r="AA26" s="1"/>
  <c r="U33"/>
  <c r="S40"/>
  <c r="S33"/>
  <c r="W33"/>
  <c r="U38"/>
  <c r="S8" i="21"/>
  <c r="H39" i="37"/>
  <c r="AB39" s="1"/>
  <c r="AB27" i="35"/>
  <c r="S10" i="40"/>
  <c r="W10"/>
  <c r="S11"/>
  <c r="U11"/>
  <c r="S36"/>
  <c r="U36"/>
  <c r="S40" i="39"/>
  <c r="S36"/>
  <c r="F11" i="21"/>
  <c r="S11" s="1"/>
  <c r="AA38"/>
  <c r="AB36"/>
  <c r="AC35"/>
  <c r="C23" i="39"/>
  <c r="U36"/>
  <c r="S42"/>
  <c r="H32" i="33"/>
  <c r="AB32" s="1"/>
  <c r="H11" i="21"/>
  <c r="U11" s="1"/>
  <c r="J11"/>
  <c r="W11" s="1"/>
  <c r="F100" i="40"/>
  <c r="J27" i="36"/>
  <c r="W27" s="1"/>
  <c r="J34"/>
  <c r="W34" s="1"/>
  <c r="J30" i="35"/>
  <c r="W30" s="1"/>
  <c r="F22"/>
  <c r="H10"/>
  <c r="U10" s="1"/>
  <c r="U29" i="36"/>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H43" i="34"/>
  <c r="AB43" s="1"/>
  <c r="U42"/>
  <c r="E114"/>
  <c r="H36"/>
  <c r="U36" s="1"/>
  <c r="F33"/>
  <c r="S33" s="1"/>
  <c r="F19"/>
  <c r="AA19" s="1"/>
  <c r="J10"/>
  <c r="AC10" s="1"/>
  <c r="U9"/>
  <c r="W8"/>
  <c r="J28"/>
  <c r="W28" s="1"/>
  <c r="S38" i="33"/>
  <c r="E113"/>
  <c r="F36"/>
  <c r="S36" s="1"/>
  <c r="F19"/>
  <c r="S19" s="1"/>
  <c r="J19"/>
  <c r="W40"/>
  <c r="AB30" i="36"/>
  <c r="AC34"/>
  <c r="H29" i="35"/>
  <c r="U34" i="37"/>
  <c r="S34"/>
  <c r="AA34"/>
  <c r="AB42" i="34"/>
  <c r="AB40"/>
  <c r="J19"/>
  <c r="AC19" s="1"/>
  <c r="F113" i="33"/>
  <c r="G113" s="1"/>
  <c r="H113" s="1"/>
  <c r="I113" s="1"/>
  <c r="J113" s="1"/>
  <c r="K113" s="1"/>
  <c r="L113" s="1"/>
  <c r="M113" s="1"/>
  <c r="H37"/>
  <c r="AB37" s="1"/>
  <c r="S37"/>
  <c r="AC42" i="34"/>
  <c r="W42"/>
  <c r="AA42"/>
  <c r="S42"/>
  <c r="AC38"/>
  <c r="W38"/>
  <c r="AA38"/>
  <c r="S38"/>
  <c r="J37" i="33"/>
  <c r="W37" s="1"/>
  <c r="J42" i="21"/>
  <c r="AC42" s="1"/>
  <c r="J44" i="34"/>
  <c r="AC44" s="1"/>
  <c r="F44"/>
  <c r="S44" s="1"/>
  <c r="J10" i="35"/>
  <c r="W10" s="1"/>
  <c r="AL5" i="3"/>
  <c r="BQ13"/>
  <c r="BL13" s="1"/>
  <c r="J14" i="21"/>
  <c r="W14" s="1"/>
  <c r="F14"/>
  <c r="AA14" s="1"/>
  <c r="H14"/>
  <c r="U14" s="1"/>
  <c r="H28"/>
  <c r="AB28" s="1"/>
  <c r="F28"/>
  <c r="AA28" s="1"/>
  <c r="J28"/>
  <c r="AC28" s="1"/>
  <c r="H30"/>
  <c r="F30"/>
  <c r="S30" s="1"/>
  <c r="J30"/>
  <c r="AC30" s="1"/>
  <c r="J44"/>
  <c r="AC44" s="1"/>
  <c r="H44"/>
  <c r="U44" s="1"/>
  <c r="F44"/>
  <c r="AA44" s="1"/>
  <c r="H46"/>
  <c r="AB46" s="1"/>
  <c r="J46"/>
  <c r="W46" s="1"/>
  <c r="F46"/>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F13"/>
  <c r="AA13" s="1"/>
  <c r="J27"/>
  <c r="W27" s="1"/>
  <c r="J29"/>
  <c r="AC29" s="1"/>
  <c r="F29"/>
  <c r="S29" s="1"/>
  <c r="J31"/>
  <c r="AC31" s="1"/>
  <c r="H31"/>
  <c r="F31"/>
  <c r="S31" s="1"/>
  <c r="J45"/>
  <c r="W45" s="1"/>
  <c r="F45"/>
  <c r="AA45" s="1"/>
  <c r="H45"/>
  <c r="U45" s="1"/>
  <c r="J27" i="33"/>
  <c r="AC27" s="1"/>
  <c r="F27"/>
  <c r="F13"/>
  <c r="S13" s="1"/>
  <c r="J29"/>
  <c r="W29" s="1"/>
  <c r="J31"/>
  <c r="AC31" s="1"/>
  <c r="H31"/>
  <c r="U31" s="1"/>
  <c r="J45"/>
  <c r="W45" s="1"/>
  <c r="F45"/>
  <c r="S45" s="1"/>
  <c r="F11" i="35"/>
  <c r="S11" s="1"/>
  <c r="H28" i="36"/>
  <c r="U28" s="1"/>
  <c r="H32"/>
  <c r="AB32" s="1"/>
  <c r="J32"/>
  <c r="J11"/>
  <c r="W11" s="1"/>
  <c r="H13"/>
  <c r="AB13" s="1"/>
  <c r="J13"/>
  <c r="F13"/>
  <c r="S13" s="1"/>
  <c r="E89" i="37"/>
  <c r="F89" s="1"/>
  <c r="G89" s="1"/>
  <c r="H89" s="1"/>
  <c r="I89" s="1"/>
  <c r="J89" s="1"/>
  <c r="K89" s="1"/>
  <c r="L89" s="1"/>
  <c r="M89" s="1"/>
  <c r="J29"/>
  <c r="W29" s="1"/>
  <c r="F29"/>
  <c r="AA29" s="1"/>
  <c r="AB36"/>
  <c r="J37"/>
  <c r="AC37" s="1"/>
  <c r="H37"/>
  <c r="U37" s="1"/>
  <c r="H40"/>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46" i="33"/>
  <c r="J36" i="37"/>
  <c r="AC36" s="1"/>
  <c r="AB28" i="36"/>
  <c r="U46" i="21"/>
  <c r="S28"/>
  <c r="AC14"/>
  <c r="W42"/>
  <c r="W31" i="34"/>
  <c r="S46" i="33"/>
  <c r="U36" i="37"/>
  <c r="S45" i="21"/>
  <c r="U28"/>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BA565"/>
  <c r="BA561"/>
  <c r="AZ561" s="1"/>
  <c r="BA559"/>
  <c r="AZ559" s="1"/>
  <c r="BA557"/>
  <c r="BA555"/>
  <c r="AZ555" s="1"/>
  <c r="BA551"/>
  <c r="BA545"/>
  <c r="AZ545" s="1"/>
  <c r="BA543"/>
  <c r="BA541"/>
  <c r="AZ541" s="1"/>
  <c r="BA531"/>
  <c r="BA521"/>
  <c r="BA509"/>
  <c r="BA505"/>
  <c r="BA501"/>
  <c r="BA493"/>
  <c r="BA487"/>
  <c r="BA19"/>
  <c r="BA572"/>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s="1"/>
  <c r="BQ542"/>
  <c r="BL542" s="1"/>
  <c r="AZ542" s="1"/>
  <c r="BQ568"/>
  <c r="BQ566"/>
  <c r="BQ564"/>
  <c r="BL564" s="1"/>
  <c r="BQ562"/>
  <c r="BL562" s="1"/>
  <c r="BQ560"/>
  <c r="BL560" s="1"/>
  <c r="AZ560" s="1"/>
  <c r="BQ558"/>
  <c r="BL558" s="1"/>
  <c r="AZ558" s="1"/>
  <c r="BQ556"/>
  <c r="BL556" s="1"/>
  <c r="AZ556" s="1"/>
  <c r="BQ554"/>
  <c r="BQ552"/>
  <c r="BL552" s="1"/>
  <c r="BQ550"/>
  <c r="BL550" s="1"/>
  <c r="BQ548"/>
  <c r="BQ546"/>
  <c r="BL546" s="1"/>
  <c r="AZ546" s="1"/>
  <c r="BQ544"/>
  <c r="BL544" s="1"/>
  <c r="G544"/>
  <c r="G538"/>
  <c r="G534"/>
  <c r="G530"/>
  <c r="G526"/>
  <c r="G522"/>
  <c r="BQ540"/>
  <c r="BL540" s="1"/>
  <c r="AZ540" s="1"/>
  <c r="BQ538"/>
  <c r="BL538" s="1"/>
  <c r="BQ536"/>
  <c r="BQ534"/>
  <c r="BL534" s="1"/>
  <c r="BQ532"/>
  <c r="BL532" s="1"/>
  <c r="AZ532" s="1"/>
  <c r="BQ530"/>
  <c r="BQ528"/>
  <c r="BQ526"/>
  <c r="BL526" s="1"/>
  <c r="BQ524"/>
  <c r="BL524" s="1"/>
  <c r="AZ524" s="1"/>
  <c r="BQ522"/>
  <c r="BQ520"/>
  <c r="BL520" s="1"/>
  <c r="BQ518"/>
  <c r="BQ516"/>
  <c r="BL516" s="1"/>
  <c r="AZ516" s="1"/>
  <c r="BQ514"/>
  <c r="BL514" s="1"/>
  <c r="BQ512"/>
  <c r="BQ510"/>
  <c r="BL510" s="1"/>
  <c r="BQ508"/>
  <c r="BL508" s="1"/>
  <c r="AZ508" s="1"/>
  <c r="AC506"/>
  <c r="G506" s="1"/>
  <c r="BQ506"/>
  <c r="G502"/>
  <c r="G498"/>
  <c r="BQ504"/>
  <c r="BQ502"/>
  <c r="BL502" s="1"/>
  <c r="BQ500"/>
  <c r="BL500" s="1"/>
  <c r="BQ498"/>
  <c r="BQ496"/>
  <c r="AC494"/>
  <c r="BQ494"/>
  <c r="BL493"/>
  <c r="G492"/>
  <c r="G488"/>
  <c r="G484"/>
  <c r="G20"/>
  <c r="BQ492"/>
  <c r="BL492" s="1"/>
  <c r="BQ490"/>
  <c r="BQ488"/>
  <c r="BL488" s="1"/>
  <c r="AZ488" s="1"/>
  <c r="BQ486"/>
  <c r="BQ484"/>
  <c r="BL484" s="1"/>
  <c r="BQ482"/>
  <c r="BL482" s="1"/>
  <c r="BQ20"/>
  <c r="BL20" s="1"/>
  <c r="AZ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F79"/>
  <c r="F39" i="33"/>
  <c r="AA39" s="1"/>
  <c r="E123"/>
  <c r="F123" s="1"/>
  <c r="G123" s="1"/>
  <c r="H123" s="1"/>
  <c r="I123" s="1"/>
  <c r="J123" s="1"/>
  <c r="K123" s="1"/>
  <c r="L123" s="1"/>
  <c r="M123" s="1"/>
  <c r="F42"/>
  <c r="AA42" s="1"/>
  <c r="H28" i="34"/>
  <c r="AB28" s="1"/>
  <c r="F22" i="36"/>
  <c r="S22" s="1"/>
  <c r="F41" i="34"/>
  <c r="S41" s="1"/>
  <c r="H41"/>
  <c r="U41" s="1"/>
  <c r="J41"/>
  <c r="W41" s="1"/>
  <c r="F10" i="35"/>
  <c r="AA10" s="1"/>
  <c r="F24"/>
  <c r="AA24" s="1"/>
  <c r="H24"/>
  <c r="AB24" s="1"/>
  <c r="H23" i="37"/>
  <c r="AB23" s="1"/>
  <c r="J32"/>
  <c r="AC32" s="1"/>
  <c r="F36"/>
  <c r="S36" s="1"/>
  <c r="F37"/>
  <c r="AA37" s="1"/>
  <c r="U23"/>
  <c r="H42" i="33"/>
  <c r="U42" s="1"/>
  <c r="J43"/>
  <c r="AC43" s="1"/>
  <c r="G79" i="37"/>
  <c r="J23"/>
  <c r="W23" s="1"/>
  <c r="F17"/>
  <c r="AA17" s="1"/>
  <c r="AB43" i="33"/>
  <c r="D3" i="21"/>
  <c r="AC33" i="36"/>
  <c r="S27" i="37"/>
  <c r="U39"/>
  <c r="AC8"/>
  <c r="AB8" i="34"/>
  <c r="AC37" i="33"/>
  <c r="AA13"/>
  <c r="AC45"/>
  <c r="U19" i="21"/>
  <c r="AC33"/>
  <c r="AA36"/>
  <c r="S39" i="33"/>
  <c r="F43"/>
  <c r="AA43" s="1"/>
  <c r="AA23" i="37"/>
  <c r="S10" i="35"/>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AZ326" s="1"/>
  <c r="BA327"/>
  <c r="BL327"/>
  <c r="G328"/>
  <c r="BA329"/>
  <c r="G337"/>
  <c r="BL338"/>
  <c r="G339"/>
  <c r="BL340"/>
  <c r="BA342"/>
  <c r="BA343"/>
  <c r="BL343"/>
  <c r="G344"/>
  <c r="BA345"/>
  <c r="G353"/>
  <c r="BL354"/>
  <c r="G355"/>
  <c r="BL356"/>
  <c r="G357"/>
  <c r="BL358"/>
  <c r="G359"/>
  <c r="BA360"/>
  <c r="BA361"/>
  <c r="BL361"/>
  <c r="G362"/>
  <c r="BA363"/>
  <c r="G371"/>
  <c r="BL372"/>
  <c r="G373"/>
  <c r="BL374"/>
  <c r="BA376"/>
  <c r="AZ376" s="1"/>
  <c r="BA377"/>
  <c r="BL377"/>
  <c r="G378"/>
  <c r="BA379"/>
  <c r="BA114"/>
  <c r="AZ114" s="1"/>
  <c r="BL115"/>
  <c r="AZ115" s="1"/>
  <c r="G116"/>
  <c r="BA118"/>
  <c r="BL119"/>
  <c r="AZ119" s="1"/>
  <c r="G120"/>
  <c r="BA122"/>
  <c r="BL123"/>
  <c r="AZ123" s="1"/>
  <c r="G124"/>
  <c r="BA126"/>
  <c r="BL127"/>
  <c r="G128"/>
  <c r="BA130"/>
  <c r="AZ130" s="1"/>
  <c r="BL131"/>
  <c r="G132"/>
  <c r="BA134"/>
  <c r="AZ134" s="1"/>
  <c r="BL135"/>
  <c r="AZ135" s="1"/>
  <c r="G136"/>
  <c r="BA138"/>
  <c r="AZ138" s="1"/>
  <c r="BL139"/>
  <c r="AZ139" s="1"/>
  <c r="G140"/>
  <c r="BA142"/>
  <c r="BL143"/>
  <c r="G144"/>
  <c r="BA146"/>
  <c r="AZ146" s="1"/>
  <c r="BL147"/>
  <c r="AZ147" s="1"/>
  <c r="G148"/>
  <c r="BA150"/>
  <c r="BL151"/>
  <c r="AZ151" s="1"/>
  <c r="BA153"/>
  <c r="BL154"/>
  <c r="G155"/>
  <c r="BA157"/>
  <c r="BL158"/>
  <c r="G159"/>
  <c r="BA161"/>
  <c r="BL162"/>
  <c r="G163"/>
  <c r="BA165"/>
  <c r="BL166"/>
  <c r="G167"/>
  <c r="BA169"/>
  <c r="BL170"/>
  <c r="G171"/>
  <c r="BA173"/>
  <c r="AZ173" s="1"/>
  <c r="BL174"/>
  <c r="G175"/>
  <c r="BA178"/>
  <c r="BL179"/>
  <c r="G180"/>
  <c r="AZ35"/>
  <c r="AZ43"/>
  <c r="G537"/>
  <c r="BL181"/>
  <c r="AZ181" s="1"/>
  <c r="G182"/>
  <c r="BA184"/>
  <c r="BL185"/>
  <c r="G186"/>
  <c r="BA188"/>
  <c r="BL189"/>
  <c r="AZ189" s="1"/>
  <c r="G190"/>
  <c r="BA192"/>
  <c r="BL193"/>
  <c r="AZ193" s="1"/>
  <c r="G194"/>
  <c r="BA196"/>
  <c r="BL197"/>
  <c r="AZ197" s="1"/>
  <c r="G198"/>
  <c r="BA200"/>
  <c r="BL201"/>
  <c r="AZ201" s="1"/>
  <c r="AZ70"/>
  <c r="AZ74"/>
  <c r="AZ185"/>
  <c r="AZ94"/>
  <c r="AZ110"/>
  <c r="G491"/>
  <c r="BA298"/>
  <c r="AZ298" s="1"/>
  <c r="BA299"/>
  <c r="AZ299" s="1"/>
  <c r="BL299"/>
  <c r="G300"/>
  <c r="G303"/>
  <c r="BL304"/>
  <c r="BA306"/>
  <c r="AZ306" s="1"/>
  <c r="BA307"/>
  <c r="BL307"/>
  <c r="G308"/>
  <c r="G319"/>
  <c r="BL320"/>
  <c r="BA322"/>
  <c r="BA323"/>
  <c r="AZ323" s="1"/>
  <c r="BL323"/>
  <c r="G324"/>
  <c r="G327"/>
  <c r="BL328"/>
  <c r="BA330"/>
  <c r="AZ330" s="1"/>
  <c r="BA331"/>
  <c r="BL331"/>
  <c r="G332"/>
  <c r="G335"/>
  <c r="BL336"/>
  <c r="BA338"/>
  <c r="AZ338"/>
  <c r="BA339"/>
  <c r="BL339"/>
  <c r="G340"/>
  <c r="G343"/>
  <c r="BL344"/>
  <c r="BA346"/>
  <c r="AZ346" s="1"/>
  <c r="BA347"/>
  <c r="BL347"/>
  <c r="G348"/>
  <c r="G351"/>
  <c r="BL352"/>
  <c r="BA354"/>
  <c r="BA355"/>
  <c r="BL355"/>
  <c r="G356"/>
  <c r="AZ143"/>
  <c r="BA358"/>
  <c r="AZ358" s="1"/>
  <c r="BA359"/>
  <c r="BL359"/>
  <c r="AZ359" s="1"/>
  <c r="G360"/>
  <c r="G361"/>
  <c r="BL362"/>
  <c r="BA364"/>
  <c r="AZ364" s="1"/>
  <c r="BA365"/>
  <c r="BL365"/>
  <c r="G366"/>
  <c r="G369"/>
  <c r="BL370"/>
  <c r="BA372"/>
  <c r="AZ372" s="1"/>
  <c r="BA373"/>
  <c r="BL373"/>
  <c r="AZ373" s="1"/>
  <c r="G374"/>
  <c r="G377"/>
  <c r="BL378"/>
  <c r="BA380"/>
  <c r="BA381"/>
  <c r="BL381"/>
  <c r="G382"/>
  <c r="G385"/>
  <c r="AZ154"/>
  <c r="AZ170"/>
  <c r="AZ179"/>
  <c r="G523"/>
  <c r="BL297"/>
  <c r="G298"/>
  <c r="BA300"/>
  <c r="BL301"/>
  <c r="G302"/>
  <c r="BA304"/>
  <c r="AZ304" s="1"/>
  <c r="BL305"/>
  <c r="AZ305" s="1"/>
  <c r="G306"/>
  <c r="BA308"/>
  <c r="BL309"/>
  <c r="G310"/>
  <c r="BA310"/>
  <c r="BL311"/>
  <c r="AZ311" s="1"/>
  <c r="G312"/>
  <c r="BA312"/>
  <c r="AZ312" s="1"/>
  <c r="BL313"/>
  <c r="G314"/>
  <c r="BA314"/>
  <c r="BL315"/>
  <c r="G316"/>
  <c r="BA316"/>
  <c r="AZ316" s="1"/>
  <c r="BL317"/>
  <c r="G318"/>
  <c r="BA320"/>
  <c r="AZ320" s="1"/>
  <c r="BL321"/>
  <c r="G322"/>
  <c r="BA324"/>
  <c r="AZ324" s="1"/>
  <c r="BL325"/>
  <c r="G326"/>
  <c r="BA328"/>
  <c r="AZ328" s="1"/>
  <c r="BL329"/>
  <c r="AZ329" s="1"/>
  <c r="G330"/>
  <c r="BA332"/>
  <c r="BL333"/>
  <c r="G334"/>
  <c r="BA336"/>
  <c r="AZ336" s="1"/>
  <c r="BL337"/>
  <c r="AZ337" s="1"/>
  <c r="G338"/>
  <c r="BA340"/>
  <c r="AZ340" s="1"/>
  <c r="BL341"/>
  <c r="G342"/>
  <c r="BA344"/>
  <c r="AZ344" s="1"/>
  <c r="BL345"/>
  <c r="AZ345" s="1"/>
  <c r="G346"/>
  <c r="BA348"/>
  <c r="AZ348" s="1"/>
  <c r="BL349"/>
  <c r="G350"/>
  <c r="BA352"/>
  <c r="AZ352" s="1"/>
  <c r="BL353"/>
  <c r="G354"/>
  <c r="BA356"/>
  <c r="AZ356" s="1"/>
  <c r="BL357"/>
  <c r="G358"/>
  <c r="BA362"/>
  <c r="AZ362" s="1"/>
  <c r="BL363"/>
  <c r="G364"/>
  <c r="BA366"/>
  <c r="BL367"/>
  <c r="AZ367" s="1"/>
  <c r="AZ221"/>
  <c r="AZ225"/>
  <c r="AZ341"/>
  <c r="AZ363"/>
  <c r="G368"/>
  <c r="BA370"/>
  <c r="AZ370" s="1"/>
  <c r="BL371"/>
  <c r="G372"/>
  <c r="BA374"/>
  <c r="AZ374"/>
  <c r="BL375"/>
  <c r="G376"/>
  <c r="BA378"/>
  <c r="AZ378"/>
  <c r="BL379"/>
  <c r="AZ379"/>
  <c r="G380"/>
  <c r="BA382"/>
  <c r="BL383"/>
  <c r="G384"/>
  <c r="AZ253"/>
  <c r="AZ257"/>
  <c r="AZ383"/>
  <c r="AZ303"/>
  <c r="AZ319"/>
  <c r="AZ331"/>
  <c r="AZ339"/>
  <c r="AZ347"/>
  <c r="AZ351"/>
  <c r="AZ361"/>
  <c r="AZ369"/>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Z322"/>
  <c r="H13" i="39"/>
  <c r="AB13" s="1"/>
  <c r="F13"/>
  <c r="J13"/>
  <c r="AC13" s="1"/>
  <c r="AA36" i="35"/>
  <c r="H11" i="37"/>
  <c r="AB11" s="1"/>
  <c r="W37"/>
  <c r="AA30" i="33"/>
  <c r="AA36" i="37"/>
  <c r="S42" i="33"/>
  <c r="U32"/>
  <c r="AB17" i="37"/>
  <c r="AC29" i="33"/>
  <c r="AA45"/>
  <c r="AC11" i="36"/>
  <c r="AC10"/>
  <c r="AC14" i="37"/>
  <c r="AB35" i="35"/>
  <c r="S25"/>
  <c r="W44" i="33"/>
  <c r="AC30"/>
  <c r="W30"/>
  <c r="AC29" i="37"/>
  <c r="W32" i="36"/>
  <c r="AC32"/>
  <c r="U28" i="33"/>
  <c r="AB28"/>
  <c r="J33" i="34"/>
  <c r="AC33" s="1"/>
  <c r="J40"/>
  <c r="W40" s="1"/>
  <c r="F16" i="35"/>
  <c r="AA16" s="1"/>
  <c r="S24" i="36"/>
  <c r="W42" i="33"/>
  <c r="S30" i="36"/>
  <c r="H16"/>
  <c r="AB16" s="1"/>
  <c r="H35" i="37"/>
  <c r="AB35" s="1"/>
  <c r="S26" i="21"/>
  <c r="AB12"/>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H32" i="37"/>
  <c r="AB32" s="1"/>
  <c r="F19" i="39"/>
  <c r="S19" s="1"/>
  <c r="H19"/>
  <c r="AB19" s="1"/>
  <c r="J19"/>
  <c r="W19" s="1"/>
  <c r="F43"/>
  <c r="AA43" s="1"/>
  <c r="H43"/>
  <c r="U43" s="1"/>
  <c r="J43"/>
  <c r="AC43" s="1"/>
  <c r="AC27" i="37"/>
  <c r="U25" i="35"/>
  <c r="S45" i="34"/>
  <c r="U31"/>
  <c r="AC40" i="37"/>
  <c r="W40"/>
  <c r="W27" i="33"/>
  <c r="AC45" i="21"/>
  <c r="S28" i="33"/>
  <c r="S14" i="21"/>
  <c r="AB29" i="35"/>
  <c r="U29"/>
  <c r="AC19" i="33"/>
  <c r="W19"/>
  <c r="AC34" i="37"/>
  <c r="S35"/>
  <c r="AA35"/>
  <c r="AB10" i="35"/>
  <c r="AA32" i="21"/>
  <c r="S32"/>
  <c r="U38"/>
  <c r="AB34"/>
  <c r="BL571" i="3"/>
  <c r="BA571"/>
  <c r="BL570"/>
  <c r="BE5"/>
  <c r="F42" i="21"/>
  <c r="AA42" s="1"/>
  <c r="AB40" i="33"/>
  <c r="U40"/>
  <c r="E90" i="34"/>
  <c r="H27"/>
  <c r="AB27" s="1"/>
  <c r="AB8" i="35"/>
  <c r="U8"/>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AB34"/>
  <c r="H33"/>
  <c r="U33" s="1"/>
  <c r="F33"/>
  <c r="AA33" s="1"/>
  <c r="H27"/>
  <c r="AB27" s="1"/>
  <c r="AA31"/>
  <c r="AC25" i="37"/>
  <c r="AC26"/>
  <c r="AB29"/>
  <c r="AA30"/>
  <c r="S30"/>
  <c r="AC30"/>
  <c r="AC31"/>
  <c r="W31"/>
  <c r="AB14"/>
  <c r="F17" i="39"/>
  <c r="AA17" s="1"/>
  <c r="H17"/>
  <c r="U17" s="1"/>
  <c r="J17"/>
  <c r="W17" s="1"/>
  <c r="F21"/>
  <c r="S21" s="1"/>
  <c r="H21"/>
  <c r="J21"/>
  <c r="W21" s="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BL567"/>
  <c r="BA567"/>
  <c r="BL566"/>
  <c r="AZ566" s="1"/>
  <c r="BL565"/>
  <c r="AZ565" s="1"/>
  <c r="BA564"/>
  <c r="BA563"/>
  <c r="AZ563" s="1"/>
  <c r="BL554"/>
  <c r="AZ554" s="1"/>
  <c r="BA553"/>
  <c r="AZ553" s="1"/>
  <c r="BA552"/>
  <c r="BL549"/>
  <c r="BA549"/>
  <c r="AZ549" s="1"/>
  <c r="BL548"/>
  <c r="BA548"/>
  <c r="BL547"/>
  <c r="BA547"/>
  <c r="AZ547" s="1"/>
  <c r="BL539"/>
  <c r="BA539"/>
  <c r="AZ539" s="1"/>
  <c r="BA538"/>
  <c r="AZ538" s="1"/>
  <c r="BL537"/>
  <c r="BA537"/>
  <c r="BL536"/>
  <c r="AZ536" s="1"/>
  <c r="BA535"/>
  <c r="AZ535" s="1"/>
  <c r="BA534"/>
  <c r="BA533"/>
  <c r="AZ533" s="1"/>
  <c r="BL531"/>
  <c r="AZ531" s="1"/>
  <c r="BL530"/>
  <c r="BA530"/>
  <c r="AZ530" s="1"/>
  <c r="BL529"/>
  <c r="BA529"/>
  <c r="BL528"/>
  <c r="AZ528" s="1"/>
  <c r="BA527"/>
  <c r="AZ527" s="1"/>
  <c r="BA526"/>
  <c r="BA525"/>
  <c r="AZ525" s="1"/>
  <c r="BL523"/>
  <c r="BA523"/>
  <c r="AZ523" s="1"/>
  <c r="BL522"/>
  <c r="BA522"/>
  <c r="BL521"/>
  <c r="AZ521" s="1"/>
  <c r="BA519"/>
  <c r="AZ519" s="1"/>
  <c r="BL518"/>
  <c r="BA518"/>
  <c r="AZ518" s="1"/>
  <c r="BL517"/>
  <c r="BA517"/>
  <c r="BL515"/>
  <c r="BA515"/>
  <c r="BA514"/>
  <c r="AZ514" s="1"/>
  <c r="BL513"/>
  <c r="BA513"/>
  <c r="AZ513" s="1"/>
  <c r="BL512"/>
  <c r="AZ512" s="1"/>
  <c r="BA511"/>
  <c r="AZ511" s="1"/>
  <c r="BA510"/>
  <c r="BL509"/>
  <c r="AZ509" s="1"/>
  <c r="BL507"/>
  <c r="BA507"/>
  <c r="BL506"/>
  <c r="BA506"/>
  <c r="AZ506"/>
  <c r="BL505"/>
  <c r="AZ505"/>
  <c r="BL504"/>
  <c r="BA504"/>
  <c r="BA503"/>
  <c r="AZ503"/>
  <c r="BA500"/>
  <c r="BL499"/>
  <c r="BA499"/>
  <c r="BL498"/>
  <c r="AZ498" s="1"/>
  <c r="BL497"/>
  <c r="BA497"/>
  <c r="AZ497" s="1"/>
  <c r="BL496"/>
  <c r="BA496"/>
  <c r="AZ496" s="1"/>
  <c r="BA495"/>
  <c r="AZ495" s="1"/>
  <c r="BL494"/>
  <c r="BA494"/>
  <c r="G494"/>
  <c r="BA491"/>
  <c r="AZ491"/>
  <c r="BL490"/>
  <c r="BA490"/>
  <c r="AZ490" s="1"/>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AA39"/>
  <c r="S39"/>
  <c r="E78"/>
  <c r="F15" s="1"/>
  <c r="S15" s="1"/>
  <c r="AC28" i="35"/>
  <c r="W28"/>
  <c r="J20"/>
  <c r="AC20" s="1"/>
  <c r="E72"/>
  <c r="F72" s="1"/>
  <c r="G72" s="1"/>
  <c r="H22"/>
  <c r="AB22" s="1"/>
  <c r="H23"/>
  <c r="F23"/>
  <c r="AA23" s="1"/>
  <c r="AC12" i="36"/>
  <c r="U31"/>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W41" s="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F27" i="43" s="1"/>
  <c r="J42" i="40"/>
  <c r="AC42" s="1"/>
  <c r="J40"/>
  <c r="AC40" s="1"/>
  <c r="J34"/>
  <c r="AC34" s="1"/>
  <c r="H16"/>
  <c r="AB16" s="1"/>
  <c r="H14"/>
  <c r="U14" s="1"/>
  <c r="F32"/>
  <c r="AA32" s="1"/>
  <c r="M1" i="46"/>
  <c r="M6"/>
  <c r="M10"/>
  <c r="N2"/>
  <c r="N5"/>
  <c r="F47"/>
  <c r="H49" s="1"/>
  <c r="N7"/>
  <c r="AZ223" i="3"/>
  <c r="AZ228"/>
  <c r="AZ255"/>
  <c r="AZ260"/>
  <c r="AZ137"/>
  <c r="M7" i="46"/>
  <c r="M11"/>
  <c r="N3"/>
  <c r="N6"/>
  <c r="N10"/>
  <c r="AZ167" i="3"/>
  <c r="AZ40"/>
  <c r="AZ63"/>
  <c r="AZ91"/>
  <c r="AZ107"/>
  <c r="AZ112"/>
  <c r="J13" i="40"/>
  <c r="W13" s="1"/>
  <c r="F34" i="44"/>
  <c r="F66" i="9"/>
  <c r="P72" s="1"/>
  <c r="F72"/>
  <c r="S33" i="40"/>
  <c r="AC47" i="39"/>
  <c r="S47"/>
  <c r="AB25"/>
  <c r="AC41" i="40"/>
  <c r="U41"/>
  <c r="J23"/>
  <c r="AC23" s="1"/>
  <c r="F23"/>
  <c r="S23" s="1"/>
  <c r="W15"/>
  <c r="S23" i="39"/>
  <c r="W14"/>
  <c r="U23" i="35"/>
  <c r="AB23"/>
  <c r="H20"/>
  <c r="F20"/>
  <c r="S20" s="1"/>
  <c r="H15" i="34"/>
  <c r="AB15" s="1"/>
  <c r="F78"/>
  <c r="G78" s="1"/>
  <c r="J15"/>
  <c r="W15" s="1"/>
  <c r="H41" i="33"/>
  <c r="U41" s="1"/>
  <c r="F121"/>
  <c r="G121" s="1"/>
  <c r="H121" s="1"/>
  <c r="I121" s="1"/>
  <c r="J121" s="1"/>
  <c r="K121" s="1"/>
  <c r="L121" s="1"/>
  <c r="M121" s="1"/>
  <c r="F30" i="40"/>
  <c r="AA30" s="1"/>
  <c r="H100"/>
  <c r="I100" s="1"/>
  <c r="J100" s="1"/>
  <c r="K100" s="1"/>
  <c r="L100" s="1"/>
  <c r="M100" s="1"/>
  <c r="AZ486" i="3"/>
  <c r="AZ504"/>
  <c r="AZ529"/>
  <c r="AZ537"/>
  <c r="AZ548"/>
  <c r="AB37" i="39"/>
  <c r="AA29" i="35"/>
  <c r="U39" i="39"/>
  <c r="J29"/>
  <c r="AC29" s="1"/>
  <c r="AB21"/>
  <c r="U21"/>
  <c r="AB17"/>
  <c r="AB33" i="36"/>
  <c r="AA11"/>
  <c r="AA14" i="35"/>
  <c r="S14"/>
  <c r="U19" i="39"/>
  <c r="U46" i="34"/>
  <c r="AC30"/>
  <c r="AA14"/>
  <c r="W12"/>
  <c r="U29" i="33"/>
  <c r="AC13"/>
  <c r="U17" i="34"/>
  <c r="AA11"/>
  <c r="W32" i="33"/>
  <c r="H15"/>
  <c r="U15" s="1"/>
  <c r="AA11"/>
  <c r="AA40" i="21"/>
  <c r="S13" i="39"/>
  <c r="AA13"/>
  <c r="U16" i="40"/>
  <c r="W34"/>
  <c r="AB34"/>
  <c r="AB42"/>
  <c r="U42"/>
  <c r="AC16"/>
  <c r="W32"/>
  <c r="H25"/>
  <c r="AB25" s="1"/>
  <c r="F94"/>
  <c r="G94" s="1"/>
  <c r="W15" i="39"/>
  <c r="J36" i="33"/>
  <c r="W36" s="1"/>
  <c r="S41" i="40"/>
  <c r="AB23"/>
  <c r="U27" i="39"/>
  <c r="H23"/>
  <c r="AB23" s="1"/>
  <c r="J23"/>
  <c r="AC23" s="1"/>
  <c r="F97"/>
  <c r="G97"/>
  <c r="S16"/>
  <c r="AA41" i="33"/>
  <c r="F106"/>
  <c r="G106" s="1"/>
  <c r="H106" s="1"/>
  <c r="I106" s="1"/>
  <c r="J106" s="1"/>
  <c r="K106" s="1"/>
  <c r="L106" s="1"/>
  <c r="M106" s="1"/>
  <c r="J34"/>
  <c r="AC34" s="1"/>
  <c r="U30" i="40"/>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W43" i="39"/>
  <c r="S43"/>
  <c r="AA19"/>
  <c r="F32" i="37"/>
  <c r="S32" s="1"/>
  <c r="AB11" i="35"/>
  <c r="U32" i="34"/>
  <c r="AC14"/>
  <c r="AB13" i="33"/>
  <c r="F17" i="34"/>
  <c r="AA17" s="1"/>
  <c r="J17"/>
  <c r="AC17" s="1"/>
  <c r="H11"/>
  <c r="AB11" s="1"/>
  <c r="J35" i="33"/>
  <c r="W35" s="1"/>
  <c r="AC15"/>
  <c r="H11"/>
  <c r="U11" s="1"/>
  <c r="H10"/>
  <c r="U10" s="1"/>
  <c r="I66"/>
  <c r="J10"/>
  <c r="AC10" s="1"/>
  <c r="U11" i="37"/>
  <c r="U13" i="39"/>
  <c r="AC16" i="35"/>
  <c r="J11" i="34"/>
  <c r="W11" s="1"/>
  <c r="AC36" i="33"/>
  <c r="F25" i="40"/>
  <c r="AA25" s="1"/>
  <c r="J11" i="33"/>
  <c r="W11" s="1"/>
  <c r="H33" i="37"/>
  <c r="AB33" s="1"/>
  <c r="U20" i="35"/>
  <c r="AB20"/>
  <c r="W23" i="40"/>
  <c r="D73" i="9"/>
  <c r="N73" s="1"/>
  <c r="AP11" i="1"/>
  <c r="J51" i="15"/>
  <c r="B11" i="1"/>
  <c r="E11" s="1"/>
  <c r="K11"/>
  <c r="M11" s="1"/>
  <c r="B9"/>
  <c r="E9" s="1"/>
  <c r="K9"/>
  <c r="M9" s="1"/>
  <c r="B7"/>
  <c r="E7" s="1"/>
  <c r="K7"/>
  <c r="M7" s="1"/>
  <c r="O7" s="1"/>
  <c r="P7" s="1"/>
  <c r="C20" i="43"/>
  <c r="E2" i="65"/>
  <c r="AZ515" i="3" l="1"/>
  <c r="AZ517"/>
  <c r="AZ526"/>
  <c r="AZ567"/>
  <c r="AZ568"/>
  <c r="AC23" i="37"/>
  <c r="AZ484" i="3"/>
  <c r="AZ502"/>
  <c r="AZ550"/>
  <c r="AZ551"/>
  <c r="AZ557"/>
  <c r="AZ569"/>
  <c r="AB44" i="21"/>
  <c r="AC28" i="33"/>
  <c r="AB31"/>
  <c r="AB14" i="21"/>
  <c r="W30"/>
  <c r="AB13"/>
  <c r="AC35" i="35"/>
  <c r="W35"/>
  <c r="U40" i="37"/>
  <c r="AB40"/>
  <c r="W13" i="36"/>
  <c r="AC13"/>
  <c r="AZ534" i="3"/>
  <c r="AZ564"/>
  <c r="AZ571"/>
  <c r="AZ381"/>
  <c r="AZ365"/>
  <c r="AZ377"/>
  <c r="AZ343"/>
  <c r="AZ327"/>
  <c r="S27" i="33"/>
  <c r="AA27"/>
  <c r="U31" i="21"/>
  <c r="AB31"/>
  <c r="AA46"/>
  <c r="S46"/>
  <c r="U30"/>
  <c r="AB30"/>
  <c r="AA22" i="35"/>
  <c r="S22"/>
  <c r="S39" i="37"/>
  <c r="AA39"/>
  <c r="AC8" i="21"/>
  <c r="W8"/>
  <c r="W40"/>
  <c r="AC40"/>
  <c r="BL572" i="3"/>
  <c r="AZ572" s="1"/>
  <c r="AA31" i="33"/>
  <c r="S31"/>
  <c r="F27" i="21"/>
  <c r="AA27" s="1"/>
  <c r="S10"/>
  <c r="AA12" i="33"/>
  <c r="C29" i="39"/>
  <c r="W38" i="33"/>
  <c r="H9" i="21"/>
  <c r="J9"/>
  <c r="BG5" i="3"/>
  <c r="J39" i="34"/>
  <c r="H10"/>
  <c r="AB10" s="1"/>
  <c r="F34" i="35"/>
  <c r="F25" i="37"/>
  <c r="G564" i="3"/>
  <c r="G552"/>
  <c r="G551"/>
  <c r="G547"/>
  <c r="G525"/>
  <c r="G524"/>
  <c r="G500"/>
  <c r="G497"/>
  <c r="G482"/>
  <c r="G481"/>
  <c r="G15"/>
  <c r="G386"/>
  <c r="G393"/>
  <c r="BL394"/>
  <c r="G395"/>
  <c r="G398"/>
  <c r="G400"/>
  <c r="BL401"/>
  <c r="G402"/>
  <c r="G404"/>
  <c r="BA405"/>
  <c r="BL405"/>
  <c r="BA406"/>
  <c r="AZ406" s="1"/>
  <c r="BA407"/>
  <c r="AZ407" s="1"/>
  <c r="BL409"/>
  <c r="G410"/>
  <c r="BA411"/>
  <c r="BL411"/>
  <c r="BA412"/>
  <c r="AZ412" s="1"/>
  <c r="BA414"/>
  <c r="BL414"/>
  <c r="BL416"/>
  <c r="G417"/>
  <c r="G419"/>
  <c r="BA420"/>
  <c r="BL420"/>
  <c r="BA421"/>
  <c r="AZ421" s="1"/>
  <c r="BA422"/>
  <c r="AZ422" s="1"/>
  <c r="BA423"/>
  <c r="AZ423" s="1"/>
  <c r="BL425"/>
  <c r="G426"/>
  <c r="BA427"/>
  <c r="AZ427" s="1"/>
  <c r="BL427"/>
  <c r="BL429"/>
  <c r="G430"/>
  <c r="BL431"/>
  <c r="G432"/>
  <c r="G434"/>
  <c r="G438"/>
  <c r="G440"/>
  <c r="BL441"/>
  <c r="G442"/>
  <c r="BA443"/>
  <c r="BL443"/>
  <c r="BL445"/>
  <c r="G446"/>
  <c r="BA447"/>
  <c r="BL447"/>
  <c r="BA448"/>
  <c r="AZ448" s="1"/>
  <c r="BA449"/>
  <c r="AZ449" s="1"/>
  <c r="BA450"/>
  <c r="AZ450" s="1"/>
  <c r="BA452"/>
  <c r="BL452"/>
  <c r="BA453"/>
  <c r="AZ453" s="1"/>
  <c r="BA454"/>
  <c r="AZ454" s="1"/>
  <c r="BA455"/>
  <c r="AZ455" s="1"/>
  <c r="BA456"/>
  <c r="AZ456" s="1"/>
  <c r="BA458"/>
  <c r="BL458"/>
  <c r="BL460"/>
  <c r="G461"/>
  <c r="BA462"/>
  <c r="AZ462" s="1"/>
  <c r="BL462"/>
  <c r="BL464"/>
  <c r="G465"/>
  <c r="G467"/>
  <c r="G471"/>
  <c r="G474"/>
  <c r="G476"/>
  <c r="BL477"/>
  <c r="G478"/>
  <c r="G480"/>
  <c r="BA297"/>
  <c r="AZ297" s="1"/>
  <c r="BA301"/>
  <c r="AZ301" s="1"/>
  <c r="BL308"/>
  <c r="AZ308" s="1"/>
  <c r="G309"/>
  <c r="BL310"/>
  <c r="AZ310" s="1"/>
  <c r="BA313"/>
  <c r="AZ313" s="1"/>
  <c r="BA315"/>
  <c r="AZ315" s="1"/>
  <c r="BA321"/>
  <c r="AZ321" s="1"/>
  <c r="BA325"/>
  <c r="AZ325" s="1"/>
  <c r="BL332"/>
  <c r="AZ332" s="1"/>
  <c r="G333"/>
  <c r="BA335"/>
  <c r="AZ335" s="1"/>
  <c r="G341"/>
  <c r="BL342"/>
  <c r="AZ342" s="1"/>
  <c r="G345"/>
  <c r="BA353"/>
  <c r="AZ353" s="1"/>
  <c r="BA357"/>
  <c r="AZ357" s="1"/>
  <c r="G367"/>
  <c r="BL368"/>
  <c r="G381"/>
  <c r="BL382"/>
  <c r="AZ382" s="1"/>
  <c r="BA384"/>
  <c r="AZ384" s="1"/>
  <c r="BL169"/>
  <c r="AZ169" s="1"/>
  <c r="BA171"/>
  <c r="AZ171" s="1"/>
  <c r="BA180"/>
  <c r="BL180"/>
  <c r="BA182"/>
  <c r="AZ182" s="1"/>
  <c r="BA183"/>
  <c r="AZ183" s="1"/>
  <c r="BL184"/>
  <c r="AZ184" s="1"/>
  <c r="BA186"/>
  <c r="AZ186" s="1"/>
  <c r="BA187"/>
  <c r="AZ187" s="1"/>
  <c r="BL188"/>
  <c r="AZ188" s="1"/>
  <c r="BA190"/>
  <c r="AZ190" s="1"/>
  <c r="BA191"/>
  <c r="AZ191" s="1"/>
  <c r="BL192"/>
  <c r="AZ192" s="1"/>
  <c r="BA194"/>
  <c r="AZ194" s="1"/>
  <c r="BA195"/>
  <c r="AZ195" s="1"/>
  <c r="BL196"/>
  <c r="AZ196" s="1"/>
  <c r="AZ198"/>
  <c r="BA199"/>
  <c r="AZ199" s="1"/>
  <c r="BL200"/>
  <c r="AZ200" s="1"/>
  <c r="BA205"/>
  <c r="AZ205" s="1"/>
  <c r="BL205"/>
  <c r="BA206"/>
  <c r="AZ206" s="1"/>
  <c r="BA207"/>
  <c r="AZ207" s="1"/>
  <c r="BA209"/>
  <c r="AZ209" s="1"/>
  <c r="BL209"/>
  <c r="BA210"/>
  <c r="AZ210" s="1"/>
  <c r="BA212"/>
  <c r="BL212"/>
  <c r="BL214"/>
  <c r="G215"/>
  <c r="BA216"/>
  <c r="BL216"/>
  <c r="BL218"/>
  <c r="G219"/>
  <c r="G221"/>
  <c r="G225"/>
  <c r="G228"/>
  <c r="G230"/>
  <c r="BL231"/>
  <c r="G232"/>
  <c r="G234"/>
  <c r="BA235"/>
  <c r="AZ235" s="1"/>
  <c r="BL235"/>
  <c r="BA237"/>
  <c r="AZ237" s="1"/>
  <c r="BL237"/>
  <c r="BA238"/>
  <c r="AZ238" s="1"/>
  <c r="BA239"/>
  <c r="AZ239" s="1"/>
  <c r="BA241"/>
  <c r="AZ241" s="1"/>
  <c r="BL241"/>
  <c r="BA242"/>
  <c r="AZ242" s="1"/>
  <c r="BA244"/>
  <c r="BL244"/>
  <c r="BL246"/>
  <c r="G247"/>
  <c r="BA248"/>
  <c r="BL248"/>
  <c r="BL250"/>
  <c r="G251"/>
  <c r="G253"/>
  <c r="G257"/>
  <c r="G260"/>
  <c r="G262"/>
  <c r="BL263"/>
  <c r="G264"/>
  <c r="G266"/>
  <c r="BA267"/>
  <c r="AZ267" s="1"/>
  <c r="BL267"/>
  <c r="BL269"/>
  <c r="G270"/>
  <c r="BA271"/>
  <c r="AZ271" s="1"/>
  <c r="BL271"/>
  <c r="BA272"/>
  <c r="AZ272" s="1"/>
  <c r="BA273"/>
  <c r="AZ273" s="1"/>
  <c r="BA274"/>
  <c r="AZ274" s="1"/>
  <c r="BA276"/>
  <c r="BL276"/>
  <c r="BA277"/>
  <c r="AZ277" s="1"/>
  <c r="BL280"/>
  <c r="G281"/>
  <c r="BL282"/>
  <c r="G283"/>
  <c r="BA284"/>
  <c r="AZ284" s="1"/>
  <c r="BL284"/>
  <c r="BA285"/>
  <c r="AZ285" s="1"/>
  <c r="BA286"/>
  <c r="AZ286" s="1"/>
  <c r="BL288"/>
  <c r="G289"/>
  <c r="BL290"/>
  <c r="G291"/>
  <c r="G293"/>
  <c r="BA294"/>
  <c r="BL294"/>
  <c r="BL296"/>
  <c r="G113"/>
  <c r="BA116"/>
  <c r="BL116"/>
  <c r="BA117"/>
  <c r="AZ117" s="1"/>
  <c r="BL118"/>
  <c r="AZ118" s="1"/>
  <c r="BA120"/>
  <c r="AZ120" s="1"/>
  <c r="BA121"/>
  <c r="AZ121" s="1"/>
  <c r="BL122"/>
  <c r="AZ122" s="1"/>
  <c r="BL125"/>
  <c r="G126"/>
  <c r="BA127"/>
  <c r="AZ127" s="1"/>
  <c r="BA129"/>
  <c r="BL129"/>
  <c r="BA131"/>
  <c r="AZ131" s="1"/>
  <c r="G141"/>
  <c r="G143"/>
  <c r="BL144"/>
  <c r="G145"/>
  <c r="BA148"/>
  <c r="BL148"/>
  <c r="BA149"/>
  <c r="AZ149" s="1"/>
  <c r="BL150"/>
  <c r="AZ150" s="1"/>
  <c r="BA152"/>
  <c r="AZ152" s="1"/>
  <c r="BL153"/>
  <c r="AZ153" s="1"/>
  <c r="BA155"/>
  <c r="AZ155" s="1"/>
  <c r="BL157"/>
  <c r="AZ157" s="1"/>
  <c r="G158"/>
  <c r="BL160"/>
  <c r="G161"/>
  <c r="BA162"/>
  <c r="AZ162" s="1"/>
  <c r="BL164"/>
  <c r="G165"/>
  <c r="BA166"/>
  <c r="AZ166" s="1"/>
  <c r="BL37"/>
  <c r="G38"/>
  <c r="G40"/>
  <c r="G43"/>
  <c r="G46"/>
  <c r="BL47"/>
  <c r="G48"/>
  <c r="BA49"/>
  <c r="AZ49" s="1"/>
  <c r="BL49"/>
  <c r="BA50"/>
  <c r="AZ50" s="1"/>
  <c r="BA51"/>
  <c r="AZ51" s="1"/>
  <c r="BA203"/>
  <c r="AZ203" s="1"/>
  <c r="BL203"/>
  <c r="BA204"/>
  <c r="AZ204" s="1"/>
  <c r="BL21"/>
  <c r="G22"/>
  <c r="BL23"/>
  <c r="G24"/>
  <c r="BA25"/>
  <c r="BL25"/>
  <c r="BA26"/>
  <c r="AZ26" s="1"/>
  <c r="BA27"/>
  <c r="AZ27" s="1"/>
  <c r="BL30"/>
  <c r="G31"/>
  <c r="BL32"/>
  <c r="G33"/>
  <c r="G37"/>
  <c r="G53"/>
  <c r="BA54"/>
  <c r="BL54"/>
  <c r="BA56"/>
  <c r="BL56"/>
  <c r="BA57"/>
  <c r="AZ57" s="1"/>
  <c r="BA58"/>
  <c r="BL58"/>
  <c r="BL60"/>
  <c r="G61"/>
  <c r="G65"/>
  <c r="BL66"/>
  <c r="G67"/>
  <c r="G70"/>
  <c r="G72"/>
  <c r="G74"/>
  <c r="G77"/>
  <c r="BL78"/>
  <c r="G79"/>
  <c r="BA80"/>
  <c r="BL80"/>
  <c r="BA81"/>
  <c r="AZ81" s="1"/>
  <c r="BA82"/>
  <c r="AZ82" s="1"/>
  <c r="BA84"/>
  <c r="AZ84" s="1"/>
  <c r="BL84"/>
  <c r="BL85"/>
  <c r="G86"/>
  <c r="BA87"/>
  <c r="BL87"/>
  <c r="BL88"/>
  <c r="G89"/>
  <c r="G91"/>
  <c r="G94"/>
  <c r="G97"/>
  <c r="BL98"/>
  <c r="G99"/>
  <c r="BA100"/>
  <c r="BL100"/>
  <c r="BA101"/>
  <c r="AZ101" s="1"/>
  <c r="BA102"/>
  <c r="AZ102" s="1"/>
  <c r="BL104"/>
  <c r="G105"/>
  <c r="G107"/>
  <c r="G110"/>
  <c r="I20" i="57"/>
  <c r="S12" i="21"/>
  <c r="AA12"/>
  <c r="AC9" i="34"/>
  <c r="W9"/>
  <c r="AC23" i="35"/>
  <c r="W23"/>
  <c r="AC13" i="40"/>
  <c r="U40" i="21"/>
  <c r="S32" i="33"/>
  <c r="U12" i="34"/>
  <c r="U14"/>
  <c r="S46"/>
  <c r="AA37" i="39"/>
  <c r="AA34" i="33"/>
  <c r="U47" i="39"/>
  <c r="U17" i="21"/>
  <c r="AB16" i="39"/>
  <c r="W27"/>
  <c r="AC14" i="40"/>
  <c r="F71" i="9"/>
  <c r="W40" i="40"/>
  <c r="H47" i="46"/>
  <c r="AZ494" i="3"/>
  <c r="AZ499"/>
  <c r="AZ507"/>
  <c r="AZ522"/>
  <c r="S9" i="21"/>
  <c r="AA9"/>
  <c r="AC24" i="35"/>
  <c r="W24"/>
  <c r="AB34"/>
  <c r="U34"/>
  <c r="W24" i="36"/>
  <c r="AC24"/>
  <c r="AZ562" i="3"/>
  <c r="BA570"/>
  <c r="AZ570" s="1"/>
  <c r="BI5"/>
  <c r="H9" i="33"/>
  <c r="F9" i="34"/>
  <c r="AA9" s="1"/>
  <c r="H33"/>
  <c r="U33" s="1"/>
  <c r="J36"/>
  <c r="F9" i="35"/>
  <c r="H12" i="36"/>
  <c r="U12" s="1"/>
  <c r="H24"/>
  <c r="AZ355" i="3"/>
  <c r="AZ307"/>
  <c r="AZ500"/>
  <c r="AZ510"/>
  <c r="AZ552"/>
  <c r="AZ492"/>
  <c r="AZ520"/>
  <c r="AZ544"/>
  <c r="AZ493"/>
  <c r="BF5"/>
  <c r="F26" i="37"/>
  <c r="AA26" s="1"/>
  <c r="G540" i="3"/>
  <c r="G516"/>
  <c r="G490"/>
  <c r="G568"/>
  <c r="G553"/>
  <c r="G548"/>
  <c r="G541"/>
  <c r="G533"/>
  <c r="G527"/>
  <c r="G519"/>
  <c r="G509"/>
  <c r="G503"/>
  <c r="G495"/>
  <c r="G486"/>
  <c r="K145" i="21"/>
  <c r="G390" i="3"/>
  <c r="G391"/>
  <c r="G392"/>
  <c r="BL392"/>
  <c r="BA393"/>
  <c r="AZ393" s="1"/>
  <c r="BA394"/>
  <c r="AZ394" s="1"/>
  <c r="G397"/>
  <c r="BL397"/>
  <c r="BL399"/>
  <c r="AZ399" s="1"/>
  <c r="BA400"/>
  <c r="AZ400" s="1"/>
  <c r="BA401"/>
  <c r="AZ401" s="1"/>
  <c r="BL403"/>
  <c r="AZ403" s="1"/>
  <c r="BA404"/>
  <c r="AZ404" s="1"/>
  <c r="G407"/>
  <c r="G408"/>
  <c r="BL408"/>
  <c r="BA409"/>
  <c r="AZ409" s="1"/>
  <c r="BA410"/>
  <c r="AZ410" s="1"/>
  <c r="G413"/>
  <c r="BL413"/>
  <c r="BL415"/>
  <c r="AZ415" s="1"/>
  <c r="BA416"/>
  <c r="AZ416" s="1"/>
  <c r="BL418"/>
  <c r="AZ418" s="1"/>
  <c r="BA419"/>
  <c r="AZ419" s="1"/>
  <c r="G422"/>
  <c r="G423"/>
  <c r="G424"/>
  <c r="BL424"/>
  <c r="BA425"/>
  <c r="AZ425" s="1"/>
  <c r="BA426"/>
  <c r="AZ426" s="1"/>
  <c r="BL428"/>
  <c r="AZ428" s="1"/>
  <c r="BA429"/>
  <c r="AZ429" s="1"/>
  <c r="BA430"/>
  <c r="AZ430" s="1"/>
  <c r="BA431"/>
  <c r="AZ431" s="1"/>
  <c r="BL433"/>
  <c r="AZ433" s="1"/>
  <c r="G436"/>
  <c r="G437"/>
  <c r="BL437"/>
  <c r="BL439"/>
  <c r="AZ439" s="1"/>
  <c r="BA440"/>
  <c r="AZ440" s="1"/>
  <c r="BA441"/>
  <c r="AZ441" s="1"/>
  <c r="BA442"/>
  <c r="AZ442" s="1"/>
  <c r="BL444"/>
  <c r="AZ444" s="1"/>
  <c r="BA445"/>
  <c r="AZ445" s="1"/>
  <c r="BA446"/>
  <c r="AZ446" s="1"/>
  <c r="G449"/>
  <c r="G450"/>
  <c r="G451"/>
  <c r="BL451"/>
  <c r="G454"/>
  <c r="G455"/>
  <c r="G456"/>
  <c r="G457"/>
  <c r="BL457"/>
  <c r="BL459"/>
  <c r="AZ459" s="1"/>
  <c r="BA460"/>
  <c r="AZ460" s="1"/>
  <c r="BA461"/>
  <c r="AZ461" s="1"/>
  <c r="BL463"/>
  <c r="AZ463" s="1"/>
  <c r="BA464"/>
  <c r="AZ464" s="1"/>
  <c r="BL466"/>
  <c r="AZ466" s="1"/>
  <c r="G469"/>
  <c r="G470"/>
  <c r="BL470"/>
  <c r="AZ470" s="1"/>
  <c r="G473"/>
  <c r="BL473"/>
  <c r="BL475"/>
  <c r="AZ475" s="1"/>
  <c r="BA476"/>
  <c r="AZ476" s="1"/>
  <c r="BA477"/>
  <c r="AZ477" s="1"/>
  <c r="BL479"/>
  <c r="AZ479" s="1"/>
  <c r="BA480"/>
  <c r="AZ480" s="1"/>
  <c r="G307"/>
  <c r="BA309"/>
  <c r="AZ309" s="1"/>
  <c r="G313"/>
  <c r="BL314"/>
  <c r="AZ314" s="1"/>
  <c r="BA317"/>
  <c r="AZ317" s="1"/>
  <c r="BL318"/>
  <c r="G320"/>
  <c r="G331"/>
  <c r="BA333"/>
  <c r="AZ333" s="1"/>
  <c r="BL334"/>
  <c r="G336"/>
  <c r="G347"/>
  <c r="BA349"/>
  <c r="AZ349" s="1"/>
  <c r="BL350"/>
  <c r="G352"/>
  <c r="BL360"/>
  <c r="AZ360" s="1"/>
  <c r="BL366"/>
  <c r="AZ366" s="1"/>
  <c r="BA368"/>
  <c r="AZ368" s="1"/>
  <c r="BA371"/>
  <c r="AZ371" s="1"/>
  <c r="BA375"/>
  <c r="AZ375" s="1"/>
  <c r="BL380"/>
  <c r="AZ380" s="1"/>
  <c r="BL385"/>
  <c r="AZ385" s="1"/>
  <c r="BA386"/>
  <c r="AZ386" s="1"/>
  <c r="BL388"/>
  <c r="AZ388" s="1"/>
  <c r="G207"/>
  <c r="G208"/>
  <c r="BL208"/>
  <c r="AZ208" s="1"/>
  <c r="G211"/>
  <c r="BL211"/>
  <c r="BL213"/>
  <c r="AZ213" s="1"/>
  <c r="BA214"/>
  <c r="AZ214" s="1"/>
  <c r="BA215"/>
  <c r="AZ215" s="1"/>
  <c r="BL217"/>
  <c r="AZ217" s="1"/>
  <c r="BA218"/>
  <c r="AZ218" s="1"/>
  <c r="BL220"/>
  <c r="AZ220" s="1"/>
  <c r="G223"/>
  <c r="G224"/>
  <c r="BL224"/>
  <c r="G227"/>
  <c r="BL227"/>
  <c r="BL229"/>
  <c r="AZ229" s="1"/>
  <c r="BA230"/>
  <c r="AZ230" s="1"/>
  <c r="BA231"/>
  <c r="AZ231" s="1"/>
  <c r="BL233"/>
  <c r="AZ233" s="1"/>
  <c r="BA234"/>
  <c r="AZ234" s="1"/>
  <c r="BL236"/>
  <c r="AZ236" s="1"/>
  <c r="G239"/>
  <c r="G240"/>
  <c r="BL240"/>
  <c r="AZ240" s="1"/>
  <c r="G243"/>
  <c r="BL243"/>
  <c r="BL245"/>
  <c r="AZ245" s="1"/>
  <c r="BA246"/>
  <c r="AZ246" s="1"/>
  <c r="BA247"/>
  <c r="AZ247" s="1"/>
  <c r="BL249"/>
  <c r="AZ249" s="1"/>
  <c r="BA250"/>
  <c r="AZ250" s="1"/>
  <c r="BL252"/>
  <c r="AZ252" s="1"/>
  <c r="G255"/>
  <c r="G256"/>
  <c r="BL256"/>
  <c r="G259"/>
  <c r="BL259"/>
  <c r="BL261"/>
  <c r="AZ261" s="1"/>
  <c r="BA262"/>
  <c r="AZ262" s="1"/>
  <c r="BA263"/>
  <c r="AZ263" s="1"/>
  <c r="BL265"/>
  <c r="AZ265" s="1"/>
  <c r="BA266"/>
  <c r="AZ266" s="1"/>
  <c r="BL268"/>
  <c r="AZ268" s="1"/>
  <c r="BA269"/>
  <c r="AZ269" s="1"/>
  <c r="BA270"/>
  <c r="AZ270" s="1"/>
  <c r="G273"/>
  <c r="G274"/>
  <c r="G275"/>
  <c r="BL275"/>
  <c r="G278"/>
  <c r="BL278"/>
  <c r="AZ278" s="1"/>
  <c r="G279"/>
  <c r="BL279"/>
  <c r="BA280"/>
  <c r="AZ280" s="1"/>
  <c r="BA281"/>
  <c r="AZ281" s="1"/>
  <c r="BA282"/>
  <c r="AZ282" s="1"/>
  <c r="AZ392"/>
  <c r="AZ398"/>
  <c r="AZ414"/>
  <c r="AZ434"/>
  <c r="AZ438"/>
  <c r="AZ451"/>
  <c r="AZ452"/>
  <c r="AZ458"/>
  <c r="AZ467"/>
  <c r="AZ471"/>
  <c r="AZ474"/>
  <c r="G286"/>
  <c r="G287"/>
  <c r="BL287"/>
  <c r="BA288"/>
  <c r="AZ288" s="1"/>
  <c r="BA289"/>
  <c r="AZ289" s="1"/>
  <c r="BA290"/>
  <c r="AZ290" s="1"/>
  <c r="BL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BA160"/>
  <c r="AZ160" s="1"/>
  <c r="BL161"/>
  <c r="AZ161" s="1"/>
  <c r="BA163"/>
  <c r="AZ163" s="1"/>
  <c r="BA164"/>
  <c r="AZ164" s="1"/>
  <c r="BL165"/>
  <c r="AZ165" s="1"/>
  <c r="G169"/>
  <c r="G172"/>
  <c r="BL172"/>
  <c r="BA174"/>
  <c r="AZ174" s="1"/>
  <c r="BL175"/>
  <c r="BA176"/>
  <c r="AZ176" s="1"/>
  <c r="BA177"/>
  <c r="AZ177" s="1"/>
  <c r="BL178"/>
  <c r="AZ178" s="1"/>
  <c r="G183"/>
  <c r="G184"/>
  <c r="G187"/>
  <c r="G188"/>
  <c r="G191"/>
  <c r="G192"/>
  <c r="G195"/>
  <c r="G196"/>
  <c r="G199"/>
  <c r="G200"/>
  <c r="G202"/>
  <c r="BL202"/>
  <c r="G21"/>
  <c r="BA22"/>
  <c r="AZ22" s="1"/>
  <c r="BA23"/>
  <c r="AZ23" s="1"/>
  <c r="BA24"/>
  <c r="AZ24" s="1"/>
  <c r="G27"/>
  <c r="G28"/>
  <c r="BL28"/>
  <c r="G29"/>
  <c r="BL29"/>
  <c r="BA30"/>
  <c r="AZ30" s="1"/>
  <c r="BA31"/>
  <c r="AZ31" s="1"/>
  <c r="BA32"/>
  <c r="AZ32" s="1"/>
  <c r="G35"/>
  <c r="G36"/>
  <c r="BL36"/>
  <c r="BA37"/>
  <c r="AZ37" s="1"/>
  <c r="BL39"/>
  <c r="AZ39" s="1"/>
  <c r="G42"/>
  <c r="BL42"/>
  <c r="G45"/>
  <c r="BL45"/>
  <c r="BA46"/>
  <c r="AZ46" s="1"/>
  <c r="BA47"/>
  <c r="AZ47" s="1"/>
  <c r="BA48"/>
  <c r="AZ48" s="1"/>
  <c r="G51"/>
  <c r="G52"/>
  <c r="BL52"/>
  <c r="BA53"/>
  <c r="AZ53" s="1"/>
  <c r="BL55"/>
  <c r="AZ55" s="1"/>
  <c r="G58"/>
  <c r="AZ156"/>
  <c r="AZ159"/>
  <c r="AZ172"/>
  <c r="AZ175"/>
  <c r="AZ202"/>
  <c r="R12" i="1"/>
  <c r="K12"/>
  <c r="M12" s="1"/>
  <c r="BL59" i="3"/>
  <c r="AZ59" s="1"/>
  <c r="BA60"/>
  <c r="AZ60" s="1"/>
  <c r="G63"/>
  <c r="G64"/>
  <c r="BL64"/>
  <c r="AZ64" s="1"/>
  <c r="BA65"/>
  <c r="AZ65" s="1"/>
  <c r="BA66"/>
  <c r="AZ66" s="1"/>
  <c r="G69"/>
  <c r="BL69"/>
  <c r="BL71"/>
  <c r="AZ71" s="1"/>
  <c r="G73"/>
  <c r="BL73"/>
  <c r="G76"/>
  <c r="BL76"/>
  <c r="AZ76" s="1"/>
  <c r="BA77"/>
  <c r="AZ77" s="1"/>
  <c r="BA78"/>
  <c r="AZ78" s="1"/>
  <c r="BA79"/>
  <c r="AZ79" s="1"/>
  <c r="G82"/>
  <c r="G83"/>
  <c r="BL83"/>
  <c r="AZ83" s="1"/>
  <c r="BA85"/>
  <c r="AZ85" s="1"/>
  <c r="BA86"/>
  <c r="AZ86" s="1"/>
  <c r="BA88"/>
  <c r="AZ88" s="1"/>
  <c r="BL90"/>
  <c r="AZ90" s="1"/>
  <c r="G93"/>
  <c r="BL93"/>
  <c r="AZ93" s="1"/>
  <c r="G96"/>
  <c r="BL96"/>
  <c r="AZ96" s="1"/>
  <c r="BA97"/>
  <c r="AZ97" s="1"/>
  <c r="BA98"/>
  <c r="AZ98" s="1"/>
  <c r="BA99"/>
  <c r="AZ99" s="1"/>
  <c r="G102"/>
  <c r="G103"/>
  <c r="BL103"/>
  <c r="AZ103" s="1"/>
  <c r="BA104"/>
  <c r="AZ104" s="1"/>
  <c r="BL106"/>
  <c r="AZ106" s="1"/>
  <c r="G109"/>
  <c r="BL109"/>
  <c r="AZ109" s="1"/>
  <c r="G112"/>
  <c r="N86" i="46"/>
  <c r="I15" i="57"/>
  <c r="F58" i="46"/>
  <c r="H58" s="1"/>
  <c r="U27" i="33"/>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3"/>
  <c r="AB32" i="40"/>
  <c r="W35"/>
  <c r="AB14"/>
  <c r="U31" i="37"/>
  <c r="U30" i="33"/>
  <c r="AB13" i="35"/>
  <c r="AA38" i="37"/>
  <c r="H39" i="34"/>
  <c r="F43"/>
  <c r="AA43" s="1"/>
  <c r="J43"/>
  <c r="J12" i="35"/>
  <c r="J36"/>
  <c r="F7" i="1"/>
  <c r="G7" s="1"/>
  <c r="H5" i="3"/>
  <c r="C92" i="9"/>
  <c r="AZ318" i="3"/>
  <c r="AZ334"/>
  <c r="AZ350"/>
  <c r="AZ211"/>
  <c r="AZ224"/>
  <c r="AZ227"/>
  <c r="AZ243"/>
  <c r="AZ256"/>
  <c r="AZ259"/>
  <c r="AZ275"/>
  <c r="AZ287"/>
  <c r="AZ28"/>
  <c r="AZ279"/>
  <c r="AZ294"/>
  <c r="AZ113"/>
  <c r="AZ116"/>
  <c r="AZ129"/>
  <c r="AZ132"/>
  <c r="AZ145"/>
  <c r="AZ148"/>
  <c r="AZ36"/>
  <c r="AZ42"/>
  <c r="AZ45"/>
  <c r="AZ52"/>
  <c r="AZ58"/>
  <c r="AZ61"/>
  <c r="AZ67"/>
  <c r="BA21"/>
  <c r="AZ21" s="1"/>
  <c r="AZ29"/>
  <c r="AZ69"/>
  <c r="AZ73"/>
  <c r="AZ87"/>
  <c r="AZ89"/>
  <c r="AZ100"/>
  <c r="AZ105"/>
  <c r="I21" i="57"/>
  <c r="D1" s="1"/>
  <c r="E10" s="1"/>
  <c r="N73" i="46"/>
  <c r="C18" i="9"/>
  <c r="D14" i="71" s="1"/>
  <c r="D20" s="1"/>
  <c r="A30" i="64"/>
  <c r="A30" i="51"/>
  <c r="B22" i="63" s="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C29"/>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M20" i="15"/>
  <c r="D96" i="9"/>
  <c r="F28" i="15"/>
  <c r="C28" s="1"/>
  <c r="M18"/>
  <c r="A18" i="64"/>
  <c r="B74" i="63" s="1"/>
  <c r="C53" i="10"/>
  <c r="A25" i="64" s="1"/>
  <c r="A18" i="51"/>
  <c r="B14" i="63" s="1"/>
  <c r="C19" i="46"/>
  <c r="BA16" i="3"/>
  <c r="BA17"/>
  <c r="AZ17" s="1"/>
  <c r="C24" i="12"/>
  <c r="F3" i="35"/>
  <c r="K1" i="43"/>
  <c r="K1" i="12"/>
  <c r="G1" i="44"/>
  <c r="I4" i="6"/>
  <c r="G3" i="46" s="1"/>
  <c r="H22" s="1"/>
  <c r="AZ15" i="3"/>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I17"/>
  <c r="E17"/>
  <c r="D71"/>
  <c r="D84"/>
  <c r="E80" s="1"/>
  <c r="B78" s="1"/>
  <c r="D69"/>
  <c r="E69" s="1"/>
  <c r="B67" s="1"/>
  <c r="E47"/>
  <c r="E58"/>
  <c r="A4" i="64"/>
  <c r="A4" i="51"/>
  <c r="B6" i="63" s="1"/>
  <c r="C51" i="10"/>
  <c r="H61" i="46"/>
  <c r="I100"/>
  <c r="B56"/>
  <c r="C24" s="1"/>
  <c r="N100"/>
  <c r="H100"/>
  <c r="F108"/>
  <c r="H80"/>
  <c r="B45"/>
  <c r="E100"/>
  <c r="G100"/>
  <c r="H84"/>
  <c r="H65"/>
  <c r="C100"/>
  <c r="J100"/>
  <c r="M100"/>
  <c r="AA12" i="36"/>
  <c r="U12" i="35"/>
  <c r="AB12"/>
  <c r="W11"/>
  <c r="AA11"/>
  <c r="S14" i="37"/>
  <c r="U13"/>
  <c r="S13" i="21"/>
  <c r="C24" i="9"/>
  <c r="C25"/>
  <c r="AP7" i="1"/>
  <c r="AP9"/>
  <c r="G9"/>
  <c r="AP8"/>
  <c r="G8"/>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64"/>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29"/>
  <c r="AB47"/>
  <c r="AB13"/>
  <c r="AC13"/>
  <c r="S47"/>
  <c r="AA29"/>
  <c r="S19"/>
  <c r="S8"/>
  <c r="AA19" i="33"/>
  <c r="AC25"/>
  <c r="S43"/>
  <c r="AB42"/>
  <c r="AB14"/>
  <c r="S26"/>
  <c r="AB12"/>
  <c r="S15"/>
  <c r="S9"/>
  <c r="S39" i="21"/>
  <c r="AB25"/>
  <c r="AB45"/>
  <c r="W25"/>
  <c r="AA25"/>
  <c r="AC37"/>
  <c r="AA29"/>
  <c r="U27"/>
  <c r="W31"/>
  <c r="S27"/>
  <c r="AA15"/>
  <c r="AC27"/>
  <c r="W29"/>
  <c r="G96" i="40"/>
  <c r="J27"/>
  <c r="S17"/>
  <c r="W30"/>
  <c r="S34"/>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13"/>
  <c r="F18" i="44"/>
  <c r="F37" i="15"/>
  <c r="L47"/>
  <c r="M29" i="44"/>
  <c r="M31"/>
  <c r="F39"/>
  <c r="F43" i="15"/>
  <c r="F11" i="44"/>
  <c r="M10"/>
  <c r="J36" i="15"/>
  <c r="F28" i="44"/>
  <c r="F38"/>
  <c r="M28"/>
  <c r="F15"/>
  <c r="L48"/>
  <c r="M6" i="15"/>
  <c r="C15" i="43"/>
  <c r="M8" i="44"/>
  <c r="F26" i="15"/>
  <c r="M24" i="44"/>
  <c r="M23" i="15"/>
  <c r="F43" i="44"/>
  <c r="M24" i="15"/>
  <c r="G5" i="3" l="1"/>
  <c r="B3" s="1"/>
  <c r="AA25" i="37"/>
  <c r="S25"/>
  <c r="AB9" i="21"/>
  <c r="U9"/>
  <c r="AZ80" i="3"/>
  <c r="AZ56"/>
  <c r="AZ54"/>
  <c r="AZ25"/>
  <c r="AZ276"/>
  <c r="AZ248"/>
  <c r="AZ244"/>
  <c r="AZ216"/>
  <c r="AZ212"/>
  <c r="AZ180"/>
  <c r="AZ443"/>
  <c r="AZ411"/>
  <c r="AZ405"/>
  <c r="AA34" i="35"/>
  <c r="S34"/>
  <c r="AC39" i="34"/>
  <c r="W39"/>
  <c r="AC9" i="21"/>
  <c r="W9"/>
  <c r="D18" i="71"/>
  <c r="W36" i="34"/>
  <c r="AC36"/>
  <c r="U17" i="40"/>
  <c r="W37"/>
  <c r="AB35" i="34"/>
  <c r="S26" i="37"/>
  <c r="H60" i="46"/>
  <c r="H59"/>
  <c r="I20"/>
  <c r="C20" s="1"/>
  <c r="C36" s="1"/>
  <c r="E36" s="1"/>
  <c r="H66"/>
  <c r="H62"/>
  <c r="C16"/>
  <c r="AB24" i="36"/>
  <c r="U24"/>
  <c r="AA9" i="35"/>
  <c r="S9"/>
  <c r="AB9" i="33"/>
  <c r="U9"/>
  <c r="C7" i="46"/>
  <c r="S43" i="34"/>
  <c r="D18" i="9"/>
  <c r="M44" s="1"/>
  <c r="AC36" i="35"/>
  <c r="W36"/>
  <c r="AC43" i="34"/>
  <c r="W43"/>
  <c r="U39"/>
  <c r="AB39"/>
  <c r="AB37"/>
  <c r="U37"/>
  <c r="AA37"/>
  <c r="S37"/>
  <c r="E413" i="3"/>
  <c r="D29" i="46"/>
  <c r="D1" s="1"/>
  <c r="F19" i="6"/>
  <c r="E19" s="1"/>
  <c r="C9" i="12" s="1"/>
  <c r="AZ3" i="3"/>
  <c r="W12" i="35"/>
  <c r="AC12"/>
  <c r="S35" i="34"/>
  <c r="AA35"/>
  <c r="H77" i="46"/>
  <c r="H69"/>
  <c r="H75"/>
  <c r="C6"/>
  <c r="H74"/>
  <c r="H73"/>
  <c r="H76"/>
  <c r="AB11"/>
  <c r="AB13" s="1"/>
  <c r="G6" i="1"/>
  <c r="L59" i="15"/>
  <c r="Q75" s="1"/>
  <c r="L60" i="44"/>
  <c r="Q63"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F30"/>
  <c r="E28"/>
  <c r="E13"/>
  <c r="E11"/>
  <c r="H70" i="46"/>
  <c r="H72"/>
  <c r="F24" i="15"/>
  <c r="C24" s="1"/>
  <c r="F26" i="44"/>
  <c r="C26" s="1"/>
  <c r="F26" i="12"/>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E4" i="4"/>
  <c r="C4"/>
  <c r="F64" i="15"/>
  <c r="C27"/>
  <c r="Q72"/>
  <c r="F70"/>
  <c r="G66" i="36"/>
  <c r="J18"/>
  <c r="AE8" i="1"/>
  <c r="AE7"/>
  <c r="AE6"/>
  <c r="F31" i="15"/>
  <c r="F58"/>
  <c r="M19" i="44"/>
  <c r="M17" i="15"/>
  <c r="F33" i="44"/>
  <c r="F46"/>
  <c r="J17"/>
  <c r="M28" i="15"/>
  <c r="M25" i="44"/>
  <c r="M11"/>
  <c r="F9"/>
  <c r="M9" i="15"/>
  <c r="F16"/>
  <c r="F45" i="44"/>
  <c r="F38" i="15"/>
  <c r="M8"/>
  <c r="F10" i="44"/>
  <c r="F8" i="15"/>
  <c r="F8" i="44"/>
  <c r="F9" i="15"/>
  <c r="L48"/>
  <c r="F42"/>
  <c r="F36"/>
  <c r="J15"/>
  <c r="M26"/>
  <c r="F7"/>
  <c r="F6"/>
  <c r="M26" i="44"/>
  <c r="M22" i="15"/>
  <c r="M29"/>
  <c r="C18" i="44"/>
  <c r="F40" i="15"/>
  <c r="M30" i="44"/>
  <c r="F41" i="15"/>
  <c r="L49" i="44"/>
  <c r="F40"/>
  <c r="M27" i="15"/>
  <c r="F63" l="1"/>
  <c r="C33" i="46"/>
  <c r="G33" s="1"/>
  <c r="I33" s="1"/>
  <c r="C34"/>
  <c r="E34" s="1"/>
  <c r="C35"/>
  <c r="E35" s="1"/>
  <c r="C8" i="44"/>
  <c r="C7" s="1"/>
  <c r="C40" s="1"/>
  <c r="I55"/>
  <c r="J60"/>
  <c r="L57"/>
  <c r="J54"/>
  <c r="F1" s="1"/>
  <c r="L59"/>
  <c r="Q75" s="1"/>
  <c r="J58"/>
  <c r="J56" s="1"/>
  <c r="J59" s="1"/>
  <c r="Q52" s="1"/>
  <c r="J61"/>
  <c r="Q50" s="1"/>
  <c r="M9"/>
  <c r="J8" s="1"/>
  <c r="J7" s="1"/>
  <c r="C5" i="46"/>
  <c r="D13" i="71"/>
  <c r="D19" s="1"/>
  <c r="F50" i="15"/>
  <c r="C6"/>
  <c r="C5" s="1"/>
  <c r="F49"/>
  <c r="M7"/>
  <c r="J6" s="1"/>
  <c r="J5" s="1"/>
  <c r="J18" s="1"/>
  <c r="F65"/>
  <c r="F67"/>
  <c r="I54"/>
  <c r="L58"/>
  <c r="Q74" s="1"/>
  <c r="J53"/>
  <c r="F1" s="1"/>
  <c r="J57"/>
  <c r="J55" s="1"/>
  <c r="J58" s="1"/>
  <c r="Q51" s="1"/>
  <c r="L56"/>
  <c r="E32" i="6"/>
  <c r="C9" i="43"/>
  <c r="D3" i="34"/>
  <c r="K6" i="1"/>
  <c r="T10" i="46"/>
  <c r="V10" s="1"/>
  <c r="T14"/>
  <c r="V14" s="1"/>
  <c r="T9"/>
  <c r="V9" s="1"/>
  <c r="T13"/>
  <c r="V13" s="1"/>
  <c r="T8"/>
  <c r="V8" s="1"/>
  <c r="T12"/>
  <c r="V12" s="1"/>
  <c r="T16"/>
  <c r="V16" s="1"/>
  <c r="T11"/>
  <c r="V11" s="1"/>
  <c r="T15"/>
  <c r="V15" s="1"/>
  <c r="C38"/>
  <c r="G38" s="1"/>
  <c r="I38" s="1"/>
  <c r="C39"/>
  <c r="G39" s="1"/>
  <c r="I39" s="1"/>
  <c r="C37"/>
  <c r="I116"/>
  <c r="J116" s="1"/>
  <c r="K116" s="1"/>
  <c r="L116" s="1"/>
  <c r="M116" s="1"/>
  <c r="K102"/>
  <c r="K103"/>
  <c r="K106"/>
  <c r="F105"/>
  <c r="F104"/>
  <c r="F102"/>
  <c r="C109"/>
  <c r="C102"/>
  <c r="C103"/>
  <c r="J102"/>
  <c r="J106"/>
  <c r="H7" i="37"/>
  <c r="Q76" i="44"/>
  <c r="J7" i="37"/>
  <c r="F7"/>
  <c r="AA7" s="1"/>
  <c r="R42" s="1"/>
  <c r="E42"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W7" i="35"/>
  <c r="S7" i="37"/>
  <c r="U7" i="34"/>
  <c r="E48" i="33"/>
  <c r="E52" s="1"/>
  <c r="F52" s="1"/>
  <c r="C115" i="46"/>
  <c r="AG6" i="1"/>
  <c r="F31" i="6"/>
  <c r="AC6" i="3"/>
  <c r="D12" i="11"/>
  <c r="C12" s="1"/>
  <c r="F68" i="15"/>
  <c r="C27" i="12"/>
  <c r="D26" s="1"/>
  <c r="E59" i="40"/>
  <c r="E29" i="6"/>
  <c r="L20" s="1"/>
  <c r="E58" i="40"/>
  <c r="E63" i="39"/>
  <c r="E16" i="6"/>
  <c r="AZ5" i="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G36" i="46"/>
  <c r="I36"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Q62" i="15"/>
  <c r="E46" i="37"/>
  <c r="F46" s="1"/>
  <c r="C48" i="33"/>
  <c r="C49"/>
  <c r="B3" s="1"/>
  <c r="B2" s="1"/>
  <c r="C16" i="15"/>
  <c r="D21" i="12"/>
  <c r="F24" i="43"/>
  <c r="L52" i="44"/>
  <c r="G37" i="46" l="1"/>
  <c r="I37" s="1"/>
  <c r="C17" i="71"/>
  <c r="E33" i="46"/>
  <c r="G35"/>
  <c r="I35" s="1"/>
  <c r="D17" i="71"/>
  <c r="Q62" i="44"/>
  <c r="G34" i="46"/>
  <c r="I34" s="1"/>
  <c r="Q54" i="44"/>
  <c r="G41" i="36"/>
  <c r="H41" s="1"/>
  <c r="C21" i="12"/>
  <c r="Q61" i="15"/>
  <c r="C48"/>
  <c r="Q53"/>
  <c r="M6" i="1"/>
  <c r="O6" s="1"/>
  <c r="P6" s="1"/>
  <c r="G16"/>
  <c r="H16"/>
  <c r="AP16"/>
  <c r="F22" i="11" s="1"/>
  <c r="Q16" i="1"/>
  <c r="I53" i="34"/>
  <c r="J53" s="1"/>
  <c r="E38" i="46"/>
  <c r="E37"/>
  <c r="E39"/>
  <c r="E29"/>
  <c r="C30"/>
  <c r="E30" s="1"/>
  <c r="S6"/>
  <c r="T6" s="1"/>
  <c r="V6" s="1"/>
  <c r="S7"/>
  <c r="T7" s="1"/>
  <c r="V7" s="1"/>
  <c r="S4"/>
  <c r="T4" s="1"/>
  <c r="V4" s="1"/>
  <c r="S5"/>
  <c r="T5" s="1"/>
  <c r="V5" s="1"/>
  <c r="S2"/>
  <c r="T2" s="1"/>
  <c r="V2" s="1"/>
  <c r="S3"/>
  <c r="T3" s="1"/>
  <c r="V3" s="1"/>
  <c r="C34" i="44"/>
  <c r="U7" i="37"/>
  <c r="AB7"/>
  <c r="T42" s="1"/>
  <c r="G42" s="1"/>
  <c r="G47" s="1"/>
  <c r="H47" s="1"/>
  <c r="E6" i="3"/>
  <c r="Q69" i="44"/>
  <c r="L58"/>
  <c r="L61" s="1"/>
  <c r="D113" i="46"/>
  <c r="J22" s="1"/>
  <c r="E41" i="36"/>
  <c r="F41" s="1"/>
  <c r="I47" i="37"/>
  <c r="J47" s="1"/>
  <c r="E53" i="33"/>
  <c r="F53" s="1"/>
  <c r="I53"/>
  <c r="J53" s="1"/>
  <c r="L27" i="6"/>
  <c r="E38" i="35"/>
  <c r="I43" s="1"/>
  <c r="J43" s="1"/>
  <c r="I41" i="36"/>
  <c r="J41" s="1"/>
  <c r="R37"/>
  <c r="C26" i="43"/>
  <c r="D24" s="1"/>
  <c r="C32" i="12"/>
  <c r="D30" s="1"/>
  <c r="M14" i="1"/>
  <c r="K16"/>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C19"/>
  <c r="C15" i="12"/>
  <c r="F7" i="67"/>
  <c r="C17" i="15"/>
  <c r="C27" i="46" l="1"/>
  <c r="J12" i="40"/>
  <c r="F12" i="39"/>
  <c r="F12" i="40"/>
  <c r="H12"/>
  <c r="H12" i="39"/>
  <c r="J12"/>
  <c r="F18" i="11"/>
  <c r="C18" s="1"/>
  <c r="C19" s="1"/>
  <c r="C20" s="1"/>
  <c r="C21" s="1"/>
  <c r="C22" s="1"/>
  <c r="C23" s="1"/>
  <c r="B2" s="1"/>
  <c r="B3" s="1"/>
  <c r="B3" i="34"/>
  <c r="B2" s="1"/>
  <c r="C8" i="43"/>
  <c r="C10" s="1"/>
  <c r="C6" s="1"/>
  <c r="C31" s="1"/>
  <c r="C26" i="46"/>
  <c r="B2" s="1"/>
  <c r="D4" s="1"/>
  <c r="E4" i="67"/>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D16" i="43"/>
  <c r="B7" i="67"/>
  <c r="E7"/>
  <c r="F33" i="12"/>
  <c r="C34" l="1"/>
  <c r="D33" s="1"/>
  <c r="AC12" i="39"/>
  <c r="W12"/>
  <c r="AB12" i="40"/>
  <c r="U12"/>
  <c r="AA12" i="39"/>
  <c r="S12"/>
  <c r="U12"/>
  <c r="AB12"/>
  <c r="AA12" i="40"/>
  <c r="S12"/>
  <c r="AC12"/>
  <c r="W12"/>
  <c r="C16" i="43"/>
  <c r="E3" i="67"/>
  <c r="E68" i="39"/>
  <c r="E63" i="40"/>
  <c r="B2" i="67"/>
  <c r="B4" i="46"/>
  <c r="B3"/>
  <c r="T10" i="1"/>
  <c r="T9"/>
  <c r="T6"/>
  <c r="T11"/>
  <c r="T8"/>
  <c r="T12"/>
  <c r="O16"/>
  <c r="P14"/>
  <c r="P16" s="1"/>
  <c r="L16"/>
  <c r="N16"/>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6" i="44"/>
  <c r="C13" i="12"/>
  <c r="C14" i="15"/>
  <c r="C13" i="43"/>
  <c r="C29"/>
  <c r="D22" i="12"/>
  <c r="C22" l="1"/>
  <c r="C2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M23"/>
  <c r="F35" i="15"/>
  <c r="M21"/>
  <c r="C21" i="44"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C32"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B2" i="43"/>
  <c r="N70" i="39"/>
  <c r="N72" s="1"/>
  <c r="M72"/>
  <c r="N65" i="40"/>
  <c r="N67" s="1"/>
  <c r="M67"/>
  <c r="C60" i="15"/>
  <c r="D19" i="9"/>
  <c r="C44" i="44" l="1"/>
  <c r="C45" s="1"/>
  <c r="B2" s="1"/>
  <c r="B4" s="1"/>
  <c r="C30" i="15"/>
  <c r="C39" s="1"/>
  <c r="Q70" s="1"/>
  <c r="Q69" s="1"/>
  <c r="C58"/>
  <c r="C57" s="1"/>
  <c r="C66" s="1"/>
  <c r="C67" s="1"/>
  <c r="C70" s="1"/>
  <c r="Q70" i="44"/>
  <c r="Q49"/>
  <c r="Q55" s="1"/>
  <c r="Q58"/>
  <c r="Q64" s="1"/>
  <c r="L44" i="9"/>
  <c r="J9" i="40"/>
  <c r="F9"/>
  <c r="H9"/>
  <c r="J9" i="39"/>
  <c r="H9"/>
  <c r="F9"/>
  <c r="B3" i="12"/>
  <c r="B5" i="43"/>
  <c r="D20" i="9"/>
  <c r="B3" i="43"/>
  <c r="B4" i="12"/>
  <c r="B4" i="43"/>
  <c r="B5" i="12"/>
  <c r="D21" i="9"/>
  <c r="C13" i="71" l="1"/>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8"/>
  <c r="Q57"/>
  <c r="C43"/>
  <c r="J42"/>
  <c r="J43" s="1"/>
  <c r="I48" i="40"/>
  <c r="J48" s="1"/>
  <c r="G48"/>
  <c r="H48" s="1"/>
  <c r="G49"/>
  <c r="H49" s="1"/>
  <c r="E44"/>
  <c r="R45"/>
  <c r="G53" i="39"/>
  <c r="H53" s="1"/>
  <c r="G54"/>
  <c r="H54" s="1"/>
  <c r="I53"/>
  <c r="J53" s="1"/>
  <c r="E49"/>
  <c r="R50"/>
  <c r="Q67" i="15" l="1"/>
  <c r="Q76" s="1"/>
  <c r="L46"/>
  <c r="B2" s="1"/>
  <c r="B3" s="1"/>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C14" i="71" l="1"/>
  <c r="C18" s="1"/>
  <c r="G20" i="9"/>
  <c r="G21"/>
  <c r="C45"/>
  <c r="H14" i="66" s="1"/>
  <c r="B7" s="1"/>
  <c r="G22" i="9"/>
  <c r="N43"/>
  <c r="E17" i="71" l="1"/>
  <c r="E13"/>
  <c r="F13" s="1"/>
  <c r="D7" i="66"/>
  <c r="C7"/>
  <c r="C42" i="9"/>
  <c r="O38"/>
  <c r="K25" s="1"/>
  <c r="C34"/>
  <c r="C33"/>
  <c r="O43"/>
  <c r="C35"/>
  <c r="F42" s="1"/>
  <c r="D53" i="71" l="1"/>
  <c r="F17"/>
  <c r="G17"/>
  <c r="K54" s="1"/>
  <c r="E49"/>
  <c r="D49"/>
  <c r="G13"/>
  <c r="K49" s="1"/>
  <c r="R30"/>
  <c r="D30"/>
  <c r="E30" s="1"/>
  <c r="C44" i="9"/>
  <c r="G14" i="66" s="1"/>
  <c r="B6" s="1"/>
  <c r="D14"/>
  <c r="F14" s="1"/>
  <c r="R5" i="54"/>
  <c r="B48" i="63" s="1"/>
  <c r="M38" i="9"/>
  <c r="K27" s="1"/>
  <c r="E42"/>
  <c r="N68"/>
  <c r="D63"/>
  <c r="C111" s="1"/>
  <c r="N38"/>
  <c r="K28" s="1"/>
  <c r="D42"/>
  <c r="K26"/>
  <c r="D45"/>
  <c r="E45"/>
  <c r="O40"/>
  <c r="F45"/>
  <c r="H17" i="71" l="1"/>
  <c r="L54" s="1"/>
  <c r="H13"/>
  <c r="L49" s="1"/>
  <c r="K29"/>
  <c r="L29" s="1"/>
  <c r="S30"/>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S31" i="71" l="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E53" i="71" l="1"/>
  <c r="D32" l="1"/>
  <c r="R34" s="1"/>
  <c r="E32"/>
  <c r="E34" s="1"/>
  <c r="K31" l="1"/>
  <c r="L31" s="1"/>
  <c r="S34" l="1"/>
  <c r="S36" s="1"/>
  <c r="S37" s="1"/>
  <c r="L34"/>
  <c r="C19" l="1"/>
  <c r="C20" l="1"/>
  <c r="E19" l="1"/>
  <c r="E15"/>
  <c r="F15" l="1"/>
  <c r="E48" s="1"/>
  <c r="D48"/>
  <c r="D51" s="1"/>
  <c r="R48" s="1"/>
  <c r="D56"/>
  <c r="G15"/>
  <c r="D52"/>
  <c r="F19"/>
  <c r="G19"/>
  <c r="K47" l="1"/>
  <c r="K52" s="1"/>
  <c r="H15"/>
  <c r="L47" s="1"/>
  <c r="L52" s="1"/>
  <c r="E51"/>
  <c r="S48" s="1"/>
  <c r="K53"/>
  <c r="H19"/>
  <c r="L53" s="1"/>
  <c r="E52"/>
  <c r="E54" s="1"/>
  <c r="S50" s="1"/>
  <c r="D54"/>
  <c r="R50" s="1"/>
  <c r="E56"/>
  <c r="K55" l="1"/>
  <c r="E58"/>
  <c r="E55"/>
  <c r="E59" l="1"/>
  <c r="L55"/>
  <c r="L56" s="1"/>
  <c r="K56"/>
  <c r="S51"/>
  <c r="C23" l="1"/>
  <c r="C22" s="1"/>
  <c r="C21" l="1"/>
  <c r="E21" s="1"/>
  <c r="G21" s="1"/>
  <c r="H21" s="1"/>
  <c r="K57" l="1"/>
  <c r="R54"/>
  <c r="S54" s="1"/>
  <c r="S56" s="1"/>
  <c r="S57" s="1"/>
  <c r="L57"/>
  <c r="L59" s="1"/>
  <c r="L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19" authorId="0">
      <text>
        <r>
          <rPr>
            <b/>
            <sz val="9"/>
            <color indexed="81"/>
            <rFont val="Tahoma"/>
            <family val="2"/>
          </rPr>
          <t xml:space="preserve">USER:
</t>
        </r>
        <r>
          <rPr>
            <b/>
            <sz val="9"/>
            <color indexed="81"/>
            <rFont val="宋体"/>
            <family val="3"/>
            <charset val="134"/>
          </rPr>
          <t>全部归入</t>
        </r>
        <r>
          <rPr>
            <b/>
            <sz val="9"/>
            <color indexed="81"/>
            <rFont val="Tahoma"/>
            <family val="2"/>
          </rPr>
          <t>-1</t>
        </r>
        <r>
          <rPr>
            <b/>
            <sz val="9"/>
            <color indexed="81"/>
            <rFont val="宋体"/>
            <family val="3"/>
            <charset val="134"/>
          </rPr>
          <t>层</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<sst xmlns="http://schemas.openxmlformats.org/spreadsheetml/2006/main" count="7175" uniqueCount="3156">
  <si>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</si>
  <si>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</si>
  <si>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</si>
  <si>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</si>
  <si>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</si>
  <si>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</si>
  <si>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</si>
  <si>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</si>
  <si>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</si>
  <si>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</si>
  <si>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</si>
  <si>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</si>
  <si>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</si>
  <si>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</si>
  <si>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</si>
  <si>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</si>
  <si>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</si>
  <si>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</si>
  <si>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</si>
  <si>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</si>
  <si>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</si>
  <si>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</si>
  <si>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</si>
  <si>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</si>
  <si>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</si>
  <si>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</si>
  <si>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</si>
  <si>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</si>
  <si>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</si>
  <si>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</si>
  <si>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</si>
  <si>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</si>
  <si>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</si>
  <si>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</si>
  <si>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</si>
  <si>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</si>
  <si>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</si>
  <si>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</si>
  <si>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</si>
  <si>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</si>
  <si>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</si>
  <si>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</si>
  <si>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</si>
  <si>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</si>
  <si>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</si>
  <si>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</si>
  <si>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</si>
  <si>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</si>
  <si>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</si>
  <si>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</si>
  <si>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</si>
  <si>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</si>
  <si>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</si>
  <si>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</si>
  <si>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</si>
  <si>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</si>
  <si>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</si>
  <si>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</si>
  <si>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</si>
  <si>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</si>
  <si>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</si>
  <si>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</si>
  <si>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</si>
  <si>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</si>
  <si>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</si>
  <si>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</si>
  <si>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</si>
  <si>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</si>
  <si>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</si>
  <si>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</si>
  <si>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</si>
  <si>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</si>
  <si>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</si>
  <si>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</si>
  <si>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</si>
  <si>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</si>
  <si>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</si>
  <si>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</si>
  <si>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</si>
  <si>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</si>
  <si>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</si>
  <si>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</si>
  <si>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</si>
  <si>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</si>
  <si>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</si>
  <si>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</si>
  <si>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</si>
  <si>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</si>
  <si>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</si>
  <si>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</si>
  <si>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</si>
  <si>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</si>
  <si>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</si>
  <si>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</si>
  <si>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</si>
  <si>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</si>
  <si>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</si>
  <si>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</si>
  <si>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</si>
  <si>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</si>
  <si>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</si>
  <si>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</si>
  <si>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</si>
  <si>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</si>
  <si>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</si>
  <si>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</si>
  <si>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</si>
  <si>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</si>
  <si>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</si>
  <si>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</si>
  <si>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</si>
  <si>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</si>
  <si>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</si>
  <si>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</si>
  <si>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</si>
  <si>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</si>
  <si>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</si>
  <si>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</si>
  <si>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</si>
  <si>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</si>
  <si>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</si>
  <si>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</si>
  <si>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</si>
  <si>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</si>
  <si>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</si>
  <si>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</si>
  <si>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</si>
  <si>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</si>
  <si>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</si>
  <si>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</si>
  <si>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</si>
  <si>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</si>
  <si>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</si>
  <si>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</si>
  <si>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</si>
  <si>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</si>
  <si>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</si>
  <si>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</si>
  <si>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</si>
  <si>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</si>
  <si>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</si>
  <si>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</si>
  <si>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</si>
  <si>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</si>
  <si>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</si>
  <si>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</si>
  <si>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</si>
  <si>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</si>
  <si>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</si>
  <si>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</si>
  <si>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</si>
  <si>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</si>
  <si>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</si>
  <si>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</si>
  <si>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</si>
  <si>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</si>
  <si>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</si>
  <si>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</si>
  <si>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</si>
  <si>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</si>
  <si>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</si>
  <si>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</si>
  <si>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</si>
  <si>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</si>
  <si>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</si>
  <si>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</si>
  <si>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</si>
  <si>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</si>
  <si>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</si>
  <si>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</si>
  <si>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</si>
  <si>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</si>
  <si>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</si>
  <si>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</si>
  <si>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</si>
  <si>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</si>
  <si>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</si>
  <si>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</si>
  <si>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</si>
  <si>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</si>
  <si>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</si>
  <si>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</si>
  <si>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</si>
  <si>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</si>
  <si>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</si>
  <si>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</si>
  <si>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</si>
  <si>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</si>
  <si>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</si>
  <si>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</si>
  <si>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</si>
  <si>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</si>
  <si>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</si>
  <si>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</si>
  <si>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</si>
  <si>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</si>
  <si>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</si>
  <si>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</si>
  <si>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</si>
  <si>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</si>
  <si>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</si>
  <si>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</si>
  <si>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</si>
  <si>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</si>
  <si>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</si>
  <si>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</si>
  <si>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</si>
  <si>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</si>
  <si>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</si>
  <si>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</si>
  <si>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</si>
  <si>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</si>
  <si>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</si>
  <si>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</si>
  <si>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</si>
  <si>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</si>
  <si>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</si>
  <si>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</si>
  <si>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</si>
  <si>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</si>
  <si>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</si>
  <si>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</si>
  <si>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</si>
  <si>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</si>
  <si>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</si>
  <si>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</si>
  <si>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</si>
  <si>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</si>
  <si>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</si>
  <si>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</si>
  <si>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</si>
  <si>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</si>
  <si>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</si>
  <si>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</si>
  <si>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</si>
  <si>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</si>
  <si>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</si>
  <si>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</si>
  <si>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</si>
  <si>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</si>
  <si>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</si>
  <si>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</si>
  <si>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</si>
  <si>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</si>
  <si>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</si>
  <si>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</si>
  <si>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</si>
  <si>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</si>
  <si>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</si>
  <si>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</si>
  <si>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</si>
  <si>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</si>
  <si>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</si>
  <si>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</si>
  <si>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</si>
  <si>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</si>
  <si>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</si>
  <si>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</si>
  <si>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</si>
  <si>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</si>
  <si>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</si>
  <si>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</si>
  <si>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</si>
  <si>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</si>
  <si>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</si>
  <si>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</si>
  <si>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</si>
  <si>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</si>
  <si>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</si>
  <si>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</si>
  <si>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</si>
  <si>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</si>
  <si>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</si>
  <si>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</si>
  <si>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</si>
  <si>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</si>
  <si>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</si>
  <si>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</si>
  <si>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</si>
  <si>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</si>
  <si>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</si>
  <si>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</si>
  <si>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</si>
  <si>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</si>
  <si>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</si>
  <si>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</si>
  <si>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</si>
  <si>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</si>
  <si>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</si>
  <si>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</si>
  <si>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</si>
  <si>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</si>
  <si>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</si>
  <si>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</si>
  <si>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</si>
  <si>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</si>
  <si>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</si>
  <si>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</si>
  <si>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</si>
  <si>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</si>
  <si>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</si>
  <si>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</si>
  <si>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</si>
  <si>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</si>
  <si>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</si>
  <si>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</si>
  <si>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</si>
  <si>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</si>
  <si>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</si>
  <si>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</si>
  <si>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</si>
  <si>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</si>
  <si>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</si>
  <si>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</si>
  <si>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</si>
  <si>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</si>
  <si>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</si>
  <si>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</si>
  <si>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</si>
  <si>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</si>
  <si>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</si>
  <si>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</si>
  <si>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</si>
  <si>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</si>
  <si>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</si>
  <si>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</si>
  <si>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</si>
  <si>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</si>
  <si>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</si>
  <si>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</si>
  <si>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</si>
  <si>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</si>
  <si>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</si>
  <si>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</si>
  <si>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</si>
  <si>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</si>
  <si>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</si>
  <si>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</si>
  <si>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</si>
  <si>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</si>
  <si>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</si>
  <si>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</si>
  <si>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</si>
  <si>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</si>
  <si>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</si>
  <si>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</si>
  <si>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</si>
  <si>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</si>
  <si>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</si>
  <si>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</si>
  <si>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</si>
  <si>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</si>
  <si>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</si>
  <si>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</si>
  <si>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</si>
  <si>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</si>
  <si>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</si>
  <si>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</si>
  <si>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</si>
  <si>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</si>
  <si>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</si>
  <si>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</si>
  <si>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</si>
  <si>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</si>
  <si>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</si>
  <si>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</si>
  <si>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</si>
  <si>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</si>
  <si>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</si>
  <si>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</si>
  <si>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</si>
  <si>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</si>
  <si>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</si>
  <si>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</si>
  <si>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</si>
  <si>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</si>
  <si>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</si>
  <si>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</si>
  <si>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</si>
  <si>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</si>
  <si>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</si>
  <si>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</si>
  <si>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</si>
  <si>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</si>
  <si>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</si>
  <si>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</si>
  <si>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</si>
  <si>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</si>
  <si>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</si>
  <si>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</si>
  <si>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</si>
  <si>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</si>
  <si>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</si>
  <si>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</si>
  <si>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</si>
  <si>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</si>
  <si>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</si>
  <si>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</si>
  <si>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</si>
  <si>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</si>
  <si>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</si>
  <si>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</si>
  <si>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</si>
  <si>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</si>
  <si>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</si>
  <si>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</si>
  <si>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</si>
  <si>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</si>
  <si>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</si>
  <si>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</si>
  <si>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</si>
  <si>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</si>
  <si>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</si>
  <si>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</si>
  <si>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</si>
  <si>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</si>
  <si>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</si>
  <si>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</si>
  <si>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</si>
  <si>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</si>
  <si>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</si>
  <si>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</si>
  <si>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</si>
  <si>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</si>
  <si>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</si>
  <si>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</si>
  <si>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</si>
  <si>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</si>
  <si>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</si>
  <si>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</si>
  <si>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</si>
  <si>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</si>
  <si>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</si>
  <si>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</si>
  <si>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</si>
  <si>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</si>
  <si>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</si>
  <si>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</si>
  <si>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</si>
  <si>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</si>
  <si>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</si>
  <si>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</si>
  <si>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</si>
  <si>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</si>
  <si>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</si>
  <si>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</si>
  <si>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</si>
  <si>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</si>
  <si>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</si>
  <si>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</si>
  <si>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</si>
  <si>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</si>
  <si>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</si>
  <si>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</si>
  <si>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</si>
  <si>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</si>
  <si>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</si>
  <si>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</si>
  <si>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</si>
  <si>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</si>
  <si>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</si>
  <si>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</si>
  <si>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</si>
  <si>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</si>
  <si>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</si>
  <si>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</si>
  <si>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</si>
  <si>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</si>
  <si>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</si>
  <si>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</si>
  <si>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</si>
  <si>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</si>
  <si>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</si>
  <si>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</si>
  <si>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</si>
  <si>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</si>
  <si>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</si>
  <si>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</si>
  <si>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</si>
  <si>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</si>
  <si>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</si>
  <si>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</si>
  <si>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</si>
  <si>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</si>
  <si>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</si>
  <si>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</si>
  <si>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</si>
  <si>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</si>
  <si>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</si>
  <si>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</si>
  <si>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</si>
  <si>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</si>
  <si>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</si>
  <si>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</si>
  <si>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</si>
  <si>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</si>
  <si>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</si>
  <si>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</si>
  <si>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</si>
  <si>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</si>
  <si>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</si>
  <si>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</si>
  <si>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</si>
  <si>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</si>
  <si>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</si>
  <si>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</si>
  <si>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</si>
  <si>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</si>
  <si>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</si>
  <si>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</si>
  <si>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</si>
  <si>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</si>
  <si>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</si>
  <si>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</si>
  <si>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</si>
  <si>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</si>
  <si>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</si>
  <si>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</si>
  <si>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</si>
  <si>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</si>
  <si>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</si>
  <si>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</si>
  <si>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</si>
  <si>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</si>
  <si>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</si>
  <si>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</si>
  <si>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</si>
  <si>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</si>
  <si>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</si>
  <si>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</si>
  <si>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</si>
  <si>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</si>
  <si>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</si>
  <si>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</si>
  <si>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</si>
  <si>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</si>
  <si>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</si>
  <si>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</si>
  <si>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</si>
  <si>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</si>
  <si>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</si>
  <si>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</si>
  <si>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</si>
  <si>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</si>
  <si>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</si>
  <si>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</si>
  <si>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</si>
  <si>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</si>
  <si>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</si>
  <si>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</si>
  <si>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</si>
  <si>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</si>
  <si>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</si>
  <si>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</si>
  <si>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</si>
  <si>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</si>
  <si>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</si>
  <si>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</si>
  <si>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</si>
  <si>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</si>
  <si>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</si>
  <si>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</si>
  <si>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</si>
  <si>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</si>
  <si>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</si>
  <si>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</si>
  <si>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</si>
  <si>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</si>
  <si>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</si>
  <si>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</si>
  <si>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</si>
  <si>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</si>
  <si>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</si>
  <si>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</si>
  <si>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</si>
  <si>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</si>
  <si>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</si>
  <si>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</si>
  <si>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</si>
  <si>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</si>
  <si>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</si>
  <si>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</si>
  <si>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</si>
  <si>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</si>
  <si>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</si>
  <si>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</si>
  <si>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</si>
  <si>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</si>
  <si>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</si>
  <si>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</si>
  <si>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</si>
  <si>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</si>
  <si>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</si>
  <si>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</si>
  <si>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</si>
  <si>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</si>
  <si>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</si>
  <si>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</si>
  <si>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</si>
  <si>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</si>
  <si>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</si>
  <si>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</si>
  <si>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</si>
  <si>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</si>
  <si>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</si>
  <si>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</si>
  <si>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</si>
  <si>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</si>
  <si>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</si>
  <si>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</si>
  <si>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</si>
  <si>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</si>
  <si>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</si>
  <si>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</si>
  <si>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</si>
  <si>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</si>
  <si>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</si>
  <si>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</si>
  <si>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</si>
  <si>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</si>
  <si>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</si>
  <si>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</si>
  <si>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</si>
  <si>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</si>
  <si>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</si>
  <si>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</si>
  <si>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</si>
  <si>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</si>
  <si>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</si>
  <si>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</si>
  <si>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</si>
  <si>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</si>
  <si>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</si>
  <si>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</si>
  <si>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</si>
  <si>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</si>
  <si>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</si>
  <si>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</si>
  <si>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</si>
  <si>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</si>
  <si>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</si>
  <si>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</si>
  <si>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</si>
  <si>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</si>
  <si>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</si>
  <si>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</si>
  <si>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</si>
  <si>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</si>
  <si>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</si>
  <si>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</si>
  <si>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</si>
  <si>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</si>
  <si>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</si>
  <si>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</si>
  <si>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</si>
  <si>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</si>
  <si>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</si>
  <si>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</si>
  <si>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</si>
  <si>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</si>
  <si>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</si>
  <si>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</si>
  <si>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</si>
  <si>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</si>
  <si>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</si>
  <si>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</si>
  <si>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</si>
  <si>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</si>
  <si>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</si>
  <si>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</si>
  <si>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</si>
  <si>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</si>
  <si>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</si>
  <si>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</si>
  <si>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</si>
  <si>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</si>
  <si>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</si>
  <si>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</si>
  <si>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</si>
  <si>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</si>
  <si>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</si>
  <si>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</si>
  <si>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</si>
  <si>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</si>
  <si>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</si>
  <si>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</si>
  <si>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</si>
  <si>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</si>
  <si>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</si>
  <si>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</si>
  <si>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</si>
  <si>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</si>
  <si>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</si>
  <si>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</si>
  <si>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</si>
  <si>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</si>
  <si>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</si>
  <si>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</si>
  <si>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</si>
  <si>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</si>
  <si>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</si>
  <si>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</si>
  <si>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</si>
  <si>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</si>
  <si>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</si>
  <si>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</si>
  <si>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</si>
  <si>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</si>
  <si>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</si>
  <si>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</si>
  <si>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</si>
  <si>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</si>
  <si>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</si>
  <si>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</si>
  <si>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</si>
  <si>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</si>
  <si>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</si>
  <si>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</si>
  <si>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</si>
  <si>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</si>
  <si>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</si>
  <si>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</si>
  <si>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</si>
  <si>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</si>
  <si>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</si>
  <si>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</si>
  <si>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</si>
  <si>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</si>
  <si>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</si>
  <si>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</si>
  <si>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</si>
  <si>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</si>
  <si>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</si>
  <si>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</si>
  <si>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</si>
  <si>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</si>
  <si>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</si>
  <si>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</si>
  <si>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</si>
  <si>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</si>
  <si>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</si>
  <si>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</si>
  <si>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</si>
  <si>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</si>
  <si>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</si>
  <si>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</si>
  <si>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</si>
  <si>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</si>
  <si>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</si>
  <si>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</si>
  <si>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</si>
  <si>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</si>
  <si>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</si>
  <si>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</si>
  <si>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</si>
  <si>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</si>
  <si>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</si>
  <si>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</si>
  <si>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</si>
  <si>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</si>
  <si>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</si>
  <si>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</si>
  <si>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</si>
  <si>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</si>
  <si>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</si>
  <si>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</si>
  <si>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</si>
  <si>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</si>
  <si>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</si>
  <si>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</si>
  <si>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</si>
  <si>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</si>
  <si>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</si>
  <si>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</si>
  <si>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</si>
  <si>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</si>
  <si>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</si>
  <si>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</si>
  <si>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</si>
  <si>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</si>
  <si>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</si>
  <si>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</si>
  <si>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</si>
  <si>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</si>
  <si>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</si>
  <si>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</si>
  <si>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</si>
  <si>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</si>
  <si>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</si>
  <si>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</si>
  <si>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</si>
  <si>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</si>
  <si>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</si>
  <si>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</si>
  <si>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</si>
  <si>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</si>
  <si>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</si>
  <si>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</si>
  <si>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</si>
  <si>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</si>
  <si>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</si>
  <si>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</si>
  <si>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</si>
  <si>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</si>
  <si>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</si>
  <si>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</si>
  <si>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</si>
  <si>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</si>
  <si>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</si>
  <si>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</si>
  <si>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</si>
  <si>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</si>
  <si>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</si>
  <si>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</si>
  <si>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</si>
  <si>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</si>
  <si>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</si>
  <si>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</si>
  <si>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</si>
  <si>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</si>
  <si>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</si>
  <si>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</si>
  <si>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</si>
  <si>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</si>
  <si>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</si>
  <si>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</si>
  <si>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</si>
  <si>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</si>
  <si>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</si>
  <si>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</si>
  <si>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</si>
  <si>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</si>
  <si>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</si>
  <si>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</si>
  <si>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</si>
  <si>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</si>
  <si>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</si>
  <si>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</si>
  <si>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</si>
  <si>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</si>
  <si>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</si>
  <si>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</si>
  <si>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</si>
  <si>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</si>
  <si>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</si>
  <si>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</si>
  <si>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</si>
  <si>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</si>
  <si>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</si>
  <si>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</si>
  <si>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</si>
  <si>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</si>
  <si>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</si>
  <si>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</si>
  <si>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</si>
  <si>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</si>
  <si>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</si>
  <si>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</si>
  <si>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</si>
  <si>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</si>
  <si>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</si>
  <si>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</si>
  <si>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</si>
  <si>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</si>
  <si>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</si>
  <si>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</si>
  <si>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</si>
  <si>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</si>
  <si>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</si>
  <si>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</si>
  <si>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</si>
  <si>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</si>
  <si>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</si>
  <si>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</si>
  <si>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</si>
  <si>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</si>
  <si>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</si>
  <si>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</si>
  <si>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</si>
  <si>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</si>
  <si>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</si>
  <si>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</si>
  <si>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</si>
  <si>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</si>
  <si>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</si>
  <si>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</si>
  <si>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</si>
  <si>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</si>
  <si>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</si>
  <si>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</si>
  <si>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</si>
  <si>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</si>
  <si>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</si>
  <si>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</si>
  <si>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</si>
  <si>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</si>
  <si>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</si>
  <si>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</si>
  <si>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</si>
  <si>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</si>
  <si>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</si>
  <si>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</si>
  <si>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</si>
  <si>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</si>
  <si>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</si>
  <si>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</si>
  <si>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</si>
  <si>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</si>
  <si>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</si>
  <si>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</si>
  <si>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</si>
  <si>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</si>
  <si>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</si>
  <si>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</si>
  <si>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</si>
  <si>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</si>
  <si>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</si>
  <si>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</si>
  <si>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</si>
  <si>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</si>
  <si>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</si>
  <si>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</si>
  <si>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</si>
  <si>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</si>
  <si>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</si>
  <si>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</si>
  <si>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</si>
  <si>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</si>
  <si>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</si>
  <si>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</si>
  <si>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</si>
  <si>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</si>
  <si>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</si>
  <si>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</si>
  <si>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</si>
  <si>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</si>
  <si>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</si>
  <si>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</si>
  <si>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</si>
  <si>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</si>
  <si>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</si>
  <si>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</si>
  <si>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</si>
  <si>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</si>
  <si>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</si>
  <si>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</si>
  <si>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</si>
  <si>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</si>
  <si>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</si>
  <si>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</si>
  <si>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</si>
  <si>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</si>
  <si>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</si>
  <si>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</si>
  <si>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</si>
  <si>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</si>
  <si>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</si>
  <si>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</si>
  <si>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</si>
  <si>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</si>
  <si>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</si>
  <si>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</si>
  <si>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</si>
  <si>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</si>
  <si>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</si>
  <si>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</si>
  <si>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</si>
  <si>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</si>
  <si>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</si>
  <si>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</si>
  <si>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</si>
  <si>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</si>
  <si>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</si>
  <si>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</si>
  <si>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</si>
  <si>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</si>
  <si>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</si>
  <si>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</si>
  <si>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</si>
  <si>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</si>
  <si>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</si>
  <si>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</si>
  <si>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</si>
  <si>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</si>
  <si>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</si>
  <si>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</si>
  <si>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</si>
  <si>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</si>
  <si>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</si>
  <si>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</si>
  <si>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</si>
  <si>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</si>
  <si>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</si>
  <si>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</si>
  <si>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</si>
  <si>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</si>
  <si>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</si>
  <si>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</si>
  <si>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</si>
  <si>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</si>
  <si>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</si>
  <si>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</si>
  <si>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</si>
  <si>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</si>
  <si>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</si>
  <si>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</si>
  <si>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</si>
  <si>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</si>
  <si>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</si>
  <si>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</si>
  <si>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</si>
  <si>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</si>
  <si>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</si>
  <si>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</si>
  <si>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</si>
  <si>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</si>
  <si>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</si>
  <si>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</si>
  <si>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</si>
  <si>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</si>
  <si>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</si>
  <si>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</si>
  <si>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</si>
  <si>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</si>
  <si>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</si>
  <si>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</si>
  <si>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</si>
  <si>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</si>
  <si>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</si>
  <si>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</si>
  <si>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</si>
  <si>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</si>
  <si>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</si>
  <si>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</si>
  <si>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</si>
  <si>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</si>
  <si>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</si>
  <si>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</si>
  <si>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</si>
  <si>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</si>
  <si>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</si>
  <si>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</si>
  <si>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</si>
  <si>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</si>
  <si>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</si>
  <si>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</si>
  <si>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</si>
  <si>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</si>
  <si>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</si>
  <si>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</si>
  <si>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</si>
  <si>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</si>
  <si>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</si>
  <si>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</si>
  <si>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</si>
  <si>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</si>
  <si>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</si>
  <si>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</si>
  <si>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</si>
  <si>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</si>
  <si>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</si>
  <si>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</si>
  <si>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</si>
  <si>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</si>
  <si>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</si>
  <si>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</si>
  <si>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</si>
  <si>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</si>
  <si>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</si>
  <si>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</si>
  <si>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</si>
  <si>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</si>
  <si>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</si>
  <si>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</si>
  <si>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</si>
  <si>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</si>
  <si>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</si>
  <si>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</si>
  <si>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</si>
  <si>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</si>
  <si>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</si>
  <si>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</si>
  <si>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</si>
  <si>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</si>
  <si>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</si>
  <si>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</si>
  <si>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</si>
  <si>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</si>
  <si>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</si>
  <si>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</si>
  <si>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</si>
  <si>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</si>
  <si>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</si>
  <si>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</si>
  <si>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</si>
  <si>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</si>
  <si>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</si>
  <si>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</si>
  <si>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</si>
  <si>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</si>
  <si>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</si>
  <si>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</si>
  <si>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</si>
  <si>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</si>
  <si>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</si>
  <si>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</si>
  <si>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</si>
  <si>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</si>
  <si>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</si>
  <si>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</si>
  <si>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</si>
  <si>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</si>
  <si>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</si>
  <si>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</si>
  <si>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</si>
  <si>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</si>
  <si>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</si>
  <si>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</si>
  <si>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</si>
  <si>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</si>
  <si>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</si>
  <si>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</si>
  <si>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</si>
  <si>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</si>
  <si>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</si>
  <si>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</si>
  <si>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</si>
  <si>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</si>
  <si>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</si>
  <si>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</si>
  <si>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</si>
  <si>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</si>
  <si>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</si>
  <si>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</si>
  <si>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</si>
  <si>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</si>
  <si>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</si>
  <si>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</si>
  <si>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</si>
  <si>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</si>
  <si>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</si>
  <si>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</si>
  <si>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</si>
  <si>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</si>
  <si>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</si>
  <si>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</si>
  <si>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</si>
  <si>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</si>
  <si>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</si>
  <si>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</si>
  <si>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</si>
  <si>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</si>
  <si>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</si>
  <si>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</si>
  <si>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</si>
  <si>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</si>
  <si>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</si>
  <si>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</si>
  <si>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</si>
  <si>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</si>
  <si>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</si>
  <si>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</si>
  <si>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</si>
  <si>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</si>
  <si>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</si>
  <si>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</si>
  <si>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</si>
  <si>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</si>
  <si>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</si>
  <si>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</si>
  <si>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</si>
  <si>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</si>
  <si>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</si>
  <si>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</si>
  <si>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</si>
  <si>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</si>
  <si>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</si>
  <si>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</si>
  <si>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</si>
  <si>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</si>
  <si>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</si>
  <si>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</si>
  <si>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</si>
  <si>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</si>
  <si>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</si>
  <si>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</si>
  <si>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</si>
  <si>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</si>
  <si>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</si>
  <si>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</si>
  <si>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</si>
  <si>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</si>
  <si>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</si>
  <si>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</si>
  <si>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</si>
  <si>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</si>
  <si>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</si>
  <si>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</si>
  <si>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</si>
  <si>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</si>
  <si>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</si>
  <si>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</si>
  <si>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</si>
  <si>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</si>
  <si>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</si>
  <si>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</si>
  <si>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</si>
  <si>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</si>
  <si>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</si>
  <si>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</si>
  <si>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</si>
  <si>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</si>
  <si>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</si>
  <si>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</si>
  <si>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</si>
  <si>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</si>
  <si>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</si>
  <si>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</si>
  <si>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</si>
  <si>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</si>
  <si>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</si>
  <si>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</si>
  <si>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</si>
  <si>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</si>
  <si>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</si>
  <si>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</si>
  <si>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</si>
  <si>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</si>
  <si>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</si>
  <si>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</si>
  <si>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</si>
  <si>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</si>
  <si>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</si>
  <si>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</si>
  <si>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</si>
  <si>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</si>
  <si>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</si>
  <si>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</si>
  <si>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</si>
  <si>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</si>
  <si>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</si>
  <si>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</si>
  <si>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</si>
  <si>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</si>
  <si>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</si>
  <si>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</si>
  <si>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</si>
  <si>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</si>
  <si>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</si>
  <si>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</si>
  <si>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</si>
  <si>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</si>
  <si>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</si>
  <si>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</si>
  <si>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</si>
  <si>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</si>
  <si>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</si>
  <si>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</si>
  <si>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</si>
  <si>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</si>
  <si>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</si>
  <si>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</si>
  <si>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</si>
  <si>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</si>
  <si>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</si>
  <si>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</si>
  <si>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</si>
  <si>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</si>
  <si>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</si>
  <si>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</si>
  <si>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</si>
  <si>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</si>
  <si>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</si>
  <si>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</si>
  <si>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</si>
  <si>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</si>
  <si>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</si>
  <si>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</si>
  <si>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</si>
  <si>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</si>
  <si>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</si>
  <si>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</si>
  <si>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</si>
  <si>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</si>
  <si>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</si>
  <si>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</si>
  <si>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</si>
  <si>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</si>
  <si>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</si>
  <si>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</si>
  <si>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</si>
  <si>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</si>
  <si>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</si>
  <si>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</si>
  <si>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</si>
  <si>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</si>
  <si>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</si>
  <si>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</si>
  <si>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</si>
  <si>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</si>
  <si>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</si>
  <si>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</si>
  <si>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</si>
  <si>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</si>
  <si>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</si>
  <si>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</si>
  <si>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</si>
  <si>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</si>
  <si>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</si>
  <si>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</si>
  <si>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</si>
  <si>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</si>
  <si>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</si>
  <si>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</si>
  <si>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</si>
  <si>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</si>
  <si>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</si>
  <si>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</si>
  <si>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</si>
  <si>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</si>
  <si>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</si>
  <si>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</si>
  <si>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</si>
  <si>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</si>
  <si>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</si>
  <si>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</si>
  <si>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</si>
  <si>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</si>
  <si>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</si>
  <si>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</si>
  <si>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</si>
  <si>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</si>
  <si>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</si>
  <si>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</si>
  <si>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</si>
  <si>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</si>
  <si>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</si>
  <si>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</si>
  <si>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</si>
  <si>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</si>
  <si>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</si>
  <si>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</si>
  <si>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</si>
  <si>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</si>
  <si>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</si>
  <si>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</si>
  <si>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</si>
  <si>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</si>
  <si>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</si>
  <si>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</si>
  <si>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</si>
  <si>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</si>
  <si>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</si>
  <si>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</si>
  <si>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</si>
  <si>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</si>
  <si>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</si>
  <si>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</si>
  <si>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</si>
  <si>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</si>
  <si>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</si>
  <si>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</si>
  <si>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</si>
  <si>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</si>
  <si>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</si>
  <si>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</si>
  <si>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</si>
  <si>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</si>
  <si>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</si>
  <si>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</si>
  <si>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</si>
  <si>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</si>
  <si>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</si>
  <si>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</si>
  <si>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</si>
  <si>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</si>
  <si>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</si>
  <si>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</si>
  <si>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</si>
  <si>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</si>
  <si>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</si>
  <si>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</si>
  <si>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</si>
  <si>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</si>
  <si>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</si>
  <si>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</si>
  <si>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</si>
  <si>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</si>
  <si>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</si>
  <si>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</si>
  <si>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</si>
  <si>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</si>
  <si>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</si>
  <si>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</si>
  <si>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</si>
  <si>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</si>
  <si>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</si>
  <si>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</si>
  <si>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</si>
  <si>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</si>
  <si>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</si>
  <si>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</si>
  <si>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</si>
  <si>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</si>
  <si>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</si>
  <si>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</si>
  <si>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</si>
  <si>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</si>
  <si>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</si>
  <si>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</si>
  <si>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</si>
  <si>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</si>
  <si>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</si>
  <si>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</si>
  <si>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</si>
  <si>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</si>
  <si>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</si>
  <si>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</si>
  <si>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</si>
  <si>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</si>
  <si>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</si>
  <si>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</si>
  <si>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</si>
  <si>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</si>
  <si>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</si>
  <si>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</si>
  <si>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</si>
  <si>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</si>
  <si>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</si>
  <si>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</si>
  <si>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</si>
  <si>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</si>
  <si>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</si>
  <si>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</si>
  <si>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</si>
  <si>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</si>
  <si>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</si>
  <si>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</si>
  <si>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</si>
  <si>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</si>
  <si>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</si>
  <si>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</si>
  <si>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</si>
  <si>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</si>
  <si>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</si>
  <si>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</si>
  <si>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</si>
  <si>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</si>
  <si>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</si>
  <si>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</si>
  <si>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</si>
  <si>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</si>
  <si>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</si>
  <si>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</si>
  <si>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</si>
  <si>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</si>
  <si>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</si>
  <si>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</si>
  <si>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</si>
  <si>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</si>
  <si>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</si>
  <si>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</si>
  <si>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</si>
  <si>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</si>
  <si>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</si>
  <si>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</si>
  <si>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</si>
  <si>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</si>
  <si>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</si>
  <si>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</si>
  <si>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</si>
  <si>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</si>
  <si>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</si>
  <si>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</si>
  <si>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</si>
  <si>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</si>
  <si>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</si>
  <si>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</si>
  <si>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</si>
  <si>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</si>
  <si>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</si>
  <si>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</si>
  <si>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</si>
  <si>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</si>
  <si>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</si>
  <si>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</si>
  <si>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</si>
  <si>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</si>
  <si>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</si>
  <si>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</si>
  <si>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</si>
  <si>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</si>
  <si>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</si>
  <si>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</si>
  <si>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</si>
  <si>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</si>
  <si>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</si>
  <si>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</si>
  <si>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</si>
  <si>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</si>
  <si>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</si>
  <si>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</si>
  <si>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</si>
  <si>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</si>
  <si>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</si>
  <si>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</si>
  <si>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</si>
  <si>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</si>
  <si>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</si>
  <si>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</si>
  <si>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</si>
  <si>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</si>
  <si>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</si>
  <si>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</si>
  <si>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</si>
  <si>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</si>
  <si>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</si>
  <si>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</si>
  <si>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</si>
  <si>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</si>
  <si>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</si>
  <si>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</si>
  <si>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</si>
  <si>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</si>
  <si>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</si>
  <si>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</si>
  <si>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</si>
  <si>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</si>
  <si>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</si>
  <si>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</si>
  <si>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</si>
  <si>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</si>
  <si>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</si>
  <si>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</si>
  <si>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</si>
  <si>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</si>
  <si>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</si>
  <si>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</si>
  <si>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</si>
  <si>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</si>
  <si>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</si>
  <si>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</si>
  <si>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</si>
  <si>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</si>
  <si>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</si>
  <si>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</si>
  <si>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</si>
  <si>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</si>
  <si>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</si>
  <si>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</si>
  <si>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</si>
  <si>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</si>
  <si>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</si>
  <si>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</si>
  <si>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</si>
  <si>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</si>
  <si>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</si>
  <si>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</si>
  <si>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</si>
  <si>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</si>
  <si>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</si>
  <si>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</si>
  <si>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</si>
  <si>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</si>
  <si>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</si>
  <si>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</si>
  <si>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</si>
  <si>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</si>
  <si>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</si>
  <si>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</si>
  <si>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</si>
  <si>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</si>
  <si>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</si>
  <si>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</si>
  <si>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</si>
  <si>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</si>
  <si>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</si>
  <si>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</si>
  <si>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</si>
  <si>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</si>
  <si>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</si>
  <si>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</si>
  <si>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</si>
  <si>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</si>
  <si>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</si>
  <si>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</si>
  <si>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</si>
  <si>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</si>
  <si>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</si>
  <si>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</si>
  <si>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</si>
  <si>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</si>
  <si>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</si>
  <si>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</si>
  <si>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</si>
  <si>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</si>
  <si>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</si>
  <si>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</si>
  <si>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</si>
  <si>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</si>
  <si>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</si>
  <si>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</si>
  <si>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</si>
  <si>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</si>
  <si>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</si>
  <si>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</si>
  <si>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</si>
  <si>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</si>
  <si>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</si>
  <si>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</si>
  <si>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</si>
  <si>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</si>
  <si>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</si>
  <si>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</si>
  <si>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</si>
  <si>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</si>
  <si>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</si>
  <si>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</si>
  <si>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</si>
  <si>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</si>
  <si>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</si>
  <si>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</si>
  <si>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</si>
  <si>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</si>
  <si>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</si>
  <si>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</si>
  <si>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</si>
  <si>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</si>
  <si>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</si>
  <si>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</si>
  <si>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</si>
  <si>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</si>
  <si>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</si>
  <si>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</si>
  <si>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</si>
  <si>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</si>
  <si>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</si>
  <si>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</si>
  <si>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</si>
  <si>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</si>
  <si>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</si>
  <si>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</si>
  <si>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</si>
  <si>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</si>
  <si>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</si>
  <si>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</si>
  <si>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</si>
  <si>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</si>
  <si>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</si>
  <si>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</si>
  <si>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</si>
  <si>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</si>
  <si>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</si>
  <si>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</si>
  <si>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</si>
  <si>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</si>
  <si>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</si>
  <si>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</si>
  <si>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</si>
  <si>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</si>
  <si>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</si>
  <si>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</si>
  <si>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</si>
  <si>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</si>
  <si>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</si>
  <si>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</si>
  <si>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</si>
  <si>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</si>
  <si>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</si>
  <si>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</si>
  <si>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</si>
  <si>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</si>
  <si>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</si>
  <si>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</si>
  <si>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</si>
  <si>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</si>
  <si>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</si>
  <si>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</si>
  <si>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</si>
  <si>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</si>
  <si>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</si>
  <si>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</si>
  <si>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</si>
  <si>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</si>
  <si>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</si>
  <si>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</si>
  <si>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</si>
  <si>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</si>
  <si>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</si>
  <si>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</si>
  <si>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</si>
  <si>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</si>
  <si>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</si>
  <si>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</si>
  <si>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</si>
  <si>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</si>
  <si>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</si>
  <si>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</si>
  <si>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</si>
  <si>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</si>
  <si>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</si>
  <si>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</si>
  <si>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</si>
  <si>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</si>
  <si>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</si>
  <si>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</si>
  <si>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</si>
  <si>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</si>
  <si>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</si>
  <si>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</si>
  <si>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</si>
  <si>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</si>
  <si>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</si>
  <si>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</si>
  <si>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</si>
  <si>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</si>
  <si>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</si>
  <si>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</si>
  <si>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</si>
  <si>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</si>
  <si>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</si>
  <si>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</si>
  <si>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</si>
  <si>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</si>
  <si>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</si>
  <si>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</si>
  <si>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</si>
  <si>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</si>
  <si>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</si>
  <si>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</si>
  <si>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</si>
  <si>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</si>
  <si>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</si>
  <si>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</si>
  <si>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</si>
  <si>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</si>
  <si>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</si>
  <si>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</si>
  <si>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</si>
  <si>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</si>
  <si>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</si>
  <si>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</si>
  <si>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</si>
  <si>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</si>
  <si>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</si>
  <si>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</si>
  <si>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</si>
  <si>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</si>
  <si>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</si>
  <si>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</si>
  <si>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</si>
  <si>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</si>
  <si>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</si>
  <si>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</si>
  <si>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</si>
  <si>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</si>
  <si>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</si>
  <si>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</si>
  <si>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</si>
  <si>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</si>
  <si>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</si>
  <si>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</si>
  <si>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</si>
  <si>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</si>
  <si>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</si>
  <si>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</si>
  <si>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</si>
  <si>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</si>
  <si>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</si>
  <si>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</si>
  <si>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</si>
  <si>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</si>
  <si>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</si>
  <si>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</si>
  <si>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</si>
  <si>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</si>
  <si>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</si>
  <si>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</si>
  <si>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</si>
  <si>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</si>
  <si>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</si>
  <si>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</si>
  <si>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</si>
  <si>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</si>
  <si>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</si>
  <si>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</si>
  <si>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</si>
  <si>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</si>
  <si>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</si>
  <si>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</si>
  <si>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</si>
  <si>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</si>
  <si>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</si>
  <si>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</si>
  <si>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</si>
  <si>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</si>
  <si>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</si>
  <si>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</si>
  <si>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</si>
  <si>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</si>
  <si>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</si>
  <si>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</si>
  <si>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</si>
  <si>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</si>
  <si>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</si>
  <si>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</si>
  <si>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</si>
  <si>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</si>
  <si>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</si>
  <si>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</si>
  <si>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</si>
  <si>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</si>
  <si>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</si>
  <si>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</si>
  <si>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</si>
  <si>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</si>
  <si>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</si>
  <si>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</si>
  <si>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</si>
  <si>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</si>
  <si>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</si>
  <si>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</si>
  <si>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</si>
  <si>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</si>
  <si>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</si>
  <si>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</si>
  <si>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</si>
  <si>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</si>
  <si>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</si>
  <si>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</si>
  <si>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</si>
  <si>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</si>
  <si>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</si>
  <si>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</si>
  <si>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</si>
  <si>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</si>
  <si>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</si>
  <si>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</si>
  <si>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</si>
  <si>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</si>
  <si>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</si>
  <si>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</si>
  <si>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</si>
  <si>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</si>
  <si>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</si>
  <si>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</si>
  <si>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</si>
  <si>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</si>
  <si>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</si>
  <si>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</si>
  <si>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</si>
  <si>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</si>
  <si>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</si>
  <si>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</si>
  <si>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</si>
  <si>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</si>
  <si>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</si>
  <si>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</si>
  <si>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</si>
  <si>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</si>
  <si>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</si>
  <si>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</si>
  <si>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</si>
  <si>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</si>
  <si>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</si>
  <si>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</si>
  <si>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</si>
  <si>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</si>
  <si>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</si>
  <si>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</si>
  <si>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</si>
  <si>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</si>
  <si>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</si>
  <si>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</si>
  <si>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</si>
  <si>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</si>
  <si>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</si>
  <si>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</si>
  <si>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</si>
  <si>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</si>
  <si>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</si>
  <si>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</si>
  <si>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</si>
  <si>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</si>
  <si>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</si>
  <si>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</si>
  <si>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</si>
  <si>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</si>
  <si>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</si>
  <si>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</si>
  <si>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</si>
  <si>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</si>
  <si>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</si>
  <si>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</si>
  <si>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</si>
  <si>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</si>
  <si>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</si>
  <si>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</si>
  <si>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</si>
  <si>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</si>
  <si>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</si>
  <si>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</si>
  <si>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</si>
  <si>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</si>
  <si>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</si>
  <si>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</si>
  <si>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</si>
  <si>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</si>
  <si>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</si>
  <si>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</si>
  <si>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</si>
  <si>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</si>
  <si>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</si>
  <si>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</si>
  <si>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</si>
  <si>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</si>
  <si>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</si>
  <si>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</si>
  <si>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</si>
  <si>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</si>
  <si>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</si>
  <si>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</si>
  <si>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</si>
  <si>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</si>
  <si>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</si>
  <si>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</si>
  <si>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</si>
  <si>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</si>
  <si>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</si>
  <si>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</si>
  <si>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</si>
  <si>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</si>
  <si>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</si>
  <si>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</si>
  <si>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</si>
  <si>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</si>
  <si>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</si>
  <si>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</si>
  <si>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</si>
  <si>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</si>
  <si>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</si>
  <si>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</si>
  <si>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</si>
  <si>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</si>
  <si>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</si>
  <si>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</si>
  <si>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</si>
  <si>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</si>
  <si>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</si>
  <si>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</si>
  <si>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</si>
  <si>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</si>
  <si>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</si>
  <si>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</si>
  <si>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</si>
  <si>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</si>
  <si>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</si>
  <si>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</si>
  <si>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</si>
  <si>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</si>
  <si>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</si>
  <si>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</si>
  <si>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</si>
  <si>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</si>
  <si>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</si>
  <si>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</si>
  <si>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</si>
  <si>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</si>
  <si>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</si>
  <si>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</si>
  <si>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</si>
  <si>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</si>
  <si>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</si>
  <si>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</si>
  <si>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</si>
  <si>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</si>
  <si>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</si>
  <si>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</si>
  <si>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</si>
  <si>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</si>
  <si>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</si>
  <si>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</si>
  <si>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</si>
  <si>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</si>
  <si>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</si>
  <si>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</si>
  <si>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</si>
  <si>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</si>
  <si>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</si>
  <si>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</si>
  <si>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</si>
  <si>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</si>
  <si>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</si>
  <si>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</si>
  <si>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</si>
  <si>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</si>
  <si>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</si>
  <si>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</si>
  <si>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</si>
  <si>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</si>
  <si>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</si>
  <si>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</si>
  <si>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</si>
  <si>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</si>
  <si>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</si>
  <si>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</si>
  <si>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</si>
  <si>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</si>
  <si>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</si>
  <si>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</si>
  <si>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</si>
  <si>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</si>
  <si>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</si>
  <si>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</si>
  <si>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</si>
  <si>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</si>
  <si>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</si>
  <si>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</si>
  <si>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</si>
  <si>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</si>
  <si>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</si>
  <si>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</si>
  <si>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</si>
  <si>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</si>
  <si>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</si>
  <si>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</si>
  <si>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</si>
  <si>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</si>
  <si>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</si>
  <si>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</si>
  <si>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</si>
  <si>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</si>
  <si>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</si>
  <si>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</si>
  <si>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</si>
  <si>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</si>
  <si>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</si>
  <si>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</si>
  <si>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</si>
  <si>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</si>
  <si>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</si>
  <si>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</si>
  <si>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</si>
  <si>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</si>
  <si>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</si>
  <si>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</si>
  <si>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</si>
  <si>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</si>
  <si>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</si>
  <si>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</si>
  <si>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</si>
  <si>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</si>
  <si>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</si>
  <si>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</si>
  <si>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</si>
  <si>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</si>
  <si>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</si>
  <si>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</si>
  <si>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</si>
  <si>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</si>
  <si>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</si>
  <si>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</si>
  <si>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</si>
  <si>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</si>
  <si>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</si>
  <si>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</si>
  <si>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</si>
  <si>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</si>
  <si>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</si>
  <si>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</si>
  <si>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</si>
  <si>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</si>
  <si>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</si>
  <si>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</si>
  <si>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</si>
  <si>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</si>
  <si>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</si>
  <si>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</si>
  <si>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</si>
  <si>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</si>
  <si>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</si>
  <si>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</si>
  <si>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</si>
  <si>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</si>
  <si>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</si>
  <si>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</si>
  <si>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</si>
  <si>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</si>
  <si>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</si>
  <si>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</si>
  <si>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</si>
  <si>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</si>
  <si>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</si>
  <si>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</si>
  <si>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</si>
  <si>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</si>
  <si>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</si>
  <si>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</si>
  <si>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</si>
  <si>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</si>
  <si>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</si>
  <si>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</si>
  <si>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</si>
  <si>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</si>
  <si>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</si>
  <si>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</si>
  <si>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</si>
  <si>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</si>
  <si>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</si>
  <si>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</si>
  <si>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</si>
  <si>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</si>
  <si>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</si>
  <si>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</si>
  <si>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</si>
  <si>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</si>
  <si>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</si>
  <si>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</si>
  <si>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</si>
  <si>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</si>
  <si>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</si>
  <si>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</si>
  <si>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</si>
  <si>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</si>
  <si>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</si>
  <si>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</si>
  <si>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</si>
  <si>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</si>
  <si>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</si>
  <si>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</si>
  <si>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</si>
  <si>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</si>
  <si>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</si>
  <si>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</si>
  <si>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</si>
  <si>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</si>
  <si>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</si>
  <si>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</si>
  <si>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</si>
  <si>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</si>
  <si>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</si>
  <si>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</si>
  <si>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</si>
  <si>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</si>
  <si>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</si>
  <si>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</si>
  <si>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</si>
  <si>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</si>
  <si>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</si>
  <si>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</si>
  <si>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</si>
  <si>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</si>
  <si>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</si>
  <si>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</si>
  <si>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</si>
  <si>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</si>
  <si>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</si>
  <si>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</si>
  <si>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</si>
  <si>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</si>
  <si>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</si>
  <si>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</si>
  <si>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</si>
  <si>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</si>
  <si>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</si>
  <si>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</si>
  <si>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</si>
  <si>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</si>
  <si>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</si>
  <si>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</si>
  <si>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</si>
  <si>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</si>
  <si>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</si>
  <si>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</si>
  <si>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</si>
  <si>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</si>
  <si>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</si>
  <si>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</si>
  <si>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</si>
  <si>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</si>
  <si>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</si>
  <si>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</si>
  <si>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</si>
  <si>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</si>
  <si>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</si>
  <si>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</si>
  <si>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</si>
  <si>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</si>
  <si>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</si>
  <si>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</si>
  <si>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</si>
  <si>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</si>
  <si>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</si>
  <si>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</si>
  <si>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</si>
  <si>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</si>
  <si>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</si>
  <si>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</si>
  <si>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</si>
  <si>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</si>
  <si>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</si>
  <si>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</si>
  <si>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</si>
  <si>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</si>
  <si>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</si>
  <si>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</si>
  <si>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</si>
  <si>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</si>
  <si>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</si>
  <si>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</si>
  <si>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</si>
  <si>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</si>
  <si>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</si>
  <si>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</si>
  <si>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</si>
  <si>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</si>
  <si>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</si>
  <si>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</si>
  <si>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</si>
  <si>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</si>
  <si>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</si>
  <si>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</si>
  <si>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</si>
  <si>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</si>
  <si>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</si>
  <si>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</si>
  <si>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</si>
  <si>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</si>
  <si>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</si>
  <si>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</si>
  <si>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</si>
  <si>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</si>
  <si>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</si>
  <si>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</si>
  <si>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</si>
  <si>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</si>
  <si>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</si>
  <si>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</si>
  <si>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</si>
  <si>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</si>
  <si>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</si>
  <si>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</si>
  <si>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</si>
  <si>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</si>
  <si>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</si>
  <si>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</si>
  <si>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</si>
  <si>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</si>
  <si>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</si>
  <si>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</si>
  <si>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</si>
  <si>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</si>
  <si>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</si>
  <si>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</si>
  <si>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</si>
  <si>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</si>
  <si>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</si>
  <si>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</si>
  <si>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</si>
  <si>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</si>
  <si>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</si>
  <si>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</si>
  <si>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</si>
  <si>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</si>
  <si>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</si>
  <si>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</si>
  <si>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</si>
  <si>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</si>
  <si>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</si>
  <si>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</si>
  <si>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</si>
  <si>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</si>
  <si>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</si>
  <si>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</si>
  <si>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</si>
  <si>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</si>
  <si>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</si>
  <si>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</si>
  <si>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</si>
  <si>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</si>
  <si>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</si>
  <si>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</si>
  <si>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</si>
  <si>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</si>
  <si>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</si>
  <si>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</si>
  <si>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</si>
  <si>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</si>
  <si>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</si>
  <si>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</si>
  <si>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</si>
  <si>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</si>
  <si>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</si>
  <si>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</si>
  <si>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</si>
  <si>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</si>
  <si>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</si>
  <si>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</si>
  <si>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</si>
  <si>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</si>
  <si>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</si>
  <si>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</si>
  <si>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</si>
  <si>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</si>
  <si>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</si>
  <si>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</si>
  <si>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</si>
  <si>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</si>
  <si>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</si>
  <si>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</si>
  <si>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</si>
  <si>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</si>
  <si>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</si>
  <si>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</si>
  <si>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</si>
  <si>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</si>
  <si>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</si>
  <si>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</si>
  <si>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</si>
  <si>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</si>
  <si>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</si>
  <si>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</si>
  <si>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</si>
  <si>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</si>
  <si>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</si>
  <si>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</si>
  <si>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</si>
  <si>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</si>
  <si>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</si>
  <si>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</si>
  <si>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</si>
  <si>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</si>
  <si>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</si>
  <si>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</si>
  <si>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</si>
  <si>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</si>
  <si>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</si>
  <si>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</si>
  <si>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</si>
  <si>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</si>
  <si>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</si>
  <si>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</si>
  <si>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</si>
  <si>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</si>
  <si>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</si>
  <si>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</si>
  <si>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</si>
  <si>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</si>
  <si>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</si>
  <si>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</si>
  <si>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</si>
  <si>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</si>
  <si>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</si>
  <si>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</si>
  <si>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</si>
  <si>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</si>
  <si>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</si>
  <si>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</si>
  <si>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</si>
  <si>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</si>
  <si>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</si>
  <si>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</si>
  <si>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</si>
  <si>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</si>
  <si>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</si>
  <si>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</si>
  <si>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</si>
  <si>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</si>
  <si>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</si>
  <si>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</si>
  <si>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</si>
  <si>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</si>
  <si>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</si>
  <si>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</si>
  <si>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</si>
  <si>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</si>
  <si>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</si>
  <si>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</si>
  <si>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</si>
  <si>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</si>
  <si>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</si>
  <si>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</si>
  <si>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</si>
  <si>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</si>
  <si>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</si>
  <si>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</si>
  <si>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</si>
  <si>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</si>
  <si>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</si>
  <si>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</si>
  <si>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</si>
  <si>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</si>
  <si>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</si>
  <si>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</si>
  <si>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</si>
  <si>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</si>
  <si>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</si>
  <si>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</si>
  <si>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</si>
  <si>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</si>
  <si>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</si>
  <si>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</si>
  <si>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</si>
  <si>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</si>
  <si>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</si>
  <si>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</si>
  <si>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</si>
  <si>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</si>
  <si>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</si>
  <si>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</si>
  <si>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</si>
  <si>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</si>
  <si>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</si>
  <si>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</si>
  <si>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</si>
  <si>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</si>
  <si>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</si>
  <si>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</si>
  <si>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</si>
  <si>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</si>
  <si>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</si>
  <si>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</si>
  <si>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</si>
  <si>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</si>
  <si>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</si>
  <si>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</si>
  <si>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</si>
  <si>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</si>
  <si>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</si>
  <si>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</si>
  <si>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</si>
  <si>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</si>
  <si>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</si>
  <si>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</si>
  <si>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</si>
  <si>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</si>
  <si>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</si>
  <si>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</si>
  <si>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</si>
  <si>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</si>
  <si>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</si>
  <si>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</si>
  <si>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</si>
  <si>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</si>
  <si>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</si>
  <si>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</si>
  <si>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</si>
  <si>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</si>
  <si>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</si>
  <si>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</si>
  <si>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</si>
  <si>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</si>
  <si>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</si>
  <si>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</si>
  <si>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</si>
  <si>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</si>
  <si>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</si>
  <si>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</si>
  <si>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</si>
  <si>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</si>
  <si>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</si>
  <si>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</si>
  <si>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</si>
  <si>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</si>
  <si>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</si>
  <si>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</si>
  <si>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</si>
  <si>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</si>
  <si>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</si>
  <si>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</si>
  <si>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</si>
  <si>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</si>
  <si>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</si>
  <si>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</si>
  <si>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</si>
  <si>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</si>
  <si>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</si>
  <si>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</si>
  <si>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</si>
  <si>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</si>
  <si>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</si>
  <si>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</si>
  <si>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</si>
  <si>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</si>
  <si>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</si>
  <si>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</si>
  <si>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</si>
  <si>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</si>
  <si>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</si>
  <si>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</si>
  <si>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</si>
  <si>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</si>
  <si>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</si>
  <si>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</si>
  <si>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</si>
  <si>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</si>
  <si>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</si>
  <si>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</si>
  <si>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</si>
  <si>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</si>
  <si>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</si>
  <si>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</si>
  <si>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</si>
  <si>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</si>
  <si>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</si>
  <si>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</si>
  <si>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</si>
  <si>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</si>
  <si>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</si>
  <si>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</si>
  <si>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</si>
  <si>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</si>
  <si>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</si>
  <si>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</si>
  <si>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</si>
  <si>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</si>
  <si>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</si>
  <si>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</si>
  <si>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</si>
  <si>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</si>
  <si>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</si>
  <si>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</si>
  <si>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</si>
  <si>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</si>
  <si>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</si>
  <si>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</si>
  <si>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</si>
  <si>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</si>
  <si>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</si>
  <si>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</si>
  <si>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</si>
  <si>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</si>
  <si>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</si>
  <si>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</si>
  <si>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</si>
  <si>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</si>
  <si>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</si>
  <si>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</si>
  <si>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</si>
  <si>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</si>
  <si>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</si>
  <si>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</si>
  <si>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</si>
  <si>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</si>
  <si>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</si>
  <si>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</si>
  <si>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</si>
  <si>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</si>
  <si>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</si>
  <si>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</si>
  <si>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</si>
  <si>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</si>
  <si>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</si>
  <si>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</si>
  <si>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</si>
  <si>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</si>
  <si>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</si>
  <si>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</si>
  <si>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</si>
  <si>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</si>
  <si>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</si>
  <si>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</si>
  <si>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</si>
  <si>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</si>
  <si>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</si>
  <si>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</si>
  <si>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</si>
  <si>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</si>
  <si>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</si>
  <si>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</si>
  <si>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</si>
  <si>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</si>
  <si>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</si>
  <si>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</si>
  <si>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</si>
  <si>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</si>
  <si>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</si>
  <si>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</si>
  <si>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</si>
  <si>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</si>
  <si>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</si>
  <si>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</si>
  <si>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</si>
  <si>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</si>
  <si>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</si>
  <si>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</si>
  <si>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</si>
  <si>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</si>
  <si>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</si>
  <si>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</si>
  <si>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</si>
  <si>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</si>
  <si>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</si>
  <si>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</si>
  <si>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</si>
  <si>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</si>
  <si>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</si>
  <si>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</si>
  <si>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</si>
  <si>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</si>
  <si>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</si>
  <si>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</si>
  <si>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</si>
  <si>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</si>
  <si>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</si>
  <si>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</si>
  <si>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</si>
  <si>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</si>
  <si>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</si>
  <si>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</si>
  <si>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</si>
  <si>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</si>
  <si>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</si>
  <si>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</si>
  <si>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</si>
  <si>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</si>
  <si>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</si>
  <si>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</si>
  <si>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</si>
  <si>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</si>
  <si>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</si>
  <si>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</si>
  <si>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</si>
  <si>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</si>
  <si>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</si>
  <si>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</si>
  <si>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</si>
  <si>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</si>
  <si>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</si>
  <si>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</si>
  <si>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</si>
  <si>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</si>
  <si>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</si>
  <si>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</si>
  <si>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</si>
  <si>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</si>
  <si>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</si>
  <si>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</si>
  <si>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</si>
  <si>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</si>
  <si>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</si>
  <si>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</si>
  <si>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</si>
  <si>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</si>
  <si>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</si>
  <si>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</si>
  <si>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</si>
  <si>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</si>
  <si>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</si>
  <si>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</si>
  <si>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</si>
  <si>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</si>
  <si>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</si>
  <si>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</si>
  <si>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</si>
  <si>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</si>
  <si>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</si>
  <si>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</si>
  <si>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</si>
  <si>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</si>
  <si>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</si>
  <si>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</si>
  <si>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</si>
  <si>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</si>
  <si>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</si>
  <si>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</si>
  <si>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</si>
  <si>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</si>
  <si>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</si>
  <si>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</si>
  <si>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</si>
  <si>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</si>
  <si>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</si>
  <si>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</si>
  <si>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</si>
  <si>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</si>
  <si>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</si>
  <si>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</si>
  <si>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</si>
  <si>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</si>
  <si>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</si>
  <si>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</si>
  <si>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</si>
  <si>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</si>
  <si>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</si>
  <si>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</si>
  <si>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</si>
  <si>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</si>
  <si>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</si>
  <si>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</si>
  <si>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</si>
  <si>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</si>
  <si>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</si>
  <si>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</si>
  <si>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</si>
  <si>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</si>
  <si>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</si>
  <si>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</si>
  <si>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</si>
  <si>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</si>
  <si>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</si>
  <si>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</si>
  <si>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</si>
  <si>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</si>
  <si>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</si>
  <si>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</si>
  <si>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</si>
  <si>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</si>
  <si>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</si>
  <si>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</si>
  <si>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</si>
  <si>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</si>
  <si>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</si>
  <si>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</si>
  <si>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</si>
  <si>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</si>
  <si>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</si>
  <si>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</si>
  <si>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</si>
  <si>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</si>
  <si>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</si>
  <si>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</si>
  <si>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</si>
  <si>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</si>
  <si>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</si>
  <si>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</si>
  <si>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</si>
  <si>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</si>
  <si>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</si>
  <si>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</si>
  <si>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</si>
  <si>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</si>
  <si>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</si>
  <si>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</si>
  <si>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</si>
  <si>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</si>
  <si>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</si>
  <si>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</si>
  <si>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</si>
  <si>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</si>
  <si>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</si>
  <si>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</si>
  <si>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</si>
  <si>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</si>
  <si>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</si>
  <si>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</si>
  <si>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</si>
  <si>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</si>
  <si>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</si>
  <si>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</si>
  <si>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</si>
  <si>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</si>
  <si>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</si>
  <si>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</si>
  <si>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</si>
  <si>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</si>
  <si>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</si>
  <si>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</si>
  <si>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</si>
  <si>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</si>
  <si>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</si>
  <si>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</si>
  <si>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</si>
  <si>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</si>
  <si>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</si>
  <si>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</si>
  <si>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</si>
  <si>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</si>
  <si>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</si>
  <si>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</si>
  <si>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</si>
  <si>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</si>
  <si>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</si>
  <si>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</si>
  <si>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</si>
  <si>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</si>
  <si>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</si>
  <si>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</si>
  <si>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</si>
  <si>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</si>
  <si>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</si>
  <si>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</si>
  <si>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</si>
  <si>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</si>
  <si>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</si>
  <si>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</si>
  <si>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</si>
  <si>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</si>
  <si>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</si>
  <si>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</si>
  <si>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</si>
  <si>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</si>
  <si>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</si>
  <si>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</si>
  <si>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</si>
  <si>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</si>
  <si>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</si>
  <si>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</si>
  <si>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</si>
  <si>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</si>
  <si>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</si>
  <si>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</si>
  <si>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</si>
  <si>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</si>
  <si>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</si>
  <si>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</si>
  <si>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</si>
  <si>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</si>
  <si>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</si>
  <si>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</si>
  <si>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</si>
  <si>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</si>
  <si>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</si>
  <si>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</si>
  <si>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</si>
  <si>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</si>
  <si>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</si>
  <si>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</si>
  <si>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</si>
  <si>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</si>
  <si>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</si>
  <si>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</si>
  <si>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</si>
  <si>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</si>
  <si>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</si>
  <si>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</si>
  <si>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</si>
  <si>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</si>
  <si>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</si>
  <si>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</si>
  <si>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</si>
  <si>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</si>
  <si>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</si>
  <si>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</si>
  <si>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</si>
  <si>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</si>
  <si>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</si>
  <si>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</si>
  <si>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</si>
  <si>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</si>
  <si>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</si>
  <si>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</si>
  <si>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</si>
  <si>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</si>
  <si>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</si>
  <si>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</si>
  <si>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</si>
  <si>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</si>
  <si>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</si>
  <si>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</si>
  <si>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</si>
  <si>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</si>
  <si>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</si>
  <si>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</si>
  <si>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</si>
  <si>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</si>
  <si>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</si>
  <si>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</si>
  <si>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</si>
  <si>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</si>
  <si>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</si>
  <si>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</si>
  <si>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</si>
  <si>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</si>
  <si>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</si>
  <si>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</si>
  <si>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</si>
  <si>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</si>
  <si>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</si>
  <si>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</si>
  <si>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</si>
  <si>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</si>
  <si>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</si>
  <si>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</si>
  <si>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</si>
  <si>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</si>
  <si>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</si>
  <si>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</si>
  <si>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</si>
  <si>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</si>
  <si>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</si>
  <si>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</si>
  <si>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</si>
  <si>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</si>
  <si>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</si>
  <si>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</si>
  <si>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</si>
  <si>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</si>
  <si>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</si>
  <si>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</si>
  <si>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</si>
  <si>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</si>
  <si>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</si>
  <si>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</si>
  <si>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</si>
  <si>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</si>
  <si>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</si>
  <si>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</si>
  <si>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</si>
  <si>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</si>
  <si>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</si>
  <si>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</si>
  <si>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</si>
  <si>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</si>
  <si>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</si>
  <si>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</si>
  <si>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</si>
  <si>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</si>
  <si>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</si>
  <si>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</si>
  <si>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</si>
  <si>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</si>
  <si>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</si>
  <si>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</si>
  <si>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</si>
  <si>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</si>
  <si>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</si>
  <si>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</si>
  <si>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</si>
  <si>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</si>
  <si>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</si>
  <si>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</si>
  <si>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</si>
  <si>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</si>
  <si>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</si>
  <si>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</si>
  <si>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</si>
  <si>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</si>
  <si>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</si>
  <si>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</si>
  <si>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</si>
  <si>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</si>
  <si>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</si>
  <si>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</si>
  <si>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</si>
  <si>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</si>
  <si>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</si>
  <si>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</si>
  <si>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</si>
  <si>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</si>
  <si>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</si>
  <si>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</si>
  <si>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</si>
  <si>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</si>
  <si>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</si>
  <si>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</si>
  <si>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</si>
  <si>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</si>
  <si>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</si>
  <si>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</si>
  <si>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</si>
  <si>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</si>
  <si>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</si>
  <si>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</si>
  <si>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</si>
  <si>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</si>
  <si>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</si>
  <si>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</si>
  <si>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</si>
  <si>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</si>
  <si>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</si>
  <si>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</si>
  <si>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</si>
  <si>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</si>
  <si>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</si>
  <si>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</si>
  <si>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</si>
  <si>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</si>
  <si>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</si>
  <si>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</si>
  <si>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</si>
  <si>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</si>
  <si>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</si>
  <si>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</si>
  <si>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</si>
  <si>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</si>
  <si>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</si>
  <si>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</si>
  <si>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</si>
  <si>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</si>
  <si>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</si>
  <si>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</si>
  <si>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</si>
  <si>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</si>
  <si>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</si>
  <si>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</si>
  <si>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</si>
  <si>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</si>
  <si>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</si>
  <si>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</si>
  <si>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</si>
  <si>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</si>
  <si>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</si>
  <si>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</si>
  <si>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</si>
  <si>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</si>
  <si>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</si>
  <si>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</si>
  <si>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</si>
  <si>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</si>
  <si>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</si>
  <si>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</si>
  <si>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</si>
  <si>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</si>
  <si>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</si>
  <si>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</si>
  <si>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</si>
  <si>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</si>
  <si>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</si>
  <si>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</si>
  <si>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</si>
  <si>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</si>
  <si>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</si>
  <si>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</si>
  <si>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</si>
  <si>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</si>
  <si>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</si>
  <si>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</si>
  <si>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</si>
  <si>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</si>
  <si>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</si>
  <si>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</si>
  <si>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</si>
  <si>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</si>
  <si>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</si>
  <si>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</si>
  <si>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</si>
  <si>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</si>
  <si>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</si>
  <si>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</si>
  <si>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</si>
  <si>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</si>
  <si>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</si>
  <si>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</si>
  <si>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</si>
  <si>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</si>
  <si>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</si>
  <si>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</si>
  <si>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</si>
  <si>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</si>
  <si>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</si>
  <si>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</si>
  <si>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</si>
  <si>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</si>
  <si>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</si>
  <si>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</si>
  <si>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</si>
  <si>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</si>
  <si>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</si>
  <si>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</si>
  <si>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</si>
  <si>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</si>
  <si>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</si>
  <si>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城市次干道——黄寺大街</t>
    <phoneticPr fontId="27" type="noConversion"/>
  </si>
  <si>
    <t>城市支路——南礼士路二条</t>
    <phoneticPr fontId="27" type="noConversion"/>
  </si>
  <si>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</si>
  <si>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</si>
  <si>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</si>
  <si>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</si>
  <si>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</si>
  <si>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</si>
  <si>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</si>
  <si>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</si>
  <si>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</si>
  <si>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</si>
  <si>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</si>
  <si>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</si>
  <si>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</si>
  <si>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</si>
  <si>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</si>
  <si>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</si>
  <si>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</si>
  <si>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</si>
  <si>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</si>
  <si>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</si>
  <si>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</si>
  <si>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</si>
  <si>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</si>
  <si>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</si>
  <si>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</si>
  <si>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</si>
  <si>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</si>
  <si>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</si>
  <si>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</si>
  <si>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</si>
  <si>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</si>
  <si>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</si>
  <si>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</si>
  <si>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</si>
  <si>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</si>
  <si>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</si>
  <si>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</si>
  <si>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</si>
  <si>
    <t>估价对象所在区域公共配套设施齐备</t>
    <phoneticPr fontId="3" type="noConversion"/>
  </si>
  <si>
    <t>估价对象所在区域基础设施水平达到七通</t>
    <phoneticPr fontId="3" type="noConversion"/>
  </si>
  <si>
    <t>位于月坛商圈，办公楼项目较多，入住率较高，办公集聚程度较好。</t>
    <phoneticPr fontId="27" type="noConversion"/>
  </si>
  <si>
    <t>城市支路——南礼士路二条</t>
    <phoneticPr fontId="27" type="noConversion"/>
  </si>
  <si>
    <r>
      <rPr>
        <sz val="11"/>
        <rFont val="宋体"/>
        <family val="3"/>
        <charset val="134"/>
      </rPr>
      <t>案例</t>
    </r>
    <r>
      <rPr>
        <sz val="11"/>
        <rFont val="Arial"/>
        <family val="2"/>
      </rPr>
      <t>A</t>
    </r>
    <r>
      <rPr>
        <sz val="11"/>
        <rFont val="宋体"/>
        <family val="3"/>
        <charset val="134"/>
      </rPr>
      <t>紧邻城市主干道—车公庄西路，临近西二环路，距首都机场约</t>
    </r>
    <r>
      <rPr>
        <sz val="11"/>
        <rFont val="Arial"/>
        <family val="2"/>
      </rPr>
      <t>28</t>
    </r>
    <r>
      <rPr>
        <sz val="11"/>
        <rFont val="宋体"/>
        <family val="3"/>
        <charset val="134"/>
      </rPr>
      <t>公里、距南苑机场约</t>
    </r>
    <r>
      <rPr>
        <sz val="11"/>
        <rFont val="Arial"/>
        <family val="2"/>
      </rPr>
      <t>17</t>
    </r>
    <r>
      <rPr>
        <sz val="11"/>
        <rFont val="宋体"/>
        <family val="3"/>
        <charset val="134"/>
      </rPr>
      <t>公里、距北京西客站约</t>
    </r>
    <r>
      <rPr>
        <sz val="11"/>
        <rFont val="Arial"/>
        <family val="2"/>
      </rPr>
      <t>5</t>
    </r>
    <r>
      <rPr>
        <sz val="11"/>
        <rFont val="宋体"/>
        <family val="3"/>
        <charset val="134"/>
      </rPr>
      <t>公里，距北京火车站约</t>
    </r>
    <r>
      <rPr>
        <sz val="11"/>
        <rFont val="Arial"/>
        <family val="2"/>
      </rPr>
      <t>8</t>
    </r>
    <r>
      <rPr>
        <sz val="11"/>
        <rFont val="宋体"/>
        <family val="3"/>
        <charset val="134"/>
      </rPr>
      <t>公里、周边有</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t>
    </r>
    <r>
      <rPr>
        <sz val="11"/>
        <rFont val="Arial"/>
        <family val="2"/>
      </rPr>
      <t>121</t>
    </r>
    <r>
      <rPr>
        <sz val="11"/>
        <rFont val="宋体"/>
        <family val="3"/>
        <charset val="134"/>
      </rPr>
      <t>路等</t>
    </r>
    <r>
      <rPr>
        <sz val="11"/>
        <rFont val="Arial"/>
        <family val="2"/>
      </rPr>
      <t>20</t>
    </r>
    <r>
      <rPr>
        <sz val="11"/>
        <rFont val="宋体"/>
        <family val="3"/>
        <charset val="134"/>
      </rPr>
      <t>余条公交线路通过，距地铁</t>
    </r>
    <r>
      <rPr>
        <sz val="11"/>
        <rFont val="Arial"/>
        <family val="2"/>
      </rPr>
      <t>2</t>
    </r>
    <r>
      <rPr>
        <sz val="11"/>
        <rFont val="宋体"/>
        <family val="3"/>
        <charset val="134"/>
      </rPr>
      <t>、</t>
    </r>
    <r>
      <rPr>
        <sz val="11"/>
        <rFont val="Arial"/>
        <family val="2"/>
      </rPr>
      <t>6</t>
    </r>
    <r>
      <rPr>
        <sz val="11"/>
        <rFont val="宋体"/>
        <family val="3"/>
        <charset val="134"/>
      </rPr>
      <t>号线（车公庄站）约</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号线（西直门站）约</t>
    </r>
    <r>
      <rPr>
        <sz val="11"/>
        <rFont val="Arial"/>
        <family val="2"/>
      </rPr>
      <t>1000</t>
    </r>
    <r>
      <rPr>
        <sz val="11"/>
        <rFont val="宋体"/>
        <family val="3"/>
        <charset val="134"/>
      </rPr>
      <t>米，交通便捷度较好。</t>
    </r>
    <phoneticPr fontId="27" type="noConversion"/>
  </si>
  <si>
    <t>西城区后帽胡同23号</t>
    <phoneticPr fontId="3" type="noConversion"/>
  </si>
  <si>
    <t>月坛理想大厦</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</si>
  <si>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</si>
  <si>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</si>
  <si>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</si>
  <si>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位于展览路商圈，办公楼项目较多，入住率较高，办公集聚程度较好。</t>
    <phoneticPr fontId="3" type="noConversion"/>
  </si>
  <si>
    <t>位于黄寺（中轴路）商圈，办公楼项目较多，入住率较高，办公集聚程度较好。</t>
    <phoneticPr fontId="27" type="noConversion"/>
  </si>
  <si>
    <r>
      <rPr>
        <sz val="11"/>
        <rFont val="宋体"/>
        <family val="3"/>
        <charset val="134"/>
      </rPr>
      <t>案例</t>
    </r>
    <r>
      <rPr>
        <sz val="11"/>
        <rFont val="Arial"/>
        <family val="2"/>
      </rPr>
      <t>B</t>
    </r>
    <r>
      <rPr>
        <sz val="11"/>
        <rFont val="宋体"/>
        <family val="3"/>
        <charset val="134"/>
      </rPr>
      <t>紧邻城市次干道—黄寺大街，临近德胜门外大街，距首都机场约</t>
    </r>
    <r>
      <rPr>
        <sz val="11"/>
        <rFont val="Arial"/>
        <family val="2"/>
      </rPr>
      <t>23</t>
    </r>
    <r>
      <rPr>
        <sz val="11"/>
        <rFont val="宋体"/>
        <family val="3"/>
        <charset val="134"/>
      </rPr>
      <t>公里、距南苑机场约</t>
    </r>
    <r>
      <rPr>
        <sz val="11"/>
        <rFont val="Arial"/>
        <family val="2"/>
      </rPr>
      <t>20</t>
    </r>
    <r>
      <rPr>
        <sz val="11"/>
        <rFont val="宋体"/>
        <family val="3"/>
        <charset val="134"/>
      </rPr>
      <t>公里、距北京站约</t>
    </r>
    <r>
      <rPr>
        <sz val="11"/>
        <rFont val="Arial"/>
        <family val="2"/>
      </rPr>
      <t>8</t>
    </r>
    <r>
      <rPr>
        <sz val="11"/>
        <rFont val="宋体"/>
        <family val="3"/>
        <charset val="134"/>
      </rPr>
      <t>公里，距北京西客站约</t>
    </r>
    <r>
      <rPr>
        <sz val="11"/>
        <rFont val="Arial"/>
        <family val="2"/>
      </rPr>
      <t>9</t>
    </r>
    <r>
      <rPr>
        <sz val="11"/>
        <rFont val="宋体"/>
        <family val="3"/>
        <charset val="134"/>
      </rPr>
      <t>公里，周边有</t>
    </r>
    <r>
      <rPr>
        <sz val="11"/>
        <rFont val="Arial"/>
        <family val="2"/>
      </rPr>
      <t>5</t>
    </r>
    <r>
      <rPr>
        <sz val="11"/>
        <rFont val="宋体"/>
        <family val="3"/>
        <charset val="134"/>
      </rPr>
      <t>路、</t>
    </r>
    <r>
      <rPr>
        <sz val="11"/>
        <rFont val="Arial"/>
        <family val="2"/>
      </rPr>
      <t>55</t>
    </r>
    <r>
      <rPr>
        <sz val="11"/>
        <rFont val="宋体"/>
        <family val="3"/>
        <charset val="134"/>
      </rPr>
      <t>路、</t>
    </r>
    <r>
      <rPr>
        <sz val="11"/>
        <rFont val="Arial"/>
        <family val="2"/>
      </rPr>
      <t>123</t>
    </r>
    <r>
      <rPr>
        <sz val="11"/>
        <rFont val="宋体"/>
        <family val="3"/>
        <charset val="134"/>
      </rPr>
      <t>路、</t>
    </r>
    <r>
      <rPr>
        <sz val="11"/>
        <rFont val="Arial"/>
        <family val="2"/>
      </rPr>
      <t>345</t>
    </r>
    <r>
      <rPr>
        <sz val="11"/>
        <rFont val="宋体"/>
        <family val="3"/>
        <charset val="134"/>
      </rPr>
      <t>路等多条公交线路经过，距地铁</t>
    </r>
    <r>
      <rPr>
        <sz val="11"/>
        <rFont val="Arial"/>
        <family val="2"/>
      </rPr>
      <t>8</t>
    </r>
    <r>
      <rPr>
        <sz val="11"/>
        <rFont val="宋体"/>
        <family val="3"/>
        <charset val="134"/>
      </rPr>
      <t>号线（安德里北街站）约</t>
    </r>
    <r>
      <rPr>
        <sz val="11"/>
        <rFont val="Arial"/>
        <family val="2"/>
      </rPr>
      <t>1100</t>
    </r>
    <r>
      <rPr>
        <sz val="11"/>
        <rFont val="宋体"/>
        <family val="3"/>
        <charset val="134"/>
      </rPr>
      <t>米，交通便捷度较好。</t>
    </r>
    <phoneticPr fontId="27" type="noConversion"/>
  </si>
  <si>
    <r>
      <rPr>
        <sz val="11"/>
        <rFont val="宋体"/>
        <family val="3"/>
        <charset val="134"/>
      </rPr>
      <t>案例</t>
    </r>
    <r>
      <rPr>
        <sz val="11"/>
        <rFont val="Arial"/>
        <family val="2"/>
      </rPr>
      <t>C</t>
    </r>
    <r>
      <rPr>
        <sz val="11"/>
        <rFont val="宋体"/>
        <family val="3"/>
        <charset val="134"/>
      </rPr>
      <t>紧邻城市支路——南礼士路二条，临近月坛南街，距首都机场约</t>
    </r>
    <r>
      <rPr>
        <sz val="11"/>
        <rFont val="Arial"/>
        <family val="2"/>
      </rPr>
      <t>29</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3</t>
    </r>
    <r>
      <rPr>
        <sz val="11"/>
        <rFont val="宋体"/>
        <family val="3"/>
        <charset val="134"/>
      </rPr>
      <t>公里，距北京南站约</t>
    </r>
    <r>
      <rPr>
        <sz val="11"/>
        <rFont val="Arial"/>
        <family val="2"/>
      </rPr>
      <t>6</t>
    </r>
    <r>
      <rPr>
        <sz val="11"/>
        <rFont val="宋体"/>
        <family val="3"/>
        <charset val="134"/>
      </rPr>
      <t>公里、周边有</t>
    </r>
    <r>
      <rPr>
        <sz val="11"/>
        <rFont val="Arial"/>
        <family val="2"/>
      </rPr>
      <t>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t>
    </r>
    <r>
      <rPr>
        <sz val="11"/>
        <rFont val="Arial"/>
        <family val="2"/>
      </rPr>
      <t>42</t>
    </r>
    <r>
      <rPr>
        <sz val="11"/>
        <rFont val="宋体"/>
        <family val="3"/>
        <charset val="134"/>
      </rPr>
      <t>路等多条公交线路通过，距地铁</t>
    </r>
    <r>
      <rPr>
        <sz val="11"/>
        <rFont val="Arial"/>
        <family val="2"/>
      </rPr>
      <t>1</t>
    </r>
    <r>
      <rPr>
        <sz val="11"/>
        <rFont val="宋体"/>
        <family val="3"/>
        <charset val="134"/>
      </rPr>
      <t>、</t>
    </r>
    <r>
      <rPr>
        <sz val="11"/>
        <rFont val="Arial"/>
        <family val="2"/>
      </rPr>
      <t>2</t>
    </r>
    <r>
      <rPr>
        <sz val="11"/>
        <rFont val="宋体"/>
        <family val="3"/>
        <charset val="134"/>
      </rPr>
      <t>号线（复兴门站）约</t>
    </r>
    <r>
      <rPr>
        <sz val="11"/>
        <rFont val="Arial"/>
        <family val="2"/>
      </rPr>
      <t>700</t>
    </r>
    <r>
      <rPr>
        <sz val="11"/>
        <rFont val="宋体"/>
        <family val="3"/>
        <charset val="134"/>
      </rPr>
      <t>米，交通便捷度一般。</t>
    </r>
    <phoneticPr fontId="27" type="noConversion"/>
  </si>
  <si>
    <t>区域自然环境：北京古动物馆、北京动物园；人文环境：北京天文馆、首都体育馆、北京动物园、国家图书馆、百万庄图书大厦；综合评价环境状况好。</t>
    <phoneticPr fontId="3" type="noConversion"/>
  </si>
  <si>
    <t>区域自然环境：柳荫公园、青年湖公园、护城河；人文环境：北京师范大学、元大都城垣遗址、德胜门箭楼；综合评价环境状况好。</t>
    <phoneticPr fontId="3" type="noConversion"/>
  </si>
  <si>
    <t>区域自然环境：北京玉渊潭公园、南礼士路公园、月坛公园；人文环境：、百万庄图书大厦、西城青少年科技馆、首都博物馆；综合评价环境状况好。</t>
    <phoneticPr fontId="3" type="noConversion"/>
  </si>
  <si>
    <t>城市主干道——车公庄西路</t>
    <phoneticPr fontId="27" type="noConversion"/>
  </si>
  <si>
    <t>http://zu.fang.com/house/s31-kw%c8%fd%bd%f8%cb%c4%ba%cf%d4%ba/</t>
  </si>
  <si>
    <t>地上（办公）50年</t>
    <phoneticPr fontId="233" type="noConversion"/>
  </si>
  <si>
    <t>城市主干道——赵登禹路</t>
    <phoneticPr fontId="27" type="noConversion"/>
  </si>
  <si>
    <t>德胜置业大厦</t>
    <phoneticPr fontId="3" type="noConversion"/>
  </si>
  <si>
    <t>地上商业（40年）</t>
    <phoneticPr fontId="233" type="noConversion"/>
  </si>
  <si>
    <t>需补缴地价款</t>
    <phoneticPr fontId="277" type="noConversion"/>
  </si>
  <si>
    <t>调整</t>
  </si>
  <si>
    <t>——</t>
    <phoneticPr fontId="233" type="noConversion"/>
  </si>
  <si>
    <t>地上（商业）</t>
    <phoneticPr fontId="233" type="noConversion"/>
  </si>
  <si>
    <t>地下（办公）</t>
    <phoneticPr fontId="233" type="noConversion"/>
  </si>
  <si>
    <t>地下（商业）</t>
    <phoneticPr fontId="233" type="noConversion"/>
  </si>
  <si>
    <t>调整用途面积</t>
    <phoneticPr fontId="233" type="noConversion"/>
  </si>
  <si>
    <t>增加面积</t>
    <phoneticPr fontId="233" type="noConversion"/>
  </si>
  <si>
    <t>商业金融</t>
    <phoneticPr fontId="233" type="noConversion"/>
  </si>
  <si>
    <t>商务金融</t>
    <phoneticPr fontId="233" type="noConversion"/>
  </si>
  <si>
    <t>商业、商务金融用途之差</t>
    <phoneticPr fontId="233" type="noConversion"/>
  </si>
  <si>
    <t>商务金融</t>
    <phoneticPr fontId="233" type="noConversion"/>
  </si>
  <si>
    <t>地下商业金融</t>
  </si>
  <si>
    <t>地下商业金融</t>
    <phoneticPr fontId="233" type="noConversion"/>
  </si>
  <si>
    <t>地下商务金融</t>
  </si>
  <si>
    <t>地上（调整用途）</t>
    <phoneticPr fontId="233" type="noConversion"/>
  </si>
  <si>
    <t>地下（调整用途）</t>
    <phoneticPr fontId="233" type="noConversion"/>
  </si>
  <si>
    <t>小计</t>
    <phoneticPr fontId="233" type="noConversion"/>
  </si>
  <si>
    <t>商业金融</t>
    <phoneticPr fontId="233" type="noConversion"/>
  </si>
  <si>
    <t>小计</t>
    <phoneticPr fontId="233" type="noConversion"/>
  </si>
  <si>
    <r>
      <rPr>
        <sz val="12"/>
        <color theme="1"/>
        <rFont val="仿宋_GB2312"/>
        <family val="3"/>
        <charset val="134"/>
      </rPr>
      <t>商业金融</t>
    </r>
    <phoneticPr fontId="233" type="noConversion"/>
  </si>
  <si>
    <r>
      <rPr>
        <sz val="12"/>
        <color theme="1"/>
        <rFont val="仿宋_GB2312"/>
        <family val="3"/>
        <charset val="134"/>
      </rPr>
      <t>地上（增加用途）</t>
    </r>
    <phoneticPr fontId="233" type="noConversion"/>
  </si>
  <si>
    <t>合计</t>
    <phoneticPr fontId="233" type="noConversion"/>
  </si>
  <si>
    <t>地下商业（40年）</t>
    <phoneticPr fontId="233" type="noConversion"/>
  </si>
  <si>
    <t>地下商业、地下商务用途之差</t>
    <phoneticPr fontId="233" type="noConversion"/>
  </si>
  <si>
    <t>地下商业金融</t>
    <phoneticPr fontId="233" type="noConversion"/>
  </si>
  <si>
    <t>地下商务金融</t>
    <phoneticPr fontId="233" type="noConversion"/>
  </si>
  <si>
    <t>调整用途</t>
    <phoneticPr fontId="233" type="noConversion"/>
  </si>
  <si>
    <t>--</t>
    <phoneticPr fontId="233" type="noConversion"/>
  </si>
  <si>
    <t>地下（调整用途）</t>
    <phoneticPr fontId="233" type="noConversion"/>
  </si>
  <si>
    <t>地下（办公）50年</t>
    <phoneticPr fontId="233" type="noConversion"/>
  </si>
  <si>
    <t>小计</t>
    <phoneticPr fontId="233" type="noConversion"/>
  </si>
  <si>
    <t>已部分缴纳</t>
  </si>
  <si>
    <t>工程进度</t>
  </si>
  <si>
    <t>剩余法-待开发</t>
  </si>
  <si>
    <t>地上商业（30.06年）</t>
    <phoneticPr fontId="233" type="noConversion"/>
  </si>
  <si>
    <t>地上</t>
    <phoneticPr fontId="233" type="noConversion"/>
  </si>
  <si>
    <t>新增面积</t>
    <phoneticPr fontId="233" type="noConversion"/>
  </si>
  <si>
    <t>商业金融</t>
    <phoneticPr fontId="233" type="noConversion"/>
  </si>
  <si>
    <t>地上（增加面积）</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</si>
</sst>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
      <sz val="12"/>
      <color rgb="FF000000"/>
      <name val="仿宋_GB2312"/>
      <family val="3"/>
      <charset val="134"/>
    </font>
    <font>
      <sz val="12"/>
      <color theme="1"/>
      <name val="Arial Unicode MS"/>
      <family val="2"/>
      <charset val="134"/>
    </font>
    <font>
      <b/>
      <sz val="9"/>
      <color indexed="81"/>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7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xf numFmtId="0" fontId="0" fillId="17" borderId="21" xfId="0" applyFill="1" applyBorder="1" applyAlignment="1">
      <alignment horizontal="center" vertical="center" wrapText="1"/>
    </xf>
    <xf numFmtId="0" fontId="71" fillId="9" borderId="64" xfId="0" applyNumberFormat="1" applyFont="1" applyFill="1" applyBorder="1" applyAlignment="1" applyProtection="1">
      <alignment horizontal="center" vertical="center" wrapText="1"/>
      <protection locked="0"/>
    </xf>
    <xf numFmtId="0" fontId="0" fillId="17" borderId="3" xfId="0" applyFill="1" applyBorder="1" applyAlignment="1">
      <alignment horizontal="center" vertical="center" wrapText="1"/>
    </xf>
    <xf numFmtId="0" fontId="176" fillId="0" borderId="66" xfId="0" applyFont="1" applyFill="1" applyBorder="1" applyAlignment="1">
      <alignment horizontal="center" vertical="center" wrapText="1"/>
    </xf>
    <xf numFmtId="0" fontId="0" fillId="9" borderId="0" xfId="0" applyFill="1" applyAlignment="1">
      <alignment horizontal="center" vertical="center"/>
    </xf>
    <xf numFmtId="0" fontId="0" fillId="9" borderId="5" xfId="0" applyFill="1" applyBorder="1" applyAlignment="1">
      <alignment horizontal="center" vertical="center"/>
    </xf>
    <xf numFmtId="0" fontId="191" fillId="9" borderId="0" xfId="0" applyFont="1" applyFill="1">
      <alignment vertical="center"/>
    </xf>
    <xf numFmtId="0" fontId="176" fillId="0" borderId="66" xfId="0" quotePrefix="1" applyFont="1" applyFill="1" applyBorder="1" applyAlignment="1">
      <alignment horizontal="center" vertical="center" wrapText="1"/>
    </xf>
    <xf numFmtId="0" fontId="281" fillId="0" borderId="39" xfId="0" applyFont="1" applyFill="1" applyBorder="1" applyAlignment="1">
      <alignment horizontal="center" vertical="center" wrapText="1"/>
    </xf>
    <xf numFmtId="0" fontId="281" fillId="0" borderId="65" xfId="0" applyFont="1" applyFill="1" applyBorder="1" applyAlignment="1">
      <alignment horizontal="center" vertical="center" wrapText="1"/>
    </xf>
    <xf numFmtId="0" fontId="281" fillId="0" borderId="66" xfId="0" applyFont="1" applyFill="1" applyBorder="1" applyAlignment="1">
      <alignment horizontal="center" vertical="center" wrapText="1"/>
    </xf>
    <xf numFmtId="0" fontId="0" fillId="0" borderId="66" xfId="0" applyFill="1" applyBorder="1" applyAlignment="1">
      <alignment vertical="center" wrapText="1"/>
    </xf>
    <xf numFmtId="0" fontId="0" fillId="0" borderId="66" xfId="0" applyFill="1" applyBorder="1" applyAlignment="1">
      <alignment horizontal="center" vertical="center" wrapText="1"/>
    </xf>
    <xf numFmtId="0" fontId="195" fillId="0" borderId="66" xfId="0" applyFont="1" applyFill="1" applyBorder="1" applyAlignment="1">
      <alignment horizontal="center" vertical="center" wrapText="1"/>
    </xf>
    <xf numFmtId="0" fontId="176" fillId="0" borderId="65" xfId="0" applyFont="1" applyFill="1" applyBorder="1" applyAlignment="1">
      <alignment horizontal="center" vertical="center" wrapText="1"/>
    </xf>
    <xf numFmtId="0" fontId="176" fillId="0" borderId="0" xfId="0" applyFont="1" applyFill="1" applyAlignment="1">
      <alignment horizontal="center" vertical="center"/>
    </xf>
    <xf numFmtId="0" fontId="0" fillId="0" borderId="0" xfId="0" applyFill="1">
      <alignment vertical="center"/>
    </xf>
    <xf numFmtId="0" fontId="284" fillId="0" borderId="65" xfId="0" applyFont="1" applyFill="1" applyBorder="1" applyAlignment="1">
      <alignment horizontal="center" vertical="center" wrapText="1"/>
    </xf>
    <xf numFmtId="0" fontId="285" fillId="0" borderId="2" xfId="0" applyFont="1" applyFill="1" applyBorder="1" applyAlignment="1">
      <alignment horizontal="center" vertical="center" wrapText="1"/>
    </xf>
    <xf numFmtId="0" fontId="285" fillId="0" borderId="12" xfId="0" applyFont="1" applyFill="1" applyBorder="1" applyAlignment="1">
      <alignment vertical="center" wrapText="1"/>
    </xf>
    <xf numFmtId="0" fontId="176" fillId="0" borderId="44" xfId="0" applyFont="1" applyFill="1" applyBorder="1" applyAlignment="1">
      <alignment horizontal="center" vertical="center" wrapText="1"/>
    </xf>
    <xf numFmtId="0" fontId="285" fillId="0" borderId="46" xfId="0" applyFont="1" applyFill="1" applyBorder="1" applyAlignment="1">
      <alignment horizontal="center" vertical="center" wrapText="1"/>
    </xf>
    <xf numFmtId="0" fontId="281" fillId="0" borderId="38"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284" fillId="0" borderId="66" xfId="0" applyFont="1" applyFill="1" applyBorder="1" applyAlignment="1">
      <alignment horizontal="center" vertical="center" wrapText="1"/>
    </xf>
    <xf numFmtId="0" fontId="154" fillId="0" borderId="66" xfId="0" applyFont="1" applyFill="1" applyBorder="1" applyAlignment="1">
      <alignment horizontal="center" vertical="center" wrapText="1"/>
    </xf>
    <xf numFmtId="0" fontId="287" fillId="0" borderId="66" xfId="0" applyFont="1" applyFill="1" applyBorder="1" applyAlignment="1">
      <alignment horizontal="center" vertical="center" wrapText="1"/>
    </xf>
    <xf numFmtId="0" fontId="177" fillId="0" borderId="66" xfId="0" applyFont="1" applyFill="1" applyBorder="1" applyAlignment="1">
      <alignment horizontal="center" vertical="center" wrapText="1"/>
    </xf>
    <xf numFmtId="0" fontId="285" fillId="0" borderId="66" xfId="0" applyFont="1" applyFill="1" applyBorder="1" applyAlignment="1">
      <alignment horizontal="center" vertical="center" wrapText="1"/>
    </xf>
    <xf numFmtId="0" fontId="172" fillId="0" borderId="66"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195" fillId="0" borderId="2" xfId="0" applyFont="1" applyFill="1" applyBorder="1" applyAlignment="1">
      <alignment horizontal="center" vertical="center" wrapText="1"/>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176" fillId="0" borderId="2" xfId="0" applyFont="1" applyFill="1" applyBorder="1" applyAlignment="1">
      <alignment horizontal="center" vertical="center" wrapText="1"/>
    </xf>
    <xf numFmtId="0" fontId="176" fillId="0" borderId="21" xfId="0" applyFont="1" applyFill="1" applyBorder="1" applyAlignment="1">
      <alignment horizontal="center" vertical="center" wrapText="1"/>
    </xf>
    <xf numFmtId="0" fontId="195" fillId="0" borderId="43" xfId="0" applyFont="1" applyFill="1" applyBorder="1" applyAlignment="1">
      <alignment vertical="center" wrapText="1"/>
    </xf>
    <xf numFmtId="0" fontId="286" fillId="0" borderId="44" xfId="0" applyFont="1" applyFill="1" applyBorder="1" applyAlignment="1">
      <alignment vertical="center" wrapText="1"/>
    </xf>
    <xf numFmtId="0" fontId="176" fillId="0" borderId="44" xfId="0" applyFont="1" applyFill="1" applyBorder="1" applyAlignment="1">
      <alignment vertical="center" wrapText="1"/>
    </xf>
    <xf numFmtId="0" fontId="177" fillId="0" borderId="46" xfId="0" applyFont="1" applyFill="1" applyBorder="1" applyAlignment="1">
      <alignmen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7" fillId="0" borderId="41" xfId="0" applyFont="1" applyFill="1" applyBorder="1" applyAlignment="1">
      <alignment horizontal="center" vertical="center" wrapText="1"/>
    </xf>
    <xf numFmtId="0" fontId="177" fillId="0" borderId="69" xfId="0" applyFont="1" applyFill="1" applyBorder="1" applyAlignment="1">
      <alignment horizontal="center" vertical="center" wrapText="1"/>
    </xf>
    <xf numFmtId="0" fontId="286" fillId="0" borderId="27" xfId="0" applyFont="1" applyFill="1" applyBorder="1" applyAlignment="1">
      <alignment horizontal="center" vertical="center" wrapText="1"/>
    </xf>
    <xf numFmtId="0" fontId="286" fillId="0" borderId="21" xfId="0" applyFont="1" applyFill="1" applyBorder="1" applyAlignment="1">
      <alignment horizontal="center" vertical="center" wrapText="1"/>
    </xf>
    <xf numFmtId="0" fontId="195" fillId="0" borderId="10" xfId="0" applyFont="1" applyFill="1" applyBorder="1" applyAlignment="1">
      <alignment horizontal="center" vertical="center" wrapText="1"/>
    </xf>
    <xf numFmtId="0" fontId="195" fillId="0" borderId="21" xfId="0" applyFont="1" applyFill="1" applyBorder="1" applyAlignment="1">
      <alignment horizontal="center" vertical="center" wrapText="1"/>
    </xf>
    <xf numFmtId="0" fontId="285" fillId="0" borderId="10" xfId="0" applyFont="1" applyFill="1" applyBorder="1" applyAlignment="1">
      <alignment horizontal="center" vertical="center" wrapText="1"/>
    </xf>
    <xf numFmtId="0" fontId="285" fillId="0" borderId="21" xfId="0" applyFont="1" applyFill="1" applyBorder="1" applyAlignment="1">
      <alignment horizontal="center" vertical="center" wrapText="1"/>
    </xf>
    <xf numFmtId="0" fontId="285" fillId="0" borderId="25" xfId="0" applyFont="1" applyFill="1" applyBorder="1" applyAlignment="1">
      <alignment horizontal="center" vertical="center" wrapText="1"/>
    </xf>
    <xf numFmtId="0" fontId="285" fillId="0" borderId="51" xfId="0" applyFont="1" applyFill="1" applyBorder="1" applyAlignment="1">
      <alignment horizontal="center" vertical="center" wrapText="1"/>
    </xf>
    <xf numFmtId="0" fontId="286" fillId="0" borderId="55" xfId="0" applyFont="1" applyFill="1" applyBorder="1" applyAlignment="1">
      <alignment horizontal="center" vertical="center" wrapText="1"/>
    </xf>
    <xf numFmtId="0" fontId="195" fillId="0" borderId="53" xfId="0" applyFont="1" applyFill="1" applyBorder="1" applyAlignment="1">
      <alignment horizontal="center" vertical="center" wrapText="1"/>
    </xf>
    <xf numFmtId="0" fontId="195" fillId="0" borderId="23" xfId="0" applyFont="1" applyFill="1" applyBorder="1" applyAlignment="1">
      <alignment horizontal="center" vertical="center" wrapText="1"/>
    </xf>
    <xf numFmtId="0" fontId="176" fillId="0" borderId="27" xfId="0" applyFont="1" applyFill="1" applyBorder="1" applyAlignment="1">
      <alignment horizontal="center" vertical="center" wrapText="1"/>
    </xf>
    <xf numFmtId="0" fontId="176" fillId="0" borderId="55" xfId="0" applyFont="1" applyFill="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195" fillId="0" borderId="2" xfId="0" applyFont="1" applyFill="1" applyBorder="1" applyAlignment="1">
      <alignment horizontal="center" vertical="center" wrapText="1"/>
    </xf>
    <xf numFmtId="0" fontId="176" fillId="0" borderId="2"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22" xfId="0" applyFont="1" applyFill="1" applyBorder="1" applyAlignment="1">
      <alignment horizontal="center" vertical="center" wrapText="1"/>
    </xf>
    <xf numFmtId="0" fontId="176" fillId="0" borderId="50"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21" xfId="0" applyFont="1" applyFill="1" applyBorder="1" applyAlignment="1">
      <alignment horizontal="center" vertical="center" wrapText="1"/>
    </xf>
    <xf numFmtId="0" fontId="195" fillId="0" borderId="43" xfId="0" applyFont="1" applyFill="1" applyBorder="1" applyAlignment="1">
      <alignment horizontal="center" vertical="center" wrapText="1"/>
    </xf>
    <xf numFmtId="0" fontId="195" fillId="0" borderId="44" xfId="0" applyFont="1" applyFill="1" applyBorder="1" applyAlignment="1">
      <alignment horizontal="center" vertical="center" wrapText="1"/>
    </xf>
    <xf numFmtId="0" fontId="279" fillId="18" borderId="19" xfId="0" applyFont="1" applyFill="1" applyBorder="1" applyAlignment="1">
      <alignment horizontal="center" vertical="center"/>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54"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35" xfId="0" applyFont="1" applyBorder="1" applyAlignment="1">
      <alignment horizontal="center" vertical="center"/>
    </xf>
    <xf numFmtId="0" fontId="281" fillId="0" borderId="80" xfId="0" applyFont="1" applyBorder="1" applyAlignment="1">
      <alignment horizontal="center" vertical="center"/>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6"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280" fillId="0" borderId="31" xfId="0" applyFont="1" applyBorder="1" applyAlignment="1">
      <alignment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281" fillId="0" borderId="153"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153" xfId="0" applyFont="1" applyBorder="1" applyAlignment="1">
      <alignment horizontal="center" vertical="center" wrapText="1"/>
    </xf>
    <xf numFmtId="0" fontId="285" fillId="0" borderId="156" xfId="0" applyFont="1" applyBorder="1" applyAlignment="1">
      <alignment horizontal="center" vertical="center" wrapText="1"/>
    </xf>
    <xf numFmtId="0" fontId="195" fillId="0" borderId="79" xfId="0" applyFont="1" applyBorder="1" applyAlignment="1">
      <alignment horizontal="center" vertical="center" wrapText="1"/>
    </xf>
    <xf numFmtId="0" fontId="281" fillId="0" borderId="79"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285" fillId="0" borderId="80" xfId="0" applyFont="1" applyBorder="1" applyAlignment="1">
      <alignment horizontal="center" vertical="center" wrapText="1"/>
    </xf>
    <xf numFmtId="0" fontId="284" fillId="0" borderId="35" xfId="0" applyFont="1" applyFill="1" applyBorder="1" applyAlignment="1">
      <alignment horizontal="center" vertical="center" wrapText="1"/>
    </xf>
    <xf numFmtId="0" fontId="284" fillId="0" borderId="79" xfId="0" applyFont="1" applyFill="1" applyBorder="1" applyAlignment="1">
      <alignment horizontal="center" vertical="center" wrapText="1"/>
    </xf>
    <xf numFmtId="0" fontId="195" fillId="0" borderId="35" xfId="0" applyFont="1" applyFill="1" applyBorder="1" applyAlignment="1">
      <alignment horizontal="center" vertical="center" wrapText="1"/>
    </xf>
    <xf numFmtId="0" fontId="195" fillId="0" borderId="79" xfId="0" applyFont="1" applyFill="1" applyBorder="1" applyAlignment="1">
      <alignment horizontal="center" vertical="center" wrapText="1"/>
    </xf>
    <xf numFmtId="0" fontId="195" fillId="0" borderId="80" xfId="0" applyFont="1" applyFill="1" applyBorder="1" applyAlignment="1">
      <alignment horizontal="center" vertical="center" wrapText="1"/>
    </xf>
    <xf numFmtId="0" fontId="195" fillId="0" borderId="1" xfId="0" applyFont="1" applyFill="1" applyBorder="1" applyAlignment="1">
      <alignment horizontal="center" vertical="center" wrapText="1"/>
    </xf>
    <xf numFmtId="0" fontId="195" fillId="0" borderId="11" xfId="0" applyFont="1" applyFill="1" applyBorder="1" applyAlignment="1">
      <alignment horizontal="center" vertical="center" wrapText="1"/>
    </xf>
    <xf numFmtId="0" fontId="286" fillId="0" borderId="6" xfId="0" applyFont="1" applyFill="1" applyBorder="1" applyAlignment="1">
      <alignment vertical="center" wrapText="1"/>
    </xf>
    <xf numFmtId="0" fontId="286" fillId="0" borderId="2" xfId="0" applyFont="1" applyFill="1" applyBorder="1" applyAlignment="1">
      <alignment vertical="center" wrapText="1"/>
    </xf>
    <xf numFmtId="0" fontId="176" fillId="0" borderId="6" xfId="0" applyFont="1" applyFill="1" applyBorder="1" applyAlignment="1">
      <alignment horizontal="center" vertical="center" wrapText="1"/>
    </xf>
    <xf numFmtId="0" fontId="176" fillId="0" borderId="7" xfId="0" applyFont="1" applyFill="1" applyBorder="1" applyAlignment="1">
      <alignment horizontal="center" vertical="center" wrapText="1"/>
    </xf>
    <xf numFmtId="0" fontId="176" fillId="0" borderId="12" xfId="0" applyFont="1" applyFill="1" applyBorder="1" applyAlignment="1">
      <alignment horizontal="center" vertical="center" wrapText="1"/>
    </xf>
    <xf numFmtId="0" fontId="284" fillId="0" borderId="54" xfId="0" applyFont="1" applyFill="1" applyBorder="1" applyAlignment="1">
      <alignment horizontal="center" vertical="center" wrapText="1"/>
    </xf>
    <xf numFmtId="0" fontId="284" fillId="0" borderId="61" xfId="0" applyFont="1" applyFill="1" applyBorder="1" applyAlignment="1">
      <alignment horizontal="center" vertical="center" wrapText="1"/>
    </xf>
    <xf numFmtId="0" fontId="284" fillId="0" borderId="66" xfId="0" applyFont="1" applyFill="1" applyBorder="1" applyAlignment="1">
      <alignment horizontal="center" vertical="center" wrapText="1"/>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1" fillId="0" borderId="80" xfId="0" applyFont="1" applyFill="1" applyBorder="1" applyAlignment="1">
      <alignment horizontal="center" vertical="center" wrapText="1"/>
    </xf>
    <xf numFmtId="0" fontId="281" fillId="0" borderId="35" xfId="0" applyFont="1" applyFill="1" applyBorder="1" applyAlignment="1">
      <alignment horizontal="center" vertical="center"/>
    </xf>
    <xf numFmtId="0" fontId="281" fillId="0" borderId="79" xfId="0" applyFont="1" applyFill="1" applyBorder="1" applyAlignment="1">
      <alignment horizontal="center" vertical="center"/>
    </xf>
    <xf numFmtId="0" fontId="284" fillId="0" borderId="26"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31"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281" fillId="0" borderId="28" xfId="0" applyFont="1" applyBorder="1" applyAlignment="1">
      <alignment horizontal="center" vertical="center" wrapText="1"/>
    </xf>
    <xf numFmtId="0" fontId="281" fillId="0" borderId="61"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79" xfId="0" applyFont="1" applyBorder="1" applyAlignment="1">
      <alignment horizontal="center" vertical="center" wrapText="1"/>
    </xf>
    <xf numFmtId="0" fontId="176" fillId="0" borderId="35" xfId="0" applyFont="1" applyFill="1" applyBorder="1" applyAlignment="1">
      <alignment horizontal="center" vertical="center" wrapText="1"/>
    </xf>
    <xf numFmtId="0" fontId="176" fillId="0" borderId="80" xfId="0" applyFont="1" applyFill="1" applyBorder="1" applyAlignment="1">
      <alignment horizontal="center" vertical="center" wrapText="1"/>
    </xf>
    <xf numFmtId="0" fontId="160" fillId="0" borderId="14" xfId="0" applyFont="1" applyFill="1" applyBorder="1" applyAlignment="1">
      <alignment horizontal="center" vertical="center"/>
    </xf>
    <xf numFmtId="0" fontId="284" fillId="0" borderId="36" xfId="0" applyFont="1" applyFill="1" applyBorder="1" applyAlignment="1">
      <alignment horizontal="center" vertical="center" wrapText="1"/>
    </xf>
    <xf numFmtId="0" fontId="284" fillId="0" borderId="37"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195" fillId="0" borderId="26" xfId="0" applyFont="1" applyFill="1" applyBorder="1" applyAlignment="1">
      <alignment horizontal="center" vertical="center" wrapText="1"/>
    </xf>
    <xf numFmtId="0" fontId="195" fillId="0" borderId="31" xfId="0" applyFont="1" applyFill="1" applyBorder="1" applyAlignment="1">
      <alignment horizontal="center" vertical="center" wrapText="1"/>
    </xf>
    <xf numFmtId="0" fontId="195" fillId="0" borderId="54" xfId="0" applyFont="1" applyFill="1" applyBorder="1" applyAlignment="1">
      <alignment horizontal="center" vertical="center" wrapText="1"/>
    </xf>
    <xf numFmtId="0" fontId="195" fillId="0" borderId="39" xfId="0"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5" fillId="0" borderId="22" xfId="0" applyFont="1" applyFill="1" applyBorder="1" applyAlignment="1">
      <alignment horizontal="center" vertical="center" wrapText="1"/>
    </xf>
    <xf numFmtId="0" fontId="285" fillId="0" borderId="2" xfId="0" applyFont="1" applyFill="1" applyBorder="1" applyAlignment="1">
      <alignment horizontal="center" vertical="center" wrapText="1"/>
    </xf>
    <xf numFmtId="0" fontId="285" fillId="0" borderId="12" xfId="0" applyFont="1" applyFill="1" applyBorder="1" applyAlignment="1">
      <alignment horizontal="center" vertical="center" wrapText="1"/>
    </xf>
    <xf numFmtId="0" fontId="195" fillId="0" borderId="24" xfId="0" applyFont="1" applyFill="1" applyBorder="1" applyAlignment="1">
      <alignment horizontal="center" vertical="center" wrapText="1"/>
    </xf>
    <xf numFmtId="0" fontId="195" fillId="0" borderId="50" xfId="0" applyFont="1" applyFill="1" applyBorder="1" applyAlignment="1">
      <alignment horizontal="center" vertical="center" wrapText="1"/>
    </xf>
    <xf numFmtId="0" fontId="195" fillId="0" borderId="12" xfId="0" applyFont="1" applyFill="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12</xdr:col>
      <xdr:colOff>133350</xdr:colOff>
      <xdr:row>27</xdr:row>
      <xdr:rowOff>65809</xdr:rowOff>
    </xdr:to>
    <xdr:pic>
      <xdr:nvPicPr>
        <xdr:cNvPr id="563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5735300"/>
          <a:ext cx="8362950" cy="4561609"/>
        </a:xfrm>
        <a:prstGeom prst="rect">
          <a:avLst/>
        </a:prstGeom>
        <a:noFill/>
        <a:ln w="1">
          <a:noFill/>
          <a:miter lim="800000"/>
          <a:headEnd/>
          <a:tailEnd type="none" w="med" len="med"/>
        </a:ln>
        <a:effectLst/>
      </xdr:spPr>
    </xdr:pic>
    <xdr:clientData/>
  </xdr:twoCellAnchor>
  <xdr:twoCellAnchor editAs="oneCell">
    <xdr:from>
      <xdr:col>0</xdr:col>
      <xdr:colOff>85725</xdr:colOff>
      <xdr:row>42</xdr:row>
      <xdr:rowOff>85725</xdr:rowOff>
    </xdr:from>
    <xdr:to>
      <xdr:col>14</xdr:col>
      <xdr:colOff>672344</xdr:colOff>
      <xdr:row>80</xdr:row>
      <xdr:rowOff>0</xdr:rowOff>
    </xdr:to>
    <xdr:pic>
      <xdr:nvPicPr>
        <xdr:cNvPr id="5632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5725" y="7286625"/>
          <a:ext cx="10187819" cy="6429375"/>
        </a:xfrm>
        <a:prstGeom prst="rect">
          <a:avLst/>
        </a:prstGeom>
        <a:noFill/>
        <a:ln w="1">
          <a:noFill/>
          <a:miter lim="800000"/>
          <a:headEnd/>
          <a:tailEnd type="none" w="med" len="med"/>
        </a:ln>
        <a:effectLst/>
      </xdr:spPr>
    </xdr:pic>
    <xdr:clientData/>
  </xdr:twoCellAnchor>
  <xdr:twoCellAnchor editAs="oneCell">
    <xdr:from>
      <xdr:col>0</xdr:col>
      <xdr:colOff>19050</xdr:colOff>
      <xdr:row>79</xdr:row>
      <xdr:rowOff>123826</xdr:rowOff>
    </xdr:from>
    <xdr:to>
      <xdr:col>14</xdr:col>
      <xdr:colOff>669555</xdr:colOff>
      <xdr:row>117</xdr:row>
      <xdr:rowOff>142876</xdr:rowOff>
    </xdr:to>
    <xdr:pic>
      <xdr:nvPicPr>
        <xdr:cNvPr id="5632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20354926"/>
          <a:ext cx="10251705" cy="653415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57150</xdr:rowOff>
    </xdr:from>
    <xdr:to>
      <xdr:col>14</xdr:col>
      <xdr:colOff>625649</xdr:colOff>
      <xdr:row>160</xdr:row>
      <xdr:rowOff>66675</xdr:rowOff>
    </xdr:to>
    <xdr:pic>
      <xdr:nvPicPr>
        <xdr:cNvPr id="563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27660600"/>
          <a:ext cx="10226849" cy="6524625"/>
        </a:xfrm>
        <a:prstGeom prst="rect">
          <a:avLst/>
        </a:prstGeom>
        <a:noFill/>
        <a:ln w="1">
          <a:noFill/>
          <a:miter lim="800000"/>
          <a:headEnd/>
          <a:tailEnd type="none" w="med" len="med"/>
        </a:ln>
        <a:effectLst/>
      </xdr:spPr>
    </xdr:pic>
    <xdr:clientData/>
  </xdr:twoCellAnchor>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14</xdr:col>
      <xdr:colOff>200025</xdr:colOff>
      <xdr:row>81</xdr:row>
      <xdr:rowOff>38218</xdr:rowOff>
    </xdr:from>
    <xdr:to>
      <xdr:col>24</xdr:col>
      <xdr:colOff>447675</xdr:colOff>
      <xdr:row>119</xdr:row>
      <xdr:rowOff>57150</xdr:rowOff>
    </xdr:to>
    <xdr:pic>
      <xdr:nvPicPr>
        <xdr:cNvPr id="54278"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801225" y="20612218"/>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14</xdr:col>
      <xdr:colOff>628649</xdr:colOff>
      <xdr:row>122</xdr:row>
      <xdr:rowOff>109811</xdr:rowOff>
    </xdr:from>
    <xdr:to>
      <xdr:col>25</xdr:col>
      <xdr:colOff>9524</xdr:colOff>
      <xdr:row>160</xdr:row>
      <xdr:rowOff>95250</xdr:rowOff>
    </xdr:to>
    <xdr:pic>
      <xdr:nvPicPr>
        <xdr:cNvPr id="54280"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0229849" y="2771326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37</xdr:row>
      <xdr:rowOff>161925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05775" cy="6505575"/>
        </a:xfrm>
        <a:prstGeom prst="rect">
          <a:avLst/>
        </a:prstGeom>
        <a:noFill/>
        <a:ln w="1">
          <a:noFill/>
          <a:miter lim="800000"/>
          <a:headEnd/>
          <a:tailEnd type="none" w="med" len="med"/>
        </a:ln>
        <a:effectLst/>
      </xdr:spPr>
    </xdr:pic>
    <xdr:clientData/>
  </xdr:twoCellAnchor>
  <xdr:twoCellAnchor editAs="oneCell">
    <xdr:from>
      <xdr:col>12</xdr:col>
      <xdr:colOff>264947</xdr:colOff>
      <xdr:row>11</xdr:row>
      <xdr:rowOff>76202</xdr:rowOff>
    </xdr:from>
    <xdr:to>
      <xdr:col>15</xdr:col>
      <xdr:colOff>47625</xdr:colOff>
      <xdr:row>21</xdr:row>
      <xdr:rowOff>142875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94547" y="1962152"/>
          <a:ext cx="1840078" cy="1781173"/>
        </a:xfrm>
        <a:prstGeom prst="rect">
          <a:avLst/>
        </a:prstGeom>
        <a:noFill/>
        <a:ln w="1">
          <a:noFill/>
          <a:miter lim="800000"/>
          <a:headEnd/>
          <a:tailEnd type="none" w="med" len="med"/>
        </a:ln>
        <a:effectLst/>
      </xdr:spPr>
    </xdr:pic>
    <xdr:clientData/>
  </xdr:twoCellAnchor>
  <xdr:twoCellAnchor editAs="oneCell">
    <xdr:from>
      <xdr:col>12</xdr:col>
      <xdr:colOff>19050</xdr:colOff>
      <xdr:row>23</xdr:row>
      <xdr:rowOff>1</xdr:rowOff>
    </xdr:from>
    <xdr:to>
      <xdr:col>15</xdr:col>
      <xdr:colOff>419100</xdr:colOff>
      <xdr:row>33</xdr:row>
      <xdr:rowOff>16535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48650" y="3943351"/>
          <a:ext cx="2457450" cy="1731034"/>
        </a:xfrm>
        <a:prstGeom prst="rect">
          <a:avLst/>
        </a:prstGeom>
        <a:noFill/>
        <a:ln w="1">
          <a:noFill/>
          <a:miter lim="800000"/>
          <a:headEnd/>
          <a:tailEnd type="none" w="med" len="med"/>
        </a:ln>
        <a:effectLst/>
      </xdr:spPr>
    </xdr:pic>
    <xdr:clientData/>
  </xdr:twoCellAnchor>
  <xdr:twoCellAnchor>
    <xdr:from>
      <xdr:col>12</xdr:col>
      <xdr:colOff>57150</xdr:colOff>
      <xdr:row>0</xdr:row>
      <xdr:rowOff>0</xdr:rowOff>
    </xdr:from>
    <xdr:to>
      <xdr:col>14</xdr:col>
      <xdr:colOff>628650</xdr:colOff>
      <xdr:row>10</xdr:row>
      <xdr:rowOff>57150</xdr:rowOff>
    </xdr:to>
    <xdr:pic>
      <xdr:nvPicPr>
        <xdr:cNvPr id="54276"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8286750" y="0"/>
          <a:ext cx="1943100"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9525</xdr:colOff>
      <xdr:row>37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553325" cy="61912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438150</xdr:colOff>
      <xdr:row>72</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7296150" cy="60960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3&#21518;&#24125;&#32993;&#21516;&#27979;&#31639;(40&#24180;&#21830;&#1999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2&#21518;&#24125;&#32993;&#21516;&#27979;&#31639;F02(40&#24180;&#21830;&#1999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3&#21518;&#24125;&#32993;&#21516;&#27979;&#31639;(30.06&#24180;&#21830;&#199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表二"/>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8">
          <cell r="C18">
            <v>0.4</v>
          </cell>
          <cell r="D18">
            <v>0.6</v>
          </cell>
        </row>
        <row r="20">
          <cell r="C20">
            <v>40324</v>
          </cell>
          <cell r="D20">
            <v>42180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表二"/>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8">
          <cell r="C18">
            <v>0.4</v>
          </cell>
          <cell r="D18">
            <v>0.6</v>
          </cell>
        </row>
      </sheetData>
      <sheetData sheetId="17"/>
      <sheetData sheetId="18"/>
      <sheetData sheetId="19"/>
      <sheetData sheetId="20"/>
      <sheetData sheetId="21"/>
      <sheetData sheetId="22">
        <row r="33">
          <cell r="C33">
            <v>30676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表二"/>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D20">
            <v>38156</v>
          </cell>
        </row>
      </sheetData>
      <sheetData sheetId="17"/>
      <sheetData sheetId="18"/>
      <sheetData sheetId="19"/>
      <sheetData sheetId="20"/>
      <sheetData sheetId="21"/>
      <sheetData sheetId="22">
        <row r="20">
          <cell r="C20">
            <v>0.90459999999999996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北京市出让国有建设用地使用权市场价格预评估</v>
      </c>
      <c r="AX2" s="2918"/>
      <c r="AZ2" s="2918"/>
      <c r="BA2" s="2919"/>
      <c r="BC2" s="2919"/>
    </row>
    <row r="3" spans="1:55" s="2920" customFormat="1">
      <c r="A3" s="2899" t="s">
        <v>2665</v>
      </c>
      <c r="B3" s="2902">
        <f>'预评函-封皮'!B40</f>
        <v>0</v>
      </c>
    </row>
    <row r="4" spans="1:55" s="2901" customFormat="1">
      <c r="A4" s="2899" t="s">
        <v>2666</v>
      </c>
      <c r="B4" s="2900" t="str">
        <f>'预评函-封皮'!B46</f>
        <v>陈颖、杨红英</v>
      </c>
      <c r="N4" s="2901" t="str">
        <f>'预评函-1'!A28</f>
        <v>——</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受贵公司委托，我公司对北京市出让国有建设用地使用权市场价格进行了预评估。</v>
      </c>
      <c r="AM6" s="2924"/>
    </row>
    <row r="7" spans="1:55" s="2898" customFormat="1">
      <c r="A7" s="2899" t="s">
        <v>2661</v>
      </c>
      <c r="B7" s="2900"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本次评估为委托估价方了解标的物之市场价格提供参考依据而评估出让国有建设用地使用权市场价格。</v>
      </c>
    </row>
    <row r="10" spans="1:55" s="2898" customFormat="1">
      <c r="A10" s="2899" t="s">
        <v>2663</v>
      </c>
      <c r="B10" s="2900" t="str">
        <f>'预评函-1'!A11</f>
        <v>2018年5月10日</v>
      </c>
    </row>
    <row r="11" spans="1:55" s="2898" customFormat="1">
      <c r="A11" s="2899" t="s">
        <v>2669</v>
      </c>
      <c r="B11" s="2900" t="str">
        <f>'预评函-1'!A14</f>
        <v>根据《国有土地使用证》[]，本次评估估价对象证载（地类）用途为。</v>
      </c>
    </row>
    <row r="12" spans="1:55" s="2898" customFormat="1">
      <c r="A12" s="2899" t="s">
        <v>2670</v>
      </c>
      <c r="B12" s="2900" t="str">
        <f>'预评函-1'!A15</f>
        <v>本次评估设定用途即为证载用途。</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根据委托估价方介绍及评估专业人员现场勘查，本次评估估价对象实际土地开发程度为红线外市政基础设施达“七通”（即通路、通电、通讯、通上水、通下水、通热、燃气）、宗地红线内场地平整。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根据《国有土地使用证》[]，估价对象（分摊）出让国有建设用地使用权面积为2079.07平方米。根据《建设工程规划许可证》[]、《出让合同》[]，估价对象规划建筑面积为10000平方米。</v>
      </c>
    </row>
    <row r="16" spans="1:55" s="2898" customFormat="1">
      <c r="A16" s="2899" t="s">
        <v>2673</v>
      </c>
      <c r="B16" s="2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17" spans="1:48" s="2898" customFormat="1">
      <c r="A17" s="2899" t="s">
        <v>2674</v>
      </c>
      <c r="B17" s="2900" t="str">
        <f>'预评函-1'!A23</f>
        <v>本次评估设定估价对象剩余土地使用年限为。</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19" spans="1:48" s="2898" customFormat="1">
      <c r="A19" s="2899" t="s">
        <v>2676</v>
      </c>
      <c r="B19" s="2900" t="str">
        <f>'预评函-1'!A26</f>
        <v>——</v>
      </c>
    </row>
    <row r="20" spans="1:48" s="2898" customFormat="1">
      <c r="A20" s="2899" t="s">
        <v>2677</v>
      </c>
      <c r="B20" s="2900" t="str">
        <f>'预评函-1'!A27</f>
        <v>——</v>
      </c>
    </row>
    <row r="21" spans="1:48" s="2914" customFormat="1" ht="15" thickBot="1">
      <c r="A21" s="2921" t="s">
        <v>2678</v>
      </c>
      <c r="B21" s="2922" t="str">
        <f>'预评函-1'!A28</f>
        <v>——</v>
      </c>
    </row>
    <row r="22" spans="1:48" ht="15" thickTop="1">
      <c r="A22" s="2910" t="s">
        <v>2679</v>
      </c>
      <c r="B22" s="2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估价期日：2018年5月10日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f>'预评函-2'!E5</f>
        <v>0</v>
      </c>
      <c r="AV32" s="2904"/>
    </row>
    <row r="33" spans="1:2">
      <c r="A33" s="2899" t="s">
        <v>2717</v>
      </c>
      <c r="B33" s="2900">
        <f>'预评函-2'!F5</f>
        <v>258</v>
      </c>
    </row>
    <row r="34" spans="1:2">
      <c r="A34" s="2899" t="s">
        <v>2718</v>
      </c>
      <c r="B34" s="2900">
        <f>'预评函-2'!G5</f>
        <v>0</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v>
      </c>
    </row>
    <row r="39" spans="1:2">
      <c r="A39" s="2899" t="s">
        <v>2723</v>
      </c>
      <c r="B39" s="2900" t="str">
        <f>'预评函-2'!L5</f>
        <v>红线外七通、宗地红线内场地</v>
      </c>
    </row>
    <row r="40" spans="1:2">
      <c r="A40" s="2899" t="s">
        <v>2742</v>
      </c>
      <c r="B40" s="2900" t="str">
        <f>'预评函-2'!M3</f>
        <v>（剩余）土地使用年限/年</v>
      </c>
    </row>
    <row r="41" spans="1:2">
      <c r="A41" s="2899" t="s">
        <v>2724</v>
      </c>
      <c r="B41" s="2900">
        <f>'预评函-2'!M5</f>
        <v>0</v>
      </c>
    </row>
    <row r="42" spans="1:2">
      <c r="A42" s="2899" t="s">
        <v>2743</v>
      </c>
      <c r="B42" s="2900" t="str">
        <f>'预评函-2'!N3</f>
        <v>（分摊）出让国有建设用地使用权面积/㎡</v>
      </c>
    </row>
    <row r="43" spans="1:2">
      <c r="A43" s="2899" t="s">
        <v>2725</v>
      </c>
      <c r="B43" s="2900">
        <f>'预评函-2'!N5</f>
        <v>2079.0700000000002</v>
      </c>
    </row>
    <row r="44" spans="1:2">
      <c r="A44" s="2899" t="s">
        <v>2744</v>
      </c>
      <c r="B44" s="2900" t="str">
        <f>'预评函-2'!O3</f>
        <v>规划建筑面积/㎡</v>
      </c>
    </row>
    <row r="45" spans="1:2">
      <c r="A45" s="2899" t="s">
        <v>2726</v>
      </c>
      <c r="B45" s="2900">
        <f>'预评函-2'!O5</f>
        <v>10000</v>
      </c>
    </row>
    <row r="46" spans="1:2">
      <c r="A46" s="2899" t="s">
        <v>2727</v>
      </c>
      <c r="B46" s="2900">
        <f ca="1">'预评函-2'!P5</f>
        <v>159413</v>
      </c>
    </row>
    <row r="47" spans="1:2">
      <c r="A47" s="2899" t="s">
        <v>2728</v>
      </c>
      <c r="B47" s="2900">
        <f ca="1">'预评函-2'!Q5</f>
        <v>33143</v>
      </c>
    </row>
    <row r="48" spans="1:2">
      <c r="A48" s="2899" t="s">
        <v>2729</v>
      </c>
      <c r="B48" s="2900">
        <f ca="1">'预评函-2'!R5</f>
        <v>33143</v>
      </c>
    </row>
    <row r="49" spans="1:2">
      <c r="A49" s="2899" t="s">
        <v>2745</v>
      </c>
      <c r="B49" s="2900" t="str">
        <f>'预评函-2'!A6</f>
        <v>——</v>
      </c>
    </row>
    <row r="50" spans="1:2">
      <c r="A50" s="2899" t="s">
        <v>2730</v>
      </c>
      <c r="B50" s="2900" t="str">
        <f>'预评函-2'!R6</f>
        <v>——</v>
      </c>
    </row>
    <row r="51" spans="1:2">
      <c r="A51" s="2899" t="s">
        <v>2746</v>
      </c>
      <c r="B51" s="2900" t="str">
        <f>'预评函-2'!A7</f>
        <v>——</v>
      </c>
    </row>
    <row r="52" spans="1:2">
      <c r="A52" s="2899" t="s">
        <v>2731</v>
      </c>
      <c r="B52" s="2900" t="str">
        <f>'预评函-2'!R7</f>
        <v>——</v>
      </c>
    </row>
    <row r="53" spans="1:2">
      <c r="A53" s="2899" t="s">
        <v>2747</v>
      </c>
      <c r="B53" s="2900" t="str">
        <f>'预评函-2'!A8</f>
        <v>——</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1.权利限制：根据估价对象《不动产权证书》原件、《国有土地使用权》复印件，截至估价期日，估价对象抵押权未见登记。未设定租赁等其他他项权利。</v>
      </c>
    </row>
    <row r="56" spans="1:2">
      <c r="A56" s="2899" t="s">
        <v>2683</v>
      </c>
      <c r="B56" s="2900" t="str">
        <f>'预评函-3'!A3</f>
        <v>2.基础设施条件：估价对象实际开发程度为红线外七通、宗地红线内；本次评估设定开发程度为红线外七通、宗地红线内场地。</v>
      </c>
    </row>
    <row r="57" spans="1:2">
      <c r="A57" s="2899" t="s">
        <v>2684</v>
      </c>
      <c r="B57" s="2900" t="str">
        <f>'预评函-3'!A4</f>
        <v>3.估价规划限制条件：详见《建设工程规划许可证》[]、《出让合同》[]。</v>
      </c>
    </row>
    <row r="58" spans="1:2" s="2914" customFormat="1" ht="15" thickBot="1">
      <c r="A58" s="2921" t="s">
        <v>2733</v>
      </c>
      <c r="B58" s="2922" t="str">
        <f>'预评函-3'!A5</f>
        <v>4.影响价格的其他限定条件：无。</v>
      </c>
    </row>
    <row r="59" spans="1:2" ht="15" thickTop="1">
      <c r="A59" s="2910" t="s">
        <v>2685</v>
      </c>
      <c r="B59" s="2911" t="str">
        <f>'预评函-3'!A8</f>
        <v>2.本次评估设定估价对象宗地权属无争议，未被查封或者以其他形式限制其房地产权利，未设定抵押权等他项权利，不涉及第三方权利义务。</v>
      </c>
    </row>
    <row r="60" spans="1:2">
      <c r="A60" s="2899" t="s">
        <v>2686</v>
      </c>
      <c r="B60" s="2900" t="str">
        <f>'预评函-3'!A9</f>
        <v>——</v>
      </c>
    </row>
    <row r="61" spans="1:2">
      <c r="A61" s="2899" t="s">
        <v>2688</v>
      </c>
      <c r="B61" s="2900" t="str">
        <f>'预评函-3'!A10</f>
        <v>——</v>
      </c>
    </row>
    <row r="62" spans="1:2">
      <c r="A62" s="2899" t="s">
        <v>2687</v>
      </c>
      <c r="B62" s="2900" t="str">
        <f>'预评函-3'!A11</f>
        <v>——</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v>
      </c>
    </row>
    <row r="66" spans="1:2">
      <c r="A66" s="2899" t="s">
        <v>2692</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陈颖</v>
      </c>
    </row>
    <row r="70" spans="1:2">
      <c r="A70" s="2899" t="s">
        <v>2694</v>
      </c>
      <c r="B70" s="2906">
        <f ca="1">'预评函-3'!B20</f>
        <v>2004110096</v>
      </c>
    </row>
    <row r="71" spans="1:2">
      <c r="A71" s="2899" t="s">
        <v>2695</v>
      </c>
      <c r="B71" s="2900" t="str">
        <f>'预评函-3'!A21</f>
        <v>杨红英</v>
      </c>
    </row>
    <row r="72" spans="1:2" s="2914" customFormat="1" ht="15" thickBot="1">
      <c r="A72" s="2921" t="s">
        <v>2695</v>
      </c>
      <c r="B72" s="2927">
        <f>'预评函-3'!B21</f>
        <v>2004110128</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324" t="str">
        <f>IF(B10="北京市","北京市",C10)&amp;F10&amp;B16&amp;"国有建设用地使用权"&amp;B9&amp;"预评估"</f>
        <v>北京市出让国有建设用地使用权市场价格预评估</v>
      </c>
      <c r="C1" s="3325"/>
      <c r="D1" s="3325"/>
      <c r="E1" s="3325"/>
      <c r="F1" s="3325"/>
      <c r="G1" s="3325"/>
      <c r="H1" s="3325"/>
      <c r="I1" s="3326"/>
      <c r="J1" s="1692"/>
      <c r="K1" s="2476"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6"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43257</v>
      </c>
      <c r="C3" s="1661" t="s">
        <v>1998</v>
      </c>
      <c r="D3" s="1660">
        <v>43230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2981</v>
      </c>
      <c r="C4" s="1844">
        <f ca="1">SUMIF(土地估价师,B4,估价师及机构信息!E3:E24)</f>
        <v>2004110096</v>
      </c>
      <c r="D4" s="1841" t="s">
        <v>2982</v>
      </c>
      <c r="E4" s="1844">
        <f>SUMIF(土地估价师,D4,估价师及机构信息!E3:E24)</f>
        <v>2004110128</v>
      </c>
      <c r="F4" s="1841" t="s">
        <v>952</v>
      </c>
      <c r="G4" s="1844">
        <f>SUMIF(土地估价师,F4,估价师及机构信息!E3:E24)</f>
        <v>0</v>
      </c>
      <c r="H4" s="1841" t="s">
        <v>952</v>
      </c>
      <c r="I4" s="1844">
        <f>SUMIF(土地估价师,H4,估价师及机构信息!E3:E24)</f>
        <v>0</v>
      </c>
      <c r="J4" s="1692"/>
      <c r="K4" s="2476" t="str">
        <f>IF(AND(F4="——",H4="——"),B4&amp;"、"&amp;D4,IF(AND(F4&lt;&gt;"——",H4="——"),B4&amp;"、"&amp;D4&amp;"、"&amp;F4,B4&amp;"、"&amp;D4&amp;"、"&amp;F4&amp;"、"&amp;H4))</f>
        <v>陈颖、杨红英</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2983</v>
      </c>
      <c r="C8" s="1669"/>
      <c r="D8" s="3330"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2984</v>
      </c>
      <c r="C9" s="1673"/>
      <c r="D9" s="3331"/>
      <c r="E9" s="1672"/>
      <c r="F9" s="1745"/>
      <c r="G9" s="1740"/>
      <c r="H9" s="1740"/>
      <c r="I9" s="1741"/>
      <c r="J9" s="1692"/>
      <c r="K9" s="1772"/>
      <c r="L9" s="1721"/>
      <c r="M9" s="1721"/>
      <c r="N9" s="1692"/>
      <c r="O9" s="1693"/>
      <c r="P9" s="1692"/>
      <c r="Q9" s="1692"/>
      <c r="R9" s="1692"/>
      <c r="S9" s="1692"/>
      <c r="T9" s="1692"/>
      <c r="U9" s="1692"/>
    </row>
    <row r="10" spans="1:21" ht="15" thickTop="1">
      <c r="A10" s="1742" t="s">
        <v>2002</v>
      </c>
      <c r="B10" s="3179"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327"/>
      <c r="C12" s="3328"/>
      <c r="D12" s="3329"/>
      <c r="E12" s="1697" t="s">
        <v>2064</v>
      </c>
      <c r="F12" s="3345" t="s">
        <v>2891</v>
      </c>
      <c r="G12" s="3346"/>
      <c r="H12" s="3346"/>
      <c r="I12" s="3347"/>
      <c r="J12" s="1692"/>
      <c r="K12" s="1772"/>
      <c r="L12" s="1721"/>
      <c r="M12" s="1721"/>
      <c r="N12" s="1692"/>
      <c r="O12" s="1693"/>
      <c r="P12" s="1692"/>
      <c r="Q12" s="1692"/>
      <c r="R12" s="1692"/>
      <c r="S12" s="1692"/>
      <c r="T12" s="1692"/>
      <c r="U12" s="1692"/>
    </row>
    <row r="13" spans="1:21">
      <c r="A13" s="1685" t="s">
        <v>2062</v>
      </c>
      <c r="B13" s="3327"/>
      <c r="C13" s="3328"/>
      <c r="D13" s="3329"/>
      <c r="E13" s="1697" t="s">
        <v>2064</v>
      </c>
      <c r="F13" s="3345" t="s">
        <v>2892</v>
      </c>
      <c r="G13" s="3346"/>
      <c r="H13" s="3346"/>
      <c r="I13" s="3347"/>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2986</v>
      </c>
      <c r="C16" s="1697" t="s">
        <v>1951</v>
      </c>
      <c r="D16" s="2667" t="s">
        <v>1952</v>
      </c>
      <c r="E16" s="1720"/>
      <c r="F16" s="1720" t="s">
        <v>2987</v>
      </c>
      <c r="G16" s="1720"/>
      <c r="H16" s="1720" t="s">
        <v>2988</v>
      </c>
      <c r="I16" s="1684" t="s">
        <v>1957</v>
      </c>
      <c r="J16" s="1692"/>
      <c r="K16" s="2477" t="str">
        <f>IF(D17="","",D16&amp;TEXT(D17,"yyyy年m月d日;;"))</f>
        <v/>
      </c>
      <c r="L16" s="1697" t="str">
        <f>IF(OR(K16="",M16=""),"","、")</f>
        <v/>
      </c>
      <c r="M16" s="2477" t="str">
        <f>IF(E17="","",E16&amp;TEXT(E17,"yyyy年m月d日;;"))</f>
        <v/>
      </c>
      <c r="N16" s="1697" t="str">
        <f>IF(OR(M16="",O16=""),"","、")</f>
        <v/>
      </c>
      <c r="O16" s="2477" t="str">
        <f>IF(F17="","",F16&amp;TEXT(F17,"yyyy年m月d日;;"))</f>
        <v>地上办公2080年1月1日</v>
      </c>
      <c r="P16" s="1697" t="str">
        <f>IF(OR(O16="",Q16=""),"","、")</f>
        <v/>
      </c>
      <c r="Q16" s="2477" t="str">
        <f>IF(G17="","",G16&amp;TEXT(G17,"yyyy年m月d日;;"))</f>
        <v/>
      </c>
      <c r="R16" s="1697" t="str">
        <f>IF(OR(Q16="",S16=""),"","、")</f>
        <v/>
      </c>
      <c r="S16" s="2477" t="str">
        <f>IF(H17="","",H16&amp;TEXT(H17,"yyyy年m月d日;;"))</f>
        <v>地下仓储2080年1月1日</v>
      </c>
      <c r="T16" s="1697" t="str">
        <f>IF(OR(S16="",U16=""),"","、")</f>
        <v/>
      </c>
      <c r="U16" s="2477" t="str">
        <f>IF(I17="","",I16&amp;TEXT(I17,"yyyy年m月d日;;"))</f>
        <v/>
      </c>
    </row>
    <row r="17" spans="1:21">
      <c r="A17" s="1761"/>
      <c r="B17" s="1680"/>
      <c r="C17" s="1681" t="s">
        <v>1958</v>
      </c>
      <c r="D17" s="1698"/>
      <c r="E17" s="1698"/>
      <c r="F17" s="1698">
        <v>65746</v>
      </c>
      <c r="G17" s="1698"/>
      <c r="H17" s="1698">
        <v>65746</v>
      </c>
      <c r="I17" s="1698"/>
      <c r="J17" s="1692"/>
      <c r="K17" s="2476" t="str">
        <f>CONCATENATE(K16,L16,M16,N16,O16,P16,Q16,R16,S16,T16,,U16)</f>
        <v>地上办公2080年1月1日地下仓储2080年1月1日</v>
      </c>
      <c r="L17" s="1721"/>
      <c r="M17" s="1721"/>
      <c r="N17" s="1692"/>
      <c r="O17" s="1693"/>
      <c r="P17" s="1692"/>
      <c r="Q17" s="1692"/>
      <c r="R17" s="1692"/>
      <c r="S17" s="1692"/>
      <c r="T17" s="1692"/>
      <c r="U17" s="1692"/>
    </row>
    <row r="18" spans="1:21">
      <c r="A18" s="1761"/>
      <c r="B18" s="1680"/>
      <c r="C18" s="1681" t="s">
        <v>1959</v>
      </c>
      <c r="D18" s="1682"/>
      <c r="E18" s="1682"/>
      <c r="F18" s="1682">
        <v>50</v>
      </c>
      <c r="G18" s="1682"/>
      <c r="H18" s="1682">
        <v>50</v>
      </c>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50</v>
      </c>
      <c r="G19" s="1683" t="str">
        <f>IF(B16="出让",IF(G17="","",ROUNDDOWN(MIN((G17-$D$3)/365,G18),2)),G18)</f>
        <v/>
      </c>
      <c r="H19" s="1683">
        <f>IF(B16="出让",IF(H17="","",ROUNDDOWN(MIN((H17-$D$3)/365,H18),2)),H18)</f>
        <v>50</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42"/>
      <c r="E20" s="3343"/>
      <c r="F20" s="3343"/>
      <c r="G20" s="3343"/>
      <c r="H20" s="3343"/>
      <c r="I20" s="3344"/>
      <c r="J20" s="1692"/>
      <c r="K20" s="1772"/>
      <c r="L20" s="1721"/>
      <c r="M20" s="1721"/>
      <c r="N20" s="1692"/>
      <c r="O20" s="1693"/>
      <c r="P20" s="1692"/>
      <c r="Q20" s="1692"/>
      <c r="R20" s="1692"/>
      <c r="S20" s="1692"/>
      <c r="T20" s="1692"/>
      <c r="U20" s="1692"/>
    </row>
    <row r="21" spans="1:21">
      <c r="A21" s="1761" t="s">
        <v>1961</v>
      </c>
      <c r="B21" s="1762" t="s">
        <v>1962</v>
      </c>
      <c r="C21" s="1757">
        <f>'数据-汇总表'!E3</f>
        <v>10000</v>
      </c>
      <c r="D21" s="1758" t="s">
        <v>1963</v>
      </c>
      <c r="E21" s="3332" t="s">
        <v>2001</v>
      </c>
      <c r="F21" s="3333"/>
      <c r="G21" s="3333"/>
      <c r="H21" s="3333"/>
      <c r="I21" s="3334"/>
      <c r="J21" s="1692"/>
      <c r="K21" s="1772"/>
      <c r="L21" s="1721"/>
      <c r="M21" s="1721"/>
      <c r="N21" s="1692"/>
      <c r="O21" s="1693"/>
      <c r="P21" s="1692"/>
      <c r="Q21" s="1692"/>
      <c r="R21" s="1692"/>
      <c r="S21" s="1692"/>
      <c r="T21" s="1692"/>
      <c r="U21" s="1692"/>
    </row>
    <row r="22" spans="1:21">
      <c r="A22" s="3176" t="s">
        <v>952</v>
      </c>
      <c r="B22" s="1659" t="s">
        <v>1964</v>
      </c>
      <c r="C22" s="1684">
        <f>'数据-汇总表'!D3</f>
        <v>2079.0700000000002</v>
      </c>
      <c r="D22" s="1685" t="s">
        <v>1963</v>
      </c>
      <c r="E22" s="3332" t="s">
        <v>2893</v>
      </c>
      <c r="F22" s="3333"/>
      <c r="G22" s="3333"/>
      <c r="H22" s="3333"/>
      <c r="I22" s="3334"/>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35" t="s">
        <v>1969</v>
      </c>
      <c r="C24" s="3336"/>
      <c r="D24" s="3337" t="s">
        <v>1970</v>
      </c>
      <c r="E24" s="3338"/>
      <c r="F24" s="1706" t="s">
        <v>1971</v>
      </c>
      <c r="G24" s="1692"/>
      <c r="H24" s="1692"/>
      <c r="I24" s="1705"/>
      <c r="J24" s="1692"/>
      <c r="K24" s="3323"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32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32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2"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3"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3"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4" t="s">
        <v>1979</v>
      </c>
      <c r="E30" s="1716"/>
      <c r="F30" s="1687"/>
      <c r="G30" s="1740"/>
      <c r="H30" s="1740"/>
      <c r="I30" s="1741"/>
      <c r="J30" s="1692"/>
      <c r="K30" s="1772"/>
      <c r="L30" s="1721"/>
      <c r="M30" s="1721"/>
      <c r="N30" s="1692"/>
      <c r="O30" s="1693"/>
      <c r="P30" s="1692"/>
      <c r="Q30" s="1692"/>
      <c r="R30" s="1692"/>
      <c r="S30" s="1692"/>
      <c r="T30" s="1692"/>
      <c r="U30" s="1692"/>
    </row>
    <row r="31" spans="1:21" ht="15" thickTop="1">
      <c r="A31" s="3350" t="s">
        <v>2004</v>
      </c>
      <c r="B31" s="1762" t="s">
        <v>2005</v>
      </c>
      <c r="C31" s="3348" t="s">
        <v>3008</v>
      </c>
      <c r="D31" s="3349"/>
      <c r="E31" s="1692"/>
      <c r="F31" s="1692"/>
      <c r="G31" s="1692"/>
      <c r="H31" s="1692"/>
      <c r="I31" s="1705"/>
      <c r="J31" s="1692"/>
      <c r="K31" s="2479"/>
      <c r="L31" s="1692"/>
      <c r="M31" s="1692"/>
      <c r="N31" s="1692"/>
      <c r="O31" s="1692"/>
      <c r="P31" s="1692"/>
      <c r="Q31" s="1692"/>
      <c r="R31" s="1692"/>
      <c r="S31" s="1692"/>
      <c r="T31" s="1692"/>
      <c r="U31" s="1692"/>
    </row>
    <row r="32" spans="1:21">
      <c r="A32" s="3350"/>
      <c r="B32" s="1659" t="s">
        <v>2006</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350"/>
      <c r="B33" s="1659" t="s">
        <v>2007</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351"/>
      <c r="B34" s="1659" t="s">
        <v>2008</v>
      </c>
      <c r="C34" s="3352"/>
      <c r="D34" s="3353"/>
      <c r="E34" s="1692"/>
      <c r="F34" s="1692"/>
      <c r="G34" s="1692"/>
      <c r="H34" s="1692"/>
      <c r="I34" s="1705"/>
      <c r="J34" s="1692"/>
      <c r="K34" s="2479"/>
      <c r="L34" s="1692"/>
      <c r="M34" s="1692"/>
      <c r="N34" s="1692"/>
      <c r="O34" s="1692"/>
      <c r="P34" s="1692"/>
      <c r="Q34" s="1692"/>
      <c r="R34" s="1692"/>
      <c r="S34" s="1692"/>
      <c r="T34" s="1692"/>
      <c r="U34" s="1692"/>
    </row>
    <row r="35" spans="1:21">
      <c r="A35" s="3354" t="s">
        <v>847</v>
      </c>
      <c r="B35" s="1720"/>
      <c r="C35" s="1774" t="str">
        <f>IF(B35="场地平整","——","具体情况：")</f>
        <v>具体情况：</v>
      </c>
      <c r="D35" s="3356"/>
      <c r="E35" s="3357"/>
      <c r="F35" s="3357"/>
      <c r="G35" s="3357"/>
      <c r="H35" s="3357"/>
      <c r="I35" s="3358"/>
      <c r="J35" s="1692"/>
      <c r="K35" s="1773"/>
      <c r="L35" s="1721"/>
      <c r="M35" s="1721"/>
      <c r="N35" s="1692"/>
      <c r="O35" s="1693"/>
      <c r="P35" s="1692"/>
      <c r="Q35" s="1692"/>
      <c r="R35" s="1692"/>
      <c r="S35" s="1692"/>
      <c r="T35" s="1692"/>
      <c r="U35" s="1692"/>
    </row>
    <row r="36" spans="1:21">
      <c r="A36" s="3350"/>
      <c r="B36" s="3359" t="s">
        <v>2057</v>
      </c>
      <c r="C36" s="3360"/>
      <c r="D36" s="1790"/>
      <c r="E36" s="3361"/>
      <c r="F36" s="3361"/>
      <c r="G36" s="1685" t="str">
        <f>IF(B35="场地未平整","估价结果处理","")</f>
        <v/>
      </c>
      <c r="H36" s="3362"/>
      <c r="I36" s="3362"/>
      <c r="J36" s="1692"/>
      <c r="K36" s="1773"/>
      <c r="L36" s="1721"/>
      <c r="M36" s="1721"/>
      <c r="N36" s="1692"/>
      <c r="O36" s="1693"/>
      <c r="P36" s="1692"/>
      <c r="Q36" s="1692"/>
      <c r="R36" s="1692"/>
      <c r="S36" s="1692"/>
      <c r="T36" s="1692"/>
      <c r="U36" s="1692"/>
    </row>
    <row r="37" spans="1:21" ht="28.5">
      <c r="A37" s="3350"/>
      <c r="B37" s="333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350"/>
      <c r="B38" s="3340"/>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351"/>
      <c r="B39" s="334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3012</v>
      </c>
      <c r="C40" s="1688" t="s">
        <v>3013</v>
      </c>
      <c r="D40" s="1688" t="s">
        <v>3014</v>
      </c>
      <c r="E40" s="1688" t="s">
        <v>3015</v>
      </c>
      <c r="F40" s="1688" t="s">
        <v>3016</v>
      </c>
      <c r="G40" s="1688" t="s">
        <v>3017</v>
      </c>
      <c r="H40" s="1688" t="s">
        <v>3018</v>
      </c>
      <c r="I40" s="1705"/>
      <c r="J40" s="1692"/>
      <c r="K40" s="1728">
        <f>COUNTIF(B40:H40,"——")</f>
        <v>0</v>
      </c>
      <c r="L40" s="1697" t="s">
        <v>1981</v>
      </c>
      <c r="M40" s="1694" t="s">
        <v>1982</v>
      </c>
      <c r="N40" s="1694" t="s">
        <v>1983</v>
      </c>
      <c r="O40" s="1694" t="s">
        <v>1984</v>
      </c>
      <c r="P40" s="1694" t="s">
        <v>1985</v>
      </c>
      <c r="Q40" s="1694" t="s">
        <v>1986</v>
      </c>
      <c r="R40" s="1694" t="s">
        <v>1987</v>
      </c>
      <c r="S40" s="3322" t="s">
        <v>1988</v>
      </c>
      <c r="T40" s="1729" t="str">
        <f>NUMBERSTRING(7-K40,1)&amp;"通"</f>
        <v>七通</v>
      </c>
      <c r="U40" s="1692"/>
    </row>
    <row r="41" spans="1:21">
      <c r="A41" s="1661"/>
      <c r="B41" s="3355" t="s">
        <v>1722</v>
      </c>
      <c r="C41" s="3355"/>
      <c r="D41" s="3355"/>
      <c r="E41" s="3355"/>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322"/>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1156</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3009</v>
      </c>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BJ13" activePane="bottomRight" state="frozen"/>
      <selection pane="topRight" activeCell="E1" sqref="E1"/>
      <selection pane="bottomLeft" activeCell="A12" sqref="A12"/>
      <selection pane="bottomRight" activeCell="BW13" sqref="BW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2079.0700000000002</v>
      </c>
      <c r="B3" s="21">
        <f>IF(C3="否",G5-AT5,G5)</f>
        <v>10000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80">
        <f>A3</f>
        <v>2079.0700000000002</v>
      </c>
      <c r="AZ3" s="20">
        <f>B3</f>
        <v>10000</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6"/>
      <c r="AT8" s="2327"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0" t="s">
        <v>2990</v>
      </c>
      <c r="J9" s="49"/>
      <c r="K9" s="3040"/>
      <c r="L9" s="49"/>
      <c r="M9" s="3040"/>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8"/>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0" t="s">
        <v>1678</v>
      </c>
      <c r="J10" s="49"/>
      <c r="K10" s="3042"/>
      <c r="L10" s="49"/>
      <c r="M10" s="3042"/>
      <c r="N10" s="49"/>
      <c r="O10" s="64"/>
      <c r="P10" s="49"/>
      <c r="Q10" s="64"/>
      <c r="R10" s="49"/>
      <c r="S10" s="64"/>
      <c r="T10" s="49"/>
      <c r="U10" s="64"/>
      <c r="V10" s="49"/>
      <c r="W10" s="64"/>
      <c r="X10" s="49"/>
      <c r="Y10" s="64"/>
      <c r="Z10" s="49"/>
      <c r="AA10" s="64"/>
      <c r="AB10" s="49"/>
      <c r="AC10" s="53"/>
      <c r="AD10" s="2313" t="s">
        <v>2320</v>
      </c>
      <c r="AE10" s="2335"/>
      <c r="AF10" s="2313" t="s">
        <v>2320</v>
      </c>
      <c r="AG10" s="2335"/>
      <c r="AH10" s="2313" t="s">
        <v>2321</v>
      </c>
      <c r="AI10" s="2335"/>
      <c r="AJ10" s="24" t="s">
        <v>2334</v>
      </c>
      <c r="AK10" s="2332"/>
      <c r="AL10" s="2313" t="s">
        <v>2322</v>
      </c>
      <c r="AM10" s="2314"/>
      <c r="AN10" s="24" t="s">
        <v>198</v>
      </c>
      <c r="AO10" s="59"/>
      <c r="AP10" s="1185" t="s">
        <v>199</v>
      </c>
      <c r="AQ10" s="1187"/>
      <c r="AR10" s="1185" t="s">
        <v>199</v>
      </c>
      <c r="AS10" s="1187"/>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1"/>
      <c r="J11" s="69"/>
      <c r="K11" s="3041"/>
      <c r="L11" s="69"/>
      <c r="M11" s="68"/>
      <c r="N11" s="69"/>
      <c r="O11" s="68"/>
      <c r="P11" s="69"/>
      <c r="Q11" s="68"/>
      <c r="R11" s="69"/>
      <c r="S11" s="68"/>
      <c r="T11" s="69"/>
      <c r="U11" s="68"/>
      <c r="V11" s="69"/>
      <c r="W11" s="68"/>
      <c r="X11" s="69"/>
      <c r="Y11" s="68"/>
      <c r="Z11" s="69"/>
      <c r="AA11" s="68"/>
      <c r="AB11" s="69"/>
      <c r="AC11" s="53"/>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5" t="s">
        <v>2989</v>
      </c>
      <c r="B13" s="3035"/>
      <c r="C13" s="3035"/>
      <c r="D13" s="3036"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9">
        <v>10000</v>
      </c>
      <c r="J13" s="3039"/>
      <c r="K13" s="3039"/>
      <c r="L13" s="3039"/>
      <c r="M13" s="3039"/>
      <c r="N13" s="81"/>
      <c r="O13" s="81"/>
      <c r="P13" s="81"/>
      <c r="Q13" s="81"/>
      <c r="R13" s="81"/>
      <c r="S13" s="81"/>
      <c r="T13" s="81"/>
      <c r="U13" s="81"/>
      <c r="V13" s="81"/>
      <c r="W13" s="81"/>
      <c r="X13" s="81"/>
      <c r="Y13" s="81"/>
      <c r="Z13" s="81"/>
      <c r="AA13" s="81"/>
      <c r="AB13" s="81"/>
      <c r="AC13" s="25">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5"/>
      <c r="B14" s="3035"/>
      <c r="C14" s="3037"/>
      <c r="D14" s="3036"/>
      <c r="E14" s="25">
        <f t="shared" si="6"/>
        <v>0</v>
      </c>
      <c r="F14" s="79"/>
      <c r="G14" s="80">
        <f t="shared" si="7"/>
        <v>0</v>
      </c>
      <c r="H14" s="31">
        <f t="shared" si="8"/>
        <v>0</v>
      </c>
      <c r="I14" s="3039"/>
      <c r="J14" s="3039"/>
      <c r="K14" s="3039"/>
      <c r="L14" s="3039"/>
      <c r="M14" s="3039"/>
      <c r="N14" s="81"/>
      <c r="O14" s="81"/>
      <c r="P14" s="81"/>
      <c r="Q14" s="81"/>
      <c r="R14" s="81"/>
      <c r="S14" s="81"/>
      <c r="T14" s="81"/>
      <c r="U14" s="81"/>
      <c r="V14" s="81"/>
      <c r="W14" s="81"/>
      <c r="X14" s="81"/>
      <c r="Y14" s="81"/>
      <c r="Z14" s="81"/>
      <c r="AA14" s="81"/>
      <c r="AB14" s="81"/>
      <c r="AC14" s="25">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5"/>
      <c r="B15" s="3035"/>
      <c r="C15" s="3037"/>
      <c r="D15" s="3036"/>
      <c r="E15" s="25">
        <f t="shared" si="6"/>
        <v>0</v>
      </c>
      <c r="F15" s="79"/>
      <c r="G15" s="80">
        <f t="shared" si="7"/>
        <v>0</v>
      </c>
      <c r="H15" s="31">
        <f t="shared" si="8"/>
        <v>0</v>
      </c>
      <c r="I15" s="3039"/>
      <c r="J15" s="3039"/>
      <c r="K15" s="3039"/>
      <c r="L15" s="3039"/>
      <c r="M15" s="3039"/>
      <c r="N15" s="81"/>
      <c r="O15" s="81"/>
      <c r="P15" s="81"/>
      <c r="Q15" s="81"/>
      <c r="R15" s="81"/>
      <c r="S15" s="81"/>
      <c r="T15" s="81"/>
      <c r="U15" s="81"/>
      <c r="V15" s="81"/>
      <c r="W15" s="81"/>
      <c r="X15" s="81"/>
      <c r="Y15" s="81"/>
      <c r="Z15" s="81"/>
      <c r="AA15" s="81"/>
      <c r="AB15" s="81"/>
      <c r="AC15" s="25">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5"/>
      <c r="B16" s="3035"/>
      <c r="C16" s="3037"/>
      <c r="D16" s="3036"/>
      <c r="E16" s="25">
        <f t="shared" si="6"/>
        <v>0</v>
      </c>
      <c r="F16" s="79"/>
      <c r="G16" s="80">
        <f t="shared" si="7"/>
        <v>0</v>
      </c>
      <c r="H16" s="31">
        <f t="shared" si="8"/>
        <v>0</v>
      </c>
      <c r="I16" s="3039"/>
      <c r="J16" s="3039"/>
      <c r="K16" s="3039"/>
      <c r="L16" s="3039"/>
      <c r="M16" s="3039"/>
      <c r="N16" s="81"/>
      <c r="O16" s="81"/>
      <c r="P16" s="81"/>
      <c r="Q16" s="81"/>
      <c r="R16" s="81"/>
      <c r="S16" s="81"/>
      <c r="T16" s="81"/>
      <c r="U16" s="81"/>
      <c r="V16" s="81"/>
      <c r="W16" s="81"/>
      <c r="X16" s="81"/>
      <c r="Y16" s="81"/>
      <c r="Z16" s="81"/>
      <c r="AA16" s="81"/>
      <c r="AB16" s="81"/>
      <c r="AC16" s="25">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5"/>
      <c r="B17" s="3035"/>
      <c r="C17" s="3037"/>
      <c r="D17" s="3036"/>
      <c r="E17" s="25">
        <f t="shared" si="6"/>
        <v>0</v>
      </c>
      <c r="F17" s="79"/>
      <c r="G17" s="80">
        <f t="shared" si="7"/>
        <v>0</v>
      </c>
      <c r="H17" s="31">
        <f t="shared" si="8"/>
        <v>0</v>
      </c>
      <c r="I17" s="3039"/>
      <c r="J17" s="3039"/>
      <c r="K17" s="3039"/>
      <c r="L17" s="3039"/>
      <c r="M17" s="3039"/>
      <c r="N17" s="81"/>
      <c r="O17" s="81"/>
      <c r="P17" s="81"/>
      <c r="Q17" s="81"/>
      <c r="R17" s="81"/>
      <c r="S17" s="81"/>
      <c r="T17" s="81"/>
      <c r="U17" s="81"/>
      <c r="V17" s="81"/>
      <c r="W17" s="81"/>
      <c r="X17" s="81"/>
      <c r="Y17" s="81"/>
      <c r="Z17" s="81"/>
      <c r="AA17" s="81"/>
      <c r="AB17" s="81"/>
      <c r="AC17" s="25">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8"/>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8">
        <f t="shared" ref="AV21:AV112" si="37">A21</f>
        <v>0</v>
      </c>
      <c r="AW21" s="1978">
        <f t="shared" ref="AW21:AW112" si="38">B21</f>
        <v>0</v>
      </c>
      <c r="AX21" s="19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8">
        <f t="shared" si="37"/>
        <v>0</v>
      </c>
      <c r="AW22" s="1978">
        <f t="shared" si="38"/>
        <v>0</v>
      </c>
      <c r="AX22" s="19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8">
        <f t="shared" si="37"/>
        <v>0</v>
      </c>
      <c r="AW23" s="1978">
        <f t="shared" si="38"/>
        <v>0</v>
      </c>
      <c r="AX23" s="19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8">
        <f t="shared" si="37"/>
        <v>0</v>
      </c>
      <c r="AW24" s="1978">
        <f t="shared" si="38"/>
        <v>0</v>
      </c>
      <c r="AX24" s="19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8">
        <f t="shared" si="37"/>
        <v>0</v>
      </c>
      <c r="AW25" s="1978">
        <f t="shared" si="38"/>
        <v>0</v>
      </c>
      <c r="AX25" s="19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8">
        <f t="shared" si="37"/>
        <v>0</v>
      </c>
      <c r="AW26" s="1978">
        <f t="shared" si="38"/>
        <v>0</v>
      </c>
      <c r="AX26" s="19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8">
        <f t="shared" si="37"/>
        <v>0</v>
      </c>
      <c r="AW27" s="1978">
        <f t="shared" si="38"/>
        <v>0</v>
      </c>
      <c r="AX27" s="19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8">
        <f t="shared" si="37"/>
        <v>0</v>
      </c>
      <c r="AW28" s="1978">
        <f t="shared" si="38"/>
        <v>0</v>
      </c>
      <c r="AX28" s="19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8">
        <f t="shared" si="37"/>
        <v>0</v>
      </c>
      <c r="AW29" s="1978">
        <f t="shared" si="38"/>
        <v>0</v>
      </c>
      <c r="AX29" s="19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8">
        <f t="shared" si="37"/>
        <v>0</v>
      </c>
      <c r="AW30" s="1978">
        <f t="shared" si="38"/>
        <v>0</v>
      </c>
      <c r="AX30" s="19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8">
        <f t="shared" si="37"/>
        <v>0</v>
      </c>
      <c r="AW31" s="1978">
        <f t="shared" si="38"/>
        <v>0</v>
      </c>
      <c r="AX31" s="19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8">
        <f t="shared" si="37"/>
        <v>0</v>
      </c>
      <c r="AW32" s="1978">
        <f t="shared" si="38"/>
        <v>0</v>
      </c>
      <c r="AX32" s="19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8">
        <f t="shared" si="37"/>
        <v>0</v>
      </c>
      <c r="AW33" s="1978">
        <f t="shared" si="38"/>
        <v>0</v>
      </c>
      <c r="AX33" s="19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8">
        <f t="shared" si="37"/>
        <v>0</v>
      </c>
      <c r="AW34" s="1978">
        <f t="shared" si="38"/>
        <v>0</v>
      </c>
      <c r="AX34" s="19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8">
        <f t="shared" si="37"/>
        <v>0</v>
      </c>
      <c r="AW35" s="1978">
        <f t="shared" si="38"/>
        <v>0</v>
      </c>
      <c r="AX35" s="19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8">
        <f t="shared" si="37"/>
        <v>0</v>
      </c>
      <c r="AW36" s="1978">
        <f t="shared" si="38"/>
        <v>0</v>
      </c>
      <c r="AX36" s="19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8">
        <f t="shared" si="37"/>
        <v>0</v>
      </c>
      <c r="AW37" s="1978">
        <f t="shared" si="38"/>
        <v>0</v>
      </c>
      <c r="AX37" s="19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8">
        <f t="shared" si="37"/>
        <v>0</v>
      </c>
      <c r="AW38" s="1978">
        <f t="shared" si="38"/>
        <v>0</v>
      </c>
      <c r="AX38" s="19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8">
        <f t="shared" si="37"/>
        <v>0</v>
      </c>
      <c r="AW39" s="1978">
        <f t="shared" si="38"/>
        <v>0</v>
      </c>
      <c r="AX39" s="19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8">
        <f t="shared" si="37"/>
        <v>0</v>
      </c>
      <c r="AW40" s="1978">
        <f t="shared" si="38"/>
        <v>0</v>
      </c>
      <c r="AX40" s="19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8">
        <f t="shared" si="37"/>
        <v>0</v>
      </c>
      <c r="AW41" s="1978">
        <f t="shared" si="38"/>
        <v>0</v>
      </c>
      <c r="AX41" s="19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8">
        <f t="shared" si="37"/>
        <v>0</v>
      </c>
      <c r="AW42" s="1978">
        <f t="shared" si="38"/>
        <v>0</v>
      </c>
      <c r="AX42" s="19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8">
        <f t="shared" si="37"/>
        <v>0</v>
      </c>
      <c r="AW43" s="1978">
        <f t="shared" si="38"/>
        <v>0</v>
      </c>
      <c r="AX43" s="19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8">
        <f t="shared" si="37"/>
        <v>0</v>
      </c>
      <c r="AW44" s="1978">
        <f t="shared" si="38"/>
        <v>0</v>
      </c>
      <c r="AX44" s="19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8">
        <f t="shared" si="37"/>
        <v>0</v>
      </c>
      <c r="AW45" s="1978">
        <f t="shared" si="38"/>
        <v>0</v>
      </c>
      <c r="AX45" s="19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8">
        <f t="shared" si="37"/>
        <v>0</v>
      </c>
      <c r="AW46" s="1978">
        <f t="shared" si="38"/>
        <v>0</v>
      </c>
      <c r="AX46" s="19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8">
        <f t="shared" si="37"/>
        <v>0</v>
      </c>
      <c r="AW47" s="1978">
        <f t="shared" si="38"/>
        <v>0</v>
      </c>
      <c r="AX47" s="19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8">
        <f t="shared" si="37"/>
        <v>0</v>
      </c>
      <c r="AW48" s="1978">
        <f t="shared" si="38"/>
        <v>0</v>
      </c>
      <c r="AX48" s="19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8">
        <f t="shared" si="37"/>
        <v>0</v>
      </c>
      <c r="AW49" s="1978">
        <f t="shared" si="38"/>
        <v>0</v>
      </c>
      <c r="AX49" s="19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8">
        <f t="shared" si="37"/>
        <v>0</v>
      </c>
      <c r="AW50" s="1978">
        <f t="shared" si="38"/>
        <v>0</v>
      </c>
      <c r="AX50" s="19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8">
        <f t="shared" si="37"/>
        <v>0</v>
      </c>
      <c r="AW51" s="1978">
        <f t="shared" si="38"/>
        <v>0</v>
      </c>
      <c r="AX51" s="19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8">
        <f t="shared" si="37"/>
        <v>0</v>
      </c>
      <c r="AW52" s="1978">
        <f t="shared" si="38"/>
        <v>0</v>
      </c>
      <c r="AX52" s="19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8">
        <f t="shared" si="37"/>
        <v>0</v>
      </c>
      <c r="AW53" s="1978">
        <f t="shared" si="38"/>
        <v>0</v>
      </c>
      <c r="AX53" s="19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8">
        <f t="shared" si="37"/>
        <v>0</v>
      </c>
      <c r="AW54" s="1978">
        <f t="shared" si="38"/>
        <v>0</v>
      </c>
      <c r="AX54" s="19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8">
        <f t="shared" si="37"/>
        <v>0</v>
      </c>
      <c r="AW55" s="1978">
        <f t="shared" si="38"/>
        <v>0</v>
      </c>
      <c r="AX55" s="19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8">
        <f t="shared" si="37"/>
        <v>0</v>
      </c>
      <c r="AW56" s="1978">
        <f t="shared" si="38"/>
        <v>0</v>
      </c>
      <c r="AX56" s="19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8">
        <f t="shared" si="37"/>
        <v>0</v>
      </c>
      <c r="AW57" s="1978">
        <f t="shared" si="38"/>
        <v>0</v>
      </c>
      <c r="AX57" s="19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8">
        <f t="shared" si="37"/>
        <v>0</v>
      </c>
      <c r="AW58" s="1978">
        <f t="shared" si="38"/>
        <v>0</v>
      </c>
      <c r="AX58" s="19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8">
        <f t="shared" si="37"/>
        <v>0</v>
      </c>
      <c r="AW59" s="1978">
        <f t="shared" si="38"/>
        <v>0</v>
      </c>
      <c r="AX59" s="19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8">
        <f t="shared" si="37"/>
        <v>0</v>
      </c>
      <c r="AW60" s="1978">
        <f t="shared" si="38"/>
        <v>0</v>
      </c>
      <c r="AX60" s="19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8">
        <f t="shared" si="37"/>
        <v>0</v>
      </c>
      <c r="AW61" s="1978">
        <f t="shared" si="38"/>
        <v>0</v>
      </c>
      <c r="AX61" s="19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8">
        <f t="shared" si="37"/>
        <v>0</v>
      </c>
      <c r="AW62" s="1978">
        <f t="shared" si="38"/>
        <v>0</v>
      </c>
      <c r="AX62" s="19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8">
        <f t="shared" si="37"/>
        <v>0</v>
      </c>
      <c r="AW63" s="1978">
        <f t="shared" si="38"/>
        <v>0</v>
      </c>
      <c r="AX63" s="19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8">
        <f t="shared" si="37"/>
        <v>0</v>
      </c>
      <c r="AW64" s="1978">
        <f t="shared" si="38"/>
        <v>0</v>
      </c>
      <c r="AX64" s="19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8">
        <f t="shared" si="37"/>
        <v>0</v>
      </c>
      <c r="AW65" s="1978">
        <f t="shared" si="38"/>
        <v>0</v>
      </c>
      <c r="AX65" s="19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8">
        <f t="shared" si="37"/>
        <v>0</v>
      </c>
      <c r="AW66" s="1978">
        <f t="shared" si="38"/>
        <v>0</v>
      </c>
      <c r="AX66" s="19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8">
        <f t="shared" si="37"/>
        <v>0</v>
      </c>
      <c r="AW67" s="1978">
        <f t="shared" si="38"/>
        <v>0</v>
      </c>
      <c r="AX67" s="19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8">
        <f t="shared" si="37"/>
        <v>0</v>
      </c>
      <c r="AW68" s="1978">
        <f t="shared" si="38"/>
        <v>0</v>
      </c>
      <c r="AX68" s="19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8">
        <f t="shared" si="37"/>
        <v>0</v>
      </c>
      <c r="AW69" s="1978">
        <f t="shared" si="38"/>
        <v>0</v>
      </c>
      <c r="AX69" s="19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8">
        <f t="shared" si="37"/>
        <v>0</v>
      </c>
      <c r="AW70" s="1978">
        <f t="shared" si="38"/>
        <v>0</v>
      </c>
      <c r="AX70" s="19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8">
        <f t="shared" si="37"/>
        <v>0</v>
      </c>
      <c r="AW71" s="1978">
        <f t="shared" si="38"/>
        <v>0</v>
      </c>
      <c r="AX71" s="19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8">
        <f t="shared" si="37"/>
        <v>0</v>
      </c>
      <c r="AW72" s="1978">
        <f t="shared" si="38"/>
        <v>0</v>
      </c>
      <c r="AX72" s="19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8">
        <f t="shared" si="37"/>
        <v>0</v>
      </c>
      <c r="AW73" s="1978">
        <f t="shared" si="38"/>
        <v>0</v>
      </c>
      <c r="AX73" s="19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8">
        <f t="shared" si="37"/>
        <v>0</v>
      </c>
      <c r="AW74" s="1978">
        <f t="shared" si="38"/>
        <v>0</v>
      </c>
      <c r="AX74" s="19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8">
        <f t="shared" si="37"/>
        <v>0</v>
      </c>
      <c r="AW75" s="1978">
        <f t="shared" si="38"/>
        <v>0</v>
      </c>
      <c r="AX75" s="19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8">
        <f t="shared" si="37"/>
        <v>0</v>
      </c>
      <c r="AW76" s="1978">
        <f t="shared" si="38"/>
        <v>0</v>
      </c>
      <c r="AX76" s="19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8">
        <f t="shared" si="37"/>
        <v>0</v>
      </c>
      <c r="AW77" s="1978">
        <f t="shared" si="38"/>
        <v>0</v>
      </c>
      <c r="AX77" s="19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8">
        <f t="shared" si="37"/>
        <v>0</v>
      </c>
      <c r="AW78" s="1978">
        <f t="shared" si="38"/>
        <v>0</v>
      </c>
      <c r="AX78" s="19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8">
        <f t="shared" si="37"/>
        <v>0</v>
      </c>
      <c r="AW79" s="1978">
        <f t="shared" si="38"/>
        <v>0</v>
      </c>
      <c r="AX79" s="19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8">
        <f t="shared" si="37"/>
        <v>0</v>
      </c>
      <c r="AW80" s="1978">
        <f t="shared" si="38"/>
        <v>0</v>
      </c>
      <c r="AX80" s="19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8">
        <f t="shared" si="37"/>
        <v>0</v>
      </c>
      <c r="AW81" s="1978">
        <f t="shared" si="38"/>
        <v>0</v>
      </c>
      <c r="AX81" s="19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8">
        <f t="shared" si="37"/>
        <v>0</v>
      </c>
      <c r="AW82" s="1978">
        <f t="shared" si="38"/>
        <v>0</v>
      </c>
      <c r="AX82" s="19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8">
        <f t="shared" si="37"/>
        <v>0</v>
      </c>
      <c r="AW83" s="1978">
        <f t="shared" si="38"/>
        <v>0</v>
      </c>
      <c r="AX83" s="19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8">
        <f t="shared" si="37"/>
        <v>0</v>
      </c>
      <c r="AW84" s="1978">
        <f t="shared" si="38"/>
        <v>0</v>
      </c>
      <c r="AX84" s="19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8">
        <f t="shared" si="37"/>
        <v>0</v>
      </c>
      <c r="AW85" s="1978">
        <f t="shared" si="38"/>
        <v>0</v>
      </c>
      <c r="AX85" s="19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8">
        <f t="shared" si="37"/>
        <v>0</v>
      </c>
      <c r="AW86" s="1978">
        <f t="shared" si="38"/>
        <v>0</v>
      </c>
      <c r="AX86" s="19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8">
        <f t="shared" si="37"/>
        <v>0</v>
      </c>
      <c r="AW87" s="1978">
        <f t="shared" si="38"/>
        <v>0</v>
      </c>
      <c r="AX87" s="19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8">
        <f t="shared" si="37"/>
        <v>0</v>
      </c>
      <c r="AW88" s="1978">
        <f t="shared" si="38"/>
        <v>0</v>
      </c>
      <c r="AX88" s="19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8">
        <f t="shared" si="37"/>
        <v>0</v>
      </c>
      <c r="AW89" s="1978">
        <f t="shared" si="38"/>
        <v>0</v>
      </c>
      <c r="AX89" s="19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8">
        <f t="shared" si="37"/>
        <v>0</v>
      </c>
      <c r="AW90" s="1978">
        <f t="shared" si="38"/>
        <v>0</v>
      </c>
      <c r="AX90" s="19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8">
        <f t="shared" si="37"/>
        <v>0</v>
      </c>
      <c r="AW91" s="1978">
        <f t="shared" si="38"/>
        <v>0</v>
      </c>
      <c r="AX91" s="19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8">
        <f t="shared" si="37"/>
        <v>0</v>
      </c>
      <c r="AW92" s="1978">
        <f t="shared" si="38"/>
        <v>0</v>
      </c>
      <c r="AX92" s="19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8">
        <f t="shared" si="37"/>
        <v>0</v>
      </c>
      <c r="AW93" s="1978">
        <f t="shared" si="38"/>
        <v>0</v>
      </c>
      <c r="AX93" s="19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8">
        <f t="shared" si="37"/>
        <v>0</v>
      </c>
      <c r="AW94" s="1978">
        <f t="shared" si="38"/>
        <v>0</v>
      </c>
      <c r="AX94" s="19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8">
        <f t="shared" si="37"/>
        <v>0</v>
      </c>
      <c r="AW95" s="1978">
        <f t="shared" si="38"/>
        <v>0</v>
      </c>
      <c r="AX95" s="19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8">
        <f t="shared" si="37"/>
        <v>0</v>
      </c>
      <c r="AW96" s="1978">
        <f t="shared" si="38"/>
        <v>0</v>
      </c>
      <c r="AX96" s="19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8">
        <f t="shared" si="37"/>
        <v>0</v>
      </c>
      <c r="AW97" s="1978">
        <f t="shared" si="38"/>
        <v>0</v>
      </c>
      <c r="AX97" s="19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8">
        <f t="shared" si="37"/>
        <v>0</v>
      </c>
      <c r="AW98" s="1978">
        <f t="shared" si="38"/>
        <v>0</v>
      </c>
      <c r="AX98" s="19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8">
        <f t="shared" si="37"/>
        <v>0</v>
      </c>
      <c r="AW99" s="1978">
        <f t="shared" si="38"/>
        <v>0</v>
      </c>
      <c r="AX99" s="19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8">
        <f t="shared" si="37"/>
        <v>0</v>
      </c>
      <c r="AW100" s="1978">
        <f t="shared" si="38"/>
        <v>0</v>
      </c>
      <c r="AX100" s="19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8">
        <f t="shared" si="37"/>
        <v>0</v>
      </c>
      <c r="AW101" s="1978">
        <f t="shared" si="38"/>
        <v>0</v>
      </c>
      <c r="AX101" s="19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8">
        <f t="shared" si="37"/>
        <v>0</v>
      </c>
      <c r="AW102" s="1978">
        <f t="shared" si="38"/>
        <v>0</v>
      </c>
      <c r="AX102" s="19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8">
        <f t="shared" si="37"/>
        <v>0</v>
      </c>
      <c r="AW103" s="1978">
        <f t="shared" si="38"/>
        <v>0</v>
      </c>
      <c r="AX103" s="19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8">
        <f t="shared" si="37"/>
        <v>0</v>
      </c>
      <c r="AW104" s="1978">
        <f t="shared" si="38"/>
        <v>0</v>
      </c>
      <c r="AX104" s="19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8">
        <f t="shared" si="37"/>
        <v>0</v>
      </c>
      <c r="AW105" s="1978">
        <f t="shared" si="38"/>
        <v>0</v>
      </c>
      <c r="AX105" s="19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8">
        <f t="shared" si="37"/>
        <v>0</v>
      </c>
      <c r="AW106" s="1978">
        <f t="shared" si="38"/>
        <v>0</v>
      </c>
      <c r="AX106" s="19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8">
        <f t="shared" si="37"/>
        <v>0</v>
      </c>
      <c r="AW107" s="1978">
        <f t="shared" si="38"/>
        <v>0</v>
      </c>
      <c r="AX107" s="19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8">
        <f t="shared" si="37"/>
        <v>0</v>
      </c>
      <c r="AW108" s="1978">
        <f t="shared" si="38"/>
        <v>0</v>
      </c>
      <c r="AX108" s="19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8">
        <f t="shared" si="37"/>
        <v>0</v>
      </c>
      <c r="AW109" s="1978">
        <f t="shared" si="38"/>
        <v>0</v>
      </c>
      <c r="AX109" s="19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8">
        <f t="shared" si="37"/>
        <v>0</v>
      </c>
      <c r="AW110" s="1978">
        <f t="shared" si="38"/>
        <v>0</v>
      </c>
      <c r="AX110" s="19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8">
        <f t="shared" si="37"/>
        <v>0</v>
      </c>
      <c r="AW111" s="1978">
        <f t="shared" si="38"/>
        <v>0</v>
      </c>
      <c r="AX111" s="19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8">
        <f t="shared" si="37"/>
        <v>0</v>
      </c>
      <c r="AW112" s="1978">
        <f t="shared" si="38"/>
        <v>0</v>
      </c>
      <c r="AX112" s="19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8">
        <f t="shared" ref="AV113:AV144" si="88">A113</f>
        <v>0</v>
      </c>
      <c r="AW113" s="1978">
        <f t="shared" ref="AW113:AW144" si="89">B113</f>
        <v>0</v>
      </c>
      <c r="AX113" s="19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8">
        <f t="shared" si="88"/>
        <v>0</v>
      </c>
      <c r="AW114" s="1978">
        <f t="shared" si="89"/>
        <v>0</v>
      </c>
      <c r="AX114" s="19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8">
        <f t="shared" si="88"/>
        <v>0</v>
      </c>
      <c r="AW115" s="1978">
        <f t="shared" si="89"/>
        <v>0</v>
      </c>
      <c r="AX115" s="19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8">
        <f t="shared" si="88"/>
        <v>0</v>
      </c>
      <c r="AW116" s="1978">
        <f t="shared" si="89"/>
        <v>0</v>
      </c>
      <c r="AX116" s="19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8">
        <f t="shared" si="88"/>
        <v>0</v>
      </c>
      <c r="AW117" s="1978">
        <f t="shared" si="89"/>
        <v>0</v>
      </c>
      <c r="AX117" s="19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8">
        <f t="shared" si="88"/>
        <v>0</v>
      </c>
      <c r="AW118" s="1978">
        <f t="shared" si="89"/>
        <v>0</v>
      </c>
      <c r="AX118" s="19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8">
        <f t="shared" si="88"/>
        <v>0</v>
      </c>
      <c r="AW119" s="1978">
        <f t="shared" si="89"/>
        <v>0</v>
      </c>
      <c r="AX119" s="19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8">
        <f t="shared" si="88"/>
        <v>0</v>
      </c>
      <c r="AW120" s="1978">
        <f t="shared" si="89"/>
        <v>0</v>
      </c>
      <c r="AX120" s="19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8">
        <f t="shared" si="88"/>
        <v>0</v>
      </c>
      <c r="AW121" s="1978">
        <f t="shared" si="89"/>
        <v>0</v>
      </c>
      <c r="AX121" s="19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8">
        <f t="shared" si="88"/>
        <v>0</v>
      </c>
      <c r="AW122" s="1978">
        <f t="shared" si="89"/>
        <v>0</v>
      </c>
      <c r="AX122" s="19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8">
        <f t="shared" si="88"/>
        <v>0</v>
      </c>
      <c r="AW123" s="1978">
        <f t="shared" si="89"/>
        <v>0</v>
      </c>
      <c r="AX123" s="19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8">
        <f t="shared" si="88"/>
        <v>0</v>
      </c>
      <c r="AW124" s="1978">
        <f t="shared" si="89"/>
        <v>0</v>
      </c>
      <c r="AX124" s="19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8">
        <f t="shared" si="88"/>
        <v>0</v>
      </c>
      <c r="AW125" s="1978">
        <f t="shared" si="89"/>
        <v>0</v>
      </c>
      <c r="AX125" s="19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8">
        <f t="shared" si="88"/>
        <v>0</v>
      </c>
      <c r="AW126" s="1978">
        <f t="shared" si="89"/>
        <v>0</v>
      </c>
      <c r="AX126" s="19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8">
        <f t="shared" si="88"/>
        <v>0</v>
      </c>
      <c r="AW127" s="1978">
        <f t="shared" si="89"/>
        <v>0</v>
      </c>
      <c r="AX127" s="19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8">
        <f t="shared" si="88"/>
        <v>0</v>
      </c>
      <c r="AW128" s="1978">
        <f t="shared" si="89"/>
        <v>0</v>
      </c>
      <c r="AX128" s="19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8">
        <f t="shared" si="88"/>
        <v>0</v>
      </c>
      <c r="AW129" s="1978">
        <f t="shared" si="89"/>
        <v>0</v>
      </c>
      <c r="AX129" s="19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8">
        <f t="shared" si="88"/>
        <v>0</v>
      </c>
      <c r="AW130" s="1978">
        <f t="shared" si="89"/>
        <v>0</v>
      </c>
      <c r="AX130" s="19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8">
        <f t="shared" si="88"/>
        <v>0</v>
      </c>
      <c r="AW131" s="1978">
        <f t="shared" si="89"/>
        <v>0</v>
      </c>
      <c r="AX131" s="19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8">
        <f t="shared" si="88"/>
        <v>0</v>
      </c>
      <c r="AW132" s="1978">
        <f t="shared" si="89"/>
        <v>0</v>
      </c>
      <c r="AX132" s="19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8">
        <f t="shared" si="88"/>
        <v>0</v>
      </c>
      <c r="AW133" s="1978">
        <f t="shared" si="89"/>
        <v>0</v>
      </c>
      <c r="AX133" s="19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8">
        <f t="shared" si="88"/>
        <v>0</v>
      </c>
      <c r="AW134" s="1978">
        <f t="shared" si="89"/>
        <v>0</v>
      </c>
      <c r="AX134" s="19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8">
        <f t="shared" si="88"/>
        <v>0</v>
      </c>
      <c r="AW135" s="1978">
        <f t="shared" si="89"/>
        <v>0</v>
      </c>
      <c r="AX135" s="19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8">
        <f t="shared" si="88"/>
        <v>0</v>
      </c>
      <c r="AW136" s="1978">
        <f t="shared" si="89"/>
        <v>0</v>
      </c>
      <c r="AX136" s="19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8">
        <f t="shared" si="88"/>
        <v>0</v>
      </c>
      <c r="AW137" s="1978">
        <f t="shared" si="89"/>
        <v>0</v>
      </c>
      <c r="AX137" s="19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8">
        <f t="shared" si="88"/>
        <v>0</v>
      </c>
      <c r="AW138" s="1978">
        <f t="shared" si="89"/>
        <v>0</v>
      </c>
      <c r="AX138" s="19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8">
        <f t="shared" si="88"/>
        <v>0</v>
      </c>
      <c r="AW139" s="1978">
        <f t="shared" si="89"/>
        <v>0</v>
      </c>
      <c r="AX139" s="19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8">
        <f t="shared" si="88"/>
        <v>0</v>
      </c>
      <c r="AW140" s="1978">
        <f t="shared" si="89"/>
        <v>0</v>
      </c>
      <c r="AX140" s="19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8">
        <f t="shared" si="88"/>
        <v>0</v>
      </c>
      <c r="AW141" s="1978">
        <f t="shared" si="89"/>
        <v>0</v>
      </c>
      <c r="AX141" s="19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8">
        <f t="shared" si="88"/>
        <v>0</v>
      </c>
      <c r="AW142" s="1978">
        <f t="shared" si="89"/>
        <v>0</v>
      </c>
      <c r="AX142" s="19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8">
        <f t="shared" si="88"/>
        <v>0</v>
      </c>
      <c r="AW143" s="1978">
        <f t="shared" si="89"/>
        <v>0</v>
      </c>
      <c r="AX143" s="19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8">
        <f t="shared" si="88"/>
        <v>0</v>
      </c>
      <c r="AW144" s="1978">
        <f t="shared" si="89"/>
        <v>0</v>
      </c>
      <c r="AX144" s="19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8">
        <f t="shared" ref="AV145:AV176" si="117">A145</f>
        <v>0</v>
      </c>
      <c r="AW145" s="1978">
        <f t="shared" ref="AW145:AW176" si="118">B145</f>
        <v>0</v>
      </c>
      <c r="AX145" s="19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8">
        <f t="shared" si="117"/>
        <v>0</v>
      </c>
      <c r="AW146" s="1978">
        <f t="shared" si="118"/>
        <v>0</v>
      </c>
      <c r="AX146" s="19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8">
        <f t="shared" si="117"/>
        <v>0</v>
      </c>
      <c r="AW147" s="1978">
        <f t="shared" si="118"/>
        <v>0</v>
      </c>
      <c r="AX147" s="19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8">
        <f t="shared" si="117"/>
        <v>0</v>
      </c>
      <c r="AW148" s="1978">
        <f t="shared" si="118"/>
        <v>0</v>
      </c>
      <c r="AX148" s="19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8">
        <f t="shared" si="117"/>
        <v>0</v>
      </c>
      <c r="AW149" s="1978">
        <f t="shared" si="118"/>
        <v>0</v>
      </c>
      <c r="AX149" s="19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8">
        <f t="shared" si="117"/>
        <v>0</v>
      </c>
      <c r="AW150" s="1978">
        <f t="shared" si="118"/>
        <v>0</v>
      </c>
      <c r="AX150" s="19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8">
        <f t="shared" si="117"/>
        <v>0</v>
      </c>
      <c r="AW151" s="1978">
        <f t="shared" si="118"/>
        <v>0</v>
      </c>
      <c r="AX151" s="19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8">
        <f t="shared" si="117"/>
        <v>0</v>
      </c>
      <c r="AW152" s="1978">
        <f t="shared" si="118"/>
        <v>0</v>
      </c>
      <c r="AX152" s="19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8">
        <f t="shared" si="117"/>
        <v>0</v>
      </c>
      <c r="AW153" s="1978">
        <f t="shared" si="118"/>
        <v>0</v>
      </c>
      <c r="AX153" s="19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8">
        <f t="shared" si="117"/>
        <v>0</v>
      </c>
      <c r="AW154" s="1978">
        <f t="shared" si="118"/>
        <v>0</v>
      </c>
      <c r="AX154" s="19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8">
        <f t="shared" si="117"/>
        <v>0</v>
      </c>
      <c r="AW155" s="1978">
        <f t="shared" si="118"/>
        <v>0</v>
      </c>
      <c r="AX155" s="19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8">
        <f t="shared" si="117"/>
        <v>0</v>
      </c>
      <c r="AW156" s="1978">
        <f t="shared" si="118"/>
        <v>0</v>
      </c>
      <c r="AX156" s="19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8">
        <f t="shared" si="117"/>
        <v>0</v>
      </c>
      <c r="AW157" s="1978">
        <f t="shared" si="118"/>
        <v>0</v>
      </c>
      <c r="AX157" s="19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8">
        <f t="shared" si="117"/>
        <v>0</v>
      </c>
      <c r="AW158" s="1978">
        <f t="shared" si="118"/>
        <v>0</v>
      </c>
      <c r="AX158" s="19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8">
        <f t="shared" si="117"/>
        <v>0</v>
      </c>
      <c r="AW159" s="1978">
        <f t="shared" si="118"/>
        <v>0</v>
      </c>
      <c r="AX159" s="19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8">
        <f t="shared" si="117"/>
        <v>0</v>
      </c>
      <c r="AW160" s="1978">
        <f t="shared" si="118"/>
        <v>0</v>
      </c>
      <c r="AX160" s="19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8">
        <f t="shared" si="117"/>
        <v>0</v>
      </c>
      <c r="AW161" s="1978">
        <f t="shared" si="118"/>
        <v>0</v>
      </c>
      <c r="AX161" s="19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8">
        <f t="shared" si="117"/>
        <v>0</v>
      </c>
      <c r="AW162" s="1978">
        <f t="shared" si="118"/>
        <v>0</v>
      </c>
      <c r="AX162" s="19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8">
        <f t="shared" si="117"/>
        <v>0</v>
      </c>
      <c r="AW163" s="1978">
        <f t="shared" si="118"/>
        <v>0</v>
      </c>
      <c r="AX163" s="19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8">
        <f t="shared" si="117"/>
        <v>0</v>
      </c>
      <c r="AW164" s="1978">
        <f t="shared" si="118"/>
        <v>0</v>
      </c>
      <c r="AX164" s="19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8">
        <f t="shared" si="117"/>
        <v>0</v>
      </c>
      <c r="AW165" s="1978">
        <f t="shared" si="118"/>
        <v>0</v>
      </c>
      <c r="AX165" s="19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8">
        <f t="shared" si="117"/>
        <v>0</v>
      </c>
      <c r="AW166" s="1978">
        <f t="shared" si="118"/>
        <v>0</v>
      </c>
      <c r="AX166" s="19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8">
        <f t="shared" si="117"/>
        <v>0</v>
      </c>
      <c r="AW167" s="1978">
        <f t="shared" si="118"/>
        <v>0</v>
      </c>
      <c r="AX167" s="19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8">
        <f t="shared" si="117"/>
        <v>0</v>
      </c>
      <c r="AW168" s="1978">
        <f t="shared" si="118"/>
        <v>0</v>
      </c>
      <c r="AX168" s="19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8">
        <f t="shared" si="117"/>
        <v>0</v>
      </c>
      <c r="AW169" s="1978">
        <f t="shared" si="118"/>
        <v>0</v>
      </c>
      <c r="AX169" s="19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8">
        <f t="shared" si="117"/>
        <v>0</v>
      </c>
      <c r="AW170" s="1978">
        <f t="shared" si="118"/>
        <v>0</v>
      </c>
      <c r="AX170" s="19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8">
        <f t="shared" si="117"/>
        <v>0</v>
      </c>
      <c r="AW171" s="1978">
        <f t="shared" si="118"/>
        <v>0</v>
      </c>
      <c r="AX171" s="19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8">
        <f t="shared" si="117"/>
        <v>0</v>
      </c>
      <c r="AW172" s="1978">
        <f t="shared" si="118"/>
        <v>0</v>
      </c>
      <c r="AX172" s="19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8">
        <f t="shared" si="117"/>
        <v>0</v>
      </c>
      <c r="AW173" s="1978">
        <f t="shared" si="118"/>
        <v>0</v>
      </c>
      <c r="AX173" s="19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8">
        <f t="shared" si="117"/>
        <v>0</v>
      </c>
      <c r="AW174" s="1978">
        <f t="shared" si="118"/>
        <v>0</v>
      </c>
      <c r="AX174" s="19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8">
        <f t="shared" si="117"/>
        <v>0</v>
      </c>
      <c r="AW175" s="1978">
        <f t="shared" si="118"/>
        <v>0</v>
      </c>
      <c r="AX175" s="19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8">
        <f t="shared" si="117"/>
        <v>0</v>
      </c>
      <c r="AW176" s="1978">
        <f t="shared" si="118"/>
        <v>0</v>
      </c>
      <c r="AX176" s="19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8">
        <f t="shared" ref="AV177:AV204" si="146">A177</f>
        <v>0</v>
      </c>
      <c r="AW177" s="1978">
        <f t="shared" ref="AW177:AW204" si="147">B177</f>
        <v>0</v>
      </c>
      <c r="AX177" s="19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8">
        <f t="shared" si="146"/>
        <v>0</v>
      </c>
      <c r="AW178" s="1978">
        <f t="shared" si="147"/>
        <v>0</v>
      </c>
      <c r="AX178" s="19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8">
        <f t="shared" si="146"/>
        <v>0</v>
      </c>
      <c r="AW179" s="1978">
        <f t="shared" si="147"/>
        <v>0</v>
      </c>
      <c r="AX179" s="19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8">
        <f t="shared" si="146"/>
        <v>0</v>
      </c>
      <c r="AW180" s="1978">
        <f t="shared" si="147"/>
        <v>0</v>
      </c>
      <c r="AX180" s="19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8">
        <f t="shared" si="146"/>
        <v>0</v>
      </c>
      <c r="AW181" s="1978">
        <f t="shared" si="147"/>
        <v>0</v>
      </c>
      <c r="AX181" s="19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8">
        <f t="shared" si="146"/>
        <v>0</v>
      </c>
      <c r="AW182" s="1978">
        <f t="shared" si="147"/>
        <v>0</v>
      </c>
      <c r="AX182" s="19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8">
        <f t="shared" si="146"/>
        <v>0</v>
      </c>
      <c r="AW183" s="1978">
        <f t="shared" si="147"/>
        <v>0</v>
      </c>
      <c r="AX183" s="19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8">
        <f t="shared" si="146"/>
        <v>0</v>
      </c>
      <c r="AW184" s="1978">
        <f t="shared" si="147"/>
        <v>0</v>
      </c>
      <c r="AX184" s="19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8">
        <f t="shared" si="146"/>
        <v>0</v>
      </c>
      <c r="AW185" s="1978">
        <f t="shared" si="147"/>
        <v>0</v>
      </c>
      <c r="AX185" s="19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8">
        <f t="shared" si="146"/>
        <v>0</v>
      </c>
      <c r="AW186" s="1978">
        <f t="shared" si="147"/>
        <v>0</v>
      </c>
      <c r="AX186" s="19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8">
        <f t="shared" si="146"/>
        <v>0</v>
      </c>
      <c r="AW187" s="1978">
        <f t="shared" si="147"/>
        <v>0</v>
      </c>
      <c r="AX187" s="19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8">
        <f t="shared" si="146"/>
        <v>0</v>
      </c>
      <c r="AW188" s="1978">
        <f t="shared" si="147"/>
        <v>0</v>
      </c>
      <c r="AX188" s="19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8">
        <f t="shared" si="146"/>
        <v>0</v>
      </c>
      <c r="AW189" s="1978">
        <f t="shared" si="147"/>
        <v>0</v>
      </c>
      <c r="AX189" s="19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8">
        <f t="shared" si="146"/>
        <v>0</v>
      </c>
      <c r="AW190" s="1978">
        <f t="shared" si="147"/>
        <v>0</v>
      </c>
      <c r="AX190" s="19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8">
        <f t="shared" si="146"/>
        <v>0</v>
      </c>
      <c r="AW191" s="1978">
        <f t="shared" si="147"/>
        <v>0</v>
      </c>
      <c r="AX191" s="19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8">
        <f t="shared" si="146"/>
        <v>0</v>
      </c>
      <c r="AW192" s="1978">
        <f t="shared" si="147"/>
        <v>0</v>
      </c>
      <c r="AX192" s="19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8">
        <f t="shared" si="146"/>
        <v>0</v>
      </c>
      <c r="AW193" s="1978">
        <f t="shared" si="147"/>
        <v>0</v>
      </c>
      <c r="AX193" s="19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8">
        <f t="shared" si="146"/>
        <v>0</v>
      </c>
      <c r="AW194" s="1978">
        <f t="shared" si="147"/>
        <v>0</v>
      </c>
      <c r="AX194" s="19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8">
        <f t="shared" si="146"/>
        <v>0</v>
      </c>
      <c r="AW195" s="1978">
        <f t="shared" si="147"/>
        <v>0</v>
      </c>
      <c r="AX195" s="19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8">
        <f t="shared" si="146"/>
        <v>0</v>
      </c>
      <c r="AW196" s="1978">
        <f t="shared" si="147"/>
        <v>0</v>
      </c>
      <c r="AX196" s="19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8">
        <f t="shared" si="146"/>
        <v>0</v>
      </c>
      <c r="AW197" s="1978">
        <f t="shared" si="147"/>
        <v>0</v>
      </c>
      <c r="AX197" s="19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8">
        <f t="shared" si="146"/>
        <v>0</v>
      </c>
      <c r="AW198" s="1978">
        <f t="shared" si="147"/>
        <v>0</v>
      </c>
      <c r="AX198" s="19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8">
        <f t="shared" si="146"/>
        <v>0</v>
      </c>
      <c r="AW199" s="1978">
        <f t="shared" si="147"/>
        <v>0</v>
      </c>
      <c r="AX199" s="19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8">
        <f t="shared" si="146"/>
        <v>0</v>
      </c>
      <c r="AW200" s="1978">
        <f t="shared" si="147"/>
        <v>0</v>
      </c>
      <c r="AX200" s="19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8">
        <f t="shared" si="146"/>
        <v>0</v>
      </c>
      <c r="AW201" s="1978">
        <f t="shared" si="147"/>
        <v>0</v>
      </c>
      <c r="AX201" s="19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8">
        <f t="shared" si="146"/>
        <v>0</v>
      </c>
      <c r="AW202" s="1978">
        <f t="shared" si="147"/>
        <v>0</v>
      </c>
      <c r="AX202" s="19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8">
        <f t="shared" si="146"/>
        <v>0</v>
      </c>
      <c r="AW203" s="1978">
        <f t="shared" si="147"/>
        <v>0</v>
      </c>
      <c r="AX203" s="19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8">
        <f t="shared" si="146"/>
        <v>0</v>
      </c>
      <c r="AW204" s="1978">
        <f t="shared" si="147"/>
        <v>0</v>
      </c>
      <c r="AX204" s="19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8">
        <f t="shared" ref="AV205:AV296" si="153">A205</f>
        <v>0</v>
      </c>
      <c r="AW205" s="1978">
        <f t="shared" ref="AW205:AW296" si="154">B205</f>
        <v>0</v>
      </c>
      <c r="AX205" s="19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8">
        <f t="shared" si="153"/>
        <v>0</v>
      </c>
      <c r="AW206" s="1978">
        <f t="shared" si="154"/>
        <v>0</v>
      </c>
      <c r="AX206" s="19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8">
        <f t="shared" si="153"/>
        <v>0</v>
      </c>
      <c r="AW207" s="1978">
        <f t="shared" si="154"/>
        <v>0</v>
      </c>
      <c r="AX207" s="19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8">
        <f t="shared" si="153"/>
        <v>0</v>
      </c>
      <c r="AW208" s="1978">
        <f t="shared" si="154"/>
        <v>0</v>
      </c>
      <c r="AX208" s="19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8">
        <f t="shared" si="153"/>
        <v>0</v>
      </c>
      <c r="AW209" s="1978">
        <f t="shared" si="154"/>
        <v>0</v>
      </c>
      <c r="AX209" s="19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8">
        <f t="shared" si="153"/>
        <v>0</v>
      </c>
      <c r="AW210" s="1978">
        <f t="shared" si="154"/>
        <v>0</v>
      </c>
      <c r="AX210" s="19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8">
        <f t="shared" si="153"/>
        <v>0</v>
      </c>
      <c r="AW211" s="1978">
        <f t="shared" si="154"/>
        <v>0</v>
      </c>
      <c r="AX211" s="19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8">
        <f t="shared" si="153"/>
        <v>0</v>
      </c>
      <c r="AW212" s="1978">
        <f t="shared" si="154"/>
        <v>0</v>
      </c>
      <c r="AX212" s="19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8">
        <f t="shared" si="153"/>
        <v>0</v>
      </c>
      <c r="AW213" s="1978">
        <f t="shared" si="154"/>
        <v>0</v>
      </c>
      <c r="AX213" s="19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8">
        <f t="shared" si="153"/>
        <v>0</v>
      </c>
      <c r="AW214" s="1978">
        <f t="shared" si="154"/>
        <v>0</v>
      </c>
      <c r="AX214" s="19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8">
        <f t="shared" si="153"/>
        <v>0</v>
      </c>
      <c r="AW215" s="1978">
        <f t="shared" si="154"/>
        <v>0</v>
      </c>
      <c r="AX215" s="19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8">
        <f t="shared" si="153"/>
        <v>0</v>
      </c>
      <c r="AW216" s="1978">
        <f t="shared" si="154"/>
        <v>0</v>
      </c>
      <c r="AX216" s="19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8">
        <f t="shared" si="153"/>
        <v>0</v>
      </c>
      <c r="AW217" s="1978">
        <f t="shared" si="154"/>
        <v>0</v>
      </c>
      <c r="AX217" s="19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8">
        <f t="shared" si="153"/>
        <v>0</v>
      </c>
      <c r="AW218" s="1978">
        <f t="shared" si="154"/>
        <v>0</v>
      </c>
      <c r="AX218" s="19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8">
        <f t="shared" si="153"/>
        <v>0</v>
      </c>
      <c r="AW219" s="1978">
        <f t="shared" si="154"/>
        <v>0</v>
      </c>
      <c r="AX219" s="19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8">
        <f t="shared" si="153"/>
        <v>0</v>
      </c>
      <c r="AW220" s="1978">
        <f t="shared" si="154"/>
        <v>0</v>
      </c>
      <c r="AX220" s="19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8">
        <f t="shared" si="153"/>
        <v>0</v>
      </c>
      <c r="AW221" s="1978">
        <f t="shared" si="154"/>
        <v>0</v>
      </c>
      <c r="AX221" s="19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8">
        <f t="shared" si="153"/>
        <v>0</v>
      </c>
      <c r="AW222" s="1978">
        <f t="shared" si="154"/>
        <v>0</v>
      </c>
      <c r="AX222" s="19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8">
        <f t="shared" si="153"/>
        <v>0</v>
      </c>
      <c r="AW223" s="1978">
        <f t="shared" si="154"/>
        <v>0</v>
      </c>
      <c r="AX223" s="19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8">
        <f t="shared" si="153"/>
        <v>0</v>
      </c>
      <c r="AW224" s="1978">
        <f t="shared" si="154"/>
        <v>0</v>
      </c>
      <c r="AX224" s="19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8">
        <f t="shared" si="153"/>
        <v>0</v>
      </c>
      <c r="AW225" s="1978">
        <f t="shared" si="154"/>
        <v>0</v>
      </c>
      <c r="AX225" s="19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8">
        <f t="shared" si="153"/>
        <v>0</v>
      </c>
      <c r="AW226" s="1978">
        <f t="shared" si="154"/>
        <v>0</v>
      </c>
      <c r="AX226" s="19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8">
        <f t="shared" si="153"/>
        <v>0</v>
      </c>
      <c r="AW227" s="1978">
        <f t="shared" si="154"/>
        <v>0</v>
      </c>
      <c r="AX227" s="19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8">
        <f t="shared" si="153"/>
        <v>0</v>
      </c>
      <c r="AW228" s="1978">
        <f t="shared" si="154"/>
        <v>0</v>
      </c>
      <c r="AX228" s="19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8">
        <f t="shared" si="153"/>
        <v>0</v>
      </c>
      <c r="AW229" s="1978">
        <f t="shared" si="154"/>
        <v>0</v>
      </c>
      <c r="AX229" s="19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8">
        <f t="shared" si="153"/>
        <v>0</v>
      </c>
      <c r="AW230" s="1978">
        <f t="shared" si="154"/>
        <v>0</v>
      </c>
      <c r="AX230" s="19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8">
        <f t="shared" si="153"/>
        <v>0</v>
      </c>
      <c r="AW231" s="1978">
        <f t="shared" si="154"/>
        <v>0</v>
      </c>
      <c r="AX231" s="19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8">
        <f t="shared" si="153"/>
        <v>0</v>
      </c>
      <c r="AW232" s="1978">
        <f t="shared" si="154"/>
        <v>0</v>
      </c>
      <c r="AX232" s="19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8">
        <f t="shared" si="153"/>
        <v>0</v>
      </c>
      <c r="AW233" s="1978">
        <f t="shared" si="154"/>
        <v>0</v>
      </c>
      <c r="AX233" s="19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8">
        <f t="shared" si="153"/>
        <v>0</v>
      </c>
      <c r="AW234" s="1978">
        <f t="shared" si="154"/>
        <v>0</v>
      </c>
      <c r="AX234" s="19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8">
        <f t="shared" si="153"/>
        <v>0</v>
      </c>
      <c r="AW235" s="1978">
        <f t="shared" si="154"/>
        <v>0</v>
      </c>
      <c r="AX235" s="19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8">
        <f t="shared" si="153"/>
        <v>0</v>
      </c>
      <c r="AW236" s="1978">
        <f t="shared" si="154"/>
        <v>0</v>
      </c>
      <c r="AX236" s="19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8">
        <f t="shared" si="153"/>
        <v>0</v>
      </c>
      <c r="AW237" s="1978">
        <f t="shared" si="154"/>
        <v>0</v>
      </c>
      <c r="AX237" s="19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8">
        <f t="shared" si="153"/>
        <v>0</v>
      </c>
      <c r="AW238" s="1978">
        <f t="shared" si="154"/>
        <v>0</v>
      </c>
      <c r="AX238" s="19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8">
        <f t="shared" si="153"/>
        <v>0</v>
      </c>
      <c r="AW239" s="1978">
        <f t="shared" si="154"/>
        <v>0</v>
      </c>
      <c r="AX239" s="19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8">
        <f t="shared" si="153"/>
        <v>0</v>
      </c>
      <c r="AW240" s="1978">
        <f t="shared" si="154"/>
        <v>0</v>
      </c>
      <c r="AX240" s="19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8">
        <f t="shared" si="153"/>
        <v>0</v>
      </c>
      <c r="AW241" s="1978">
        <f t="shared" si="154"/>
        <v>0</v>
      </c>
      <c r="AX241" s="19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8">
        <f t="shared" si="153"/>
        <v>0</v>
      </c>
      <c r="AW242" s="1978">
        <f t="shared" si="154"/>
        <v>0</v>
      </c>
      <c r="AX242" s="19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8">
        <f t="shared" si="153"/>
        <v>0</v>
      </c>
      <c r="AW243" s="1978">
        <f t="shared" si="154"/>
        <v>0</v>
      </c>
      <c r="AX243" s="19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8">
        <f t="shared" si="153"/>
        <v>0</v>
      </c>
      <c r="AW244" s="1978">
        <f t="shared" si="154"/>
        <v>0</v>
      </c>
      <c r="AX244" s="19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8">
        <f t="shared" si="153"/>
        <v>0</v>
      </c>
      <c r="AW245" s="1978">
        <f t="shared" si="154"/>
        <v>0</v>
      </c>
      <c r="AX245" s="19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8">
        <f t="shared" si="153"/>
        <v>0</v>
      </c>
      <c r="AW246" s="1978">
        <f t="shared" si="154"/>
        <v>0</v>
      </c>
      <c r="AX246" s="19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8">
        <f t="shared" si="153"/>
        <v>0</v>
      </c>
      <c r="AW247" s="1978">
        <f t="shared" si="154"/>
        <v>0</v>
      </c>
      <c r="AX247" s="19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8">
        <f t="shared" si="153"/>
        <v>0</v>
      </c>
      <c r="AW248" s="1978">
        <f t="shared" si="154"/>
        <v>0</v>
      </c>
      <c r="AX248" s="19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8">
        <f t="shared" si="153"/>
        <v>0</v>
      </c>
      <c r="AW249" s="1978">
        <f t="shared" si="154"/>
        <v>0</v>
      </c>
      <c r="AX249" s="19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8">
        <f t="shared" si="153"/>
        <v>0</v>
      </c>
      <c r="AW250" s="1978">
        <f t="shared" si="154"/>
        <v>0</v>
      </c>
      <c r="AX250" s="19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8">
        <f t="shared" si="153"/>
        <v>0</v>
      </c>
      <c r="AW251" s="1978">
        <f t="shared" si="154"/>
        <v>0</v>
      </c>
      <c r="AX251" s="19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8">
        <f t="shared" si="153"/>
        <v>0</v>
      </c>
      <c r="AW252" s="1978">
        <f t="shared" si="154"/>
        <v>0</v>
      </c>
      <c r="AX252" s="19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8">
        <f t="shared" si="153"/>
        <v>0</v>
      </c>
      <c r="AW253" s="1978">
        <f t="shared" si="154"/>
        <v>0</v>
      </c>
      <c r="AX253" s="19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8">
        <f t="shared" si="153"/>
        <v>0</v>
      </c>
      <c r="AW254" s="1978">
        <f t="shared" si="154"/>
        <v>0</v>
      </c>
      <c r="AX254" s="19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8">
        <f t="shared" si="153"/>
        <v>0</v>
      </c>
      <c r="AW255" s="1978">
        <f t="shared" si="154"/>
        <v>0</v>
      </c>
      <c r="AX255" s="19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8">
        <f t="shared" si="153"/>
        <v>0</v>
      </c>
      <c r="AW256" s="1978">
        <f t="shared" si="154"/>
        <v>0</v>
      </c>
      <c r="AX256" s="19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8">
        <f t="shared" si="153"/>
        <v>0</v>
      </c>
      <c r="AW257" s="1978">
        <f t="shared" si="154"/>
        <v>0</v>
      </c>
      <c r="AX257" s="19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8">
        <f t="shared" si="153"/>
        <v>0</v>
      </c>
      <c r="AW258" s="1978">
        <f t="shared" si="154"/>
        <v>0</v>
      </c>
      <c r="AX258" s="19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8">
        <f t="shared" si="153"/>
        <v>0</v>
      </c>
      <c r="AW259" s="1978">
        <f t="shared" si="154"/>
        <v>0</v>
      </c>
      <c r="AX259" s="19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8">
        <f t="shared" si="153"/>
        <v>0</v>
      </c>
      <c r="AW260" s="1978">
        <f t="shared" si="154"/>
        <v>0</v>
      </c>
      <c r="AX260" s="19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8">
        <f t="shared" si="153"/>
        <v>0</v>
      </c>
      <c r="AW261" s="1978">
        <f t="shared" si="154"/>
        <v>0</v>
      </c>
      <c r="AX261" s="19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8">
        <f t="shared" si="153"/>
        <v>0</v>
      </c>
      <c r="AW262" s="1978">
        <f t="shared" si="154"/>
        <v>0</v>
      </c>
      <c r="AX262" s="19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8">
        <f t="shared" si="153"/>
        <v>0</v>
      </c>
      <c r="AW263" s="1978">
        <f t="shared" si="154"/>
        <v>0</v>
      </c>
      <c r="AX263" s="19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8">
        <f t="shared" si="153"/>
        <v>0</v>
      </c>
      <c r="AW264" s="1978">
        <f t="shared" si="154"/>
        <v>0</v>
      </c>
      <c r="AX264" s="19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8">
        <f t="shared" si="153"/>
        <v>0</v>
      </c>
      <c r="AW265" s="1978">
        <f t="shared" si="154"/>
        <v>0</v>
      </c>
      <c r="AX265" s="19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8">
        <f t="shared" si="153"/>
        <v>0</v>
      </c>
      <c r="AW266" s="1978">
        <f t="shared" si="154"/>
        <v>0</v>
      </c>
      <c r="AX266" s="19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8">
        <f t="shared" si="153"/>
        <v>0</v>
      </c>
      <c r="AW267" s="1978">
        <f t="shared" si="154"/>
        <v>0</v>
      </c>
      <c r="AX267" s="19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8">
        <f t="shared" si="153"/>
        <v>0</v>
      </c>
      <c r="AW268" s="1978">
        <f t="shared" si="154"/>
        <v>0</v>
      </c>
      <c r="AX268" s="19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8">
        <f t="shared" si="153"/>
        <v>0</v>
      </c>
      <c r="AW269" s="1978">
        <f t="shared" si="154"/>
        <v>0</v>
      </c>
      <c r="AX269" s="19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8">
        <f t="shared" si="153"/>
        <v>0</v>
      </c>
      <c r="AW270" s="1978">
        <f t="shared" si="154"/>
        <v>0</v>
      </c>
      <c r="AX270" s="19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8">
        <f t="shared" si="153"/>
        <v>0</v>
      </c>
      <c r="AW271" s="1978">
        <f t="shared" si="154"/>
        <v>0</v>
      </c>
      <c r="AX271" s="19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8">
        <f t="shared" si="153"/>
        <v>0</v>
      </c>
      <c r="AW272" s="1978">
        <f t="shared" si="154"/>
        <v>0</v>
      </c>
      <c r="AX272" s="19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8">
        <f t="shared" si="153"/>
        <v>0</v>
      </c>
      <c r="AW273" s="1978">
        <f t="shared" si="154"/>
        <v>0</v>
      </c>
      <c r="AX273" s="19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8">
        <f t="shared" si="153"/>
        <v>0</v>
      </c>
      <c r="AW274" s="1978">
        <f t="shared" si="154"/>
        <v>0</v>
      </c>
      <c r="AX274" s="19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8">
        <f t="shared" si="153"/>
        <v>0</v>
      </c>
      <c r="AW275" s="1978">
        <f t="shared" si="154"/>
        <v>0</v>
      </c>
      <c r="AX275" s="19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8">
        <f t="shared" si="153"/>
        <v>0</v>
      </c>
      <c r="AW276" s="1978">
        <f t="shared" si="154"/>
        <v>0</v>
      </c>
      <c r="AX276" s="19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8">
        <f t="shared" si="153"/>
        <v>0</v>
      </c>
      <c r="AW277" s="1978">
        <f t="shared" si="154"/>
        <v>0</v>
      </c>
      <c r="AX277" s="19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8">
        <f t="shared" si="153"/>
        <v>0</v>
      </c>
      <c r="AW278" s="1978">
        <f t="shared" si="154"/>
        <v>0</v>
      </c>
      <c r="AX278" s="19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8">
        <f t="shared" si="153"/>
        <v>0</v>
      </c>
      <c r="AW279" s="1978">
        <f t="shared" si="154"/>
        <v>0</v>
      </c>
      <c r="AX279" s="19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8">
        <f t="shared" si="153"/>
        <v>0</v>
      </c>
      <c r="AW280" s="1978">
        <f t="shared" si="154"/>
        <v>0</v>
      </c>
      <c r="AX280" s="19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8">
        <f t="shared" si="153"/>
        <v>0</v>
      </c>
      <c r="AW281" s="1978">
        <f t="shared" si="154"/>
        <v>0</v>
      </c>
      <c r="AX281" s="19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8">
        <f t="shared" si="153"/>
        <v>0</v>
      </c>
      <c r="AW282" s="1978">
        <f t="shared" si="154"/>
        <v>0</v>
      </c>
      <c r="AX282" s="19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8">
        <f t="shared" si="153"/>
        <v>0</v>
      </c>
      <c r="AW283" s="1978">
        <f t="shared" si="154"/>
        <v>0</v>
      </c>
      <c r="AX283" s="19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8">
        <f t="shared" si="153"/>
        <v>0</v>
      </c>
      <c r="AW284" s="1978">
        <f t="shared" si="154"/>
        <v>0</v>
      </c>
      <c r="AX284" s="19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8">
        <f t="shared" si="153"/>
        <v>0</v>
      </c>
      <c r="AW285" s="1978">
        <f t="shared" si="154"/>
        <v>0</v>
      </c>
      <c r="AX285" s="19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8">
        <f t="shared" si="153"/>
        <v>0</v>
      </c>
      <c r="AW286" s="1978">
        <f t="shared" si="154"/>
        <v>0</v>
      </c>
      <c r="AX286" s="19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8">
        <f t="shared" si="153"/>
        <v>0</v>
      </c>
      <c r="AW287" s="1978">
        <f t="shared" si="154"/>
        <v>0</v>
      </c>
      <c r="AX287" s="19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8">
        <f t="shared" si="153"/>
        <v>0</v>
      </c>
      <c r="AW288" s="1978">
        <f t="shared" si="154"/>
        <v>0</v>
      </c>
      <c r="AX288" s="19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8">
        <f t="shared" si="153"/>
        <v>0</v>
      </c>
      <c r="AW289" s="1978">
        <f t="shared" si="154"/>
        <v>0</v>
      </c>
      <c r="AX289" s="19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8">
        <f t="shared" si="153"/>
        <v>0</v>
      </c>
      <c r="AW290" s="1978">
        <f t="shared" si="154"/>
        <v>0</v>
      </c>
      <c r="AX290" s="19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8">
        <f t="shared" si="153"/>
        <v>0</v>
      </c>
      <c r="AW291" s="1978">
        <f t="shared" si="154"/>
        <v>0</v>
      </c>
      <c r="AX291" s="19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8">
        <f t="shared" si="153"/>
        <v>0</v>
      </c>
      <c r="AW292" s="1978">
        <f t="shared" si="154"/>
        <v>0</v>
      </c>
      <c r="AX292" s="19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8">
        <f t="shared" si="153"/>
        <v>0</v>
      </c>
      <c r="AW293" s="1978">
        <f t="shared" si="154"/>
        <v>0</v>
      </c>
      <c r="AX293" s="19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8">
        <f t="shared" si="153"/>
        <v>0</v>
      </c>
      <c r="AW294" s="1978">
        <f t="shared" si="154"/>
        <v>0</v>
      </c>
      <c r="AX294" s="19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8">
        <f t="shared" si="153"/>
        <v>0</v>
      </c>
      <c r="AW295" s="1978">
        <f t="shared" si="154"/>
        <v>0</v>
      </c>
      <c r="AX295" s="19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8">
        <f t="shared" si="153"/>
        <v>0</v>
      </c>
      <c r="AW296" s="1978">
        <f t="shared" si="154"/>
        <v>0</v>
      </c>
      <c r="AX296" s="19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8">
        <f t="shared" ref="AV297:AV328" si="204">A297</f>
        <v>0</v>
      </c>
      <c r="AW297" s="1978">
        <f t="shared" ref="AW297:AW328" si="205">B297</f>
        <v>0</v>
      </c>
      <c r="AX297" s="19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8">
        <f t="shared" si="204"/>
        <v>0</v>
      </c>
      <c r="AW298" s="1978">
        <f t="shared" si="205"/>
        <v>0</v>
      </c>
      <c r="AX298" s="19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8">
        <f t="shared" si="204"/>
        <v>0</v>
      </c>
      <c r="AW299" s="1978">
        <f t="shared" si="205"/>
        <v>0</v>
      </c>
      <c r="AX299" s="19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8">
        <f t="shared" si="204"/>
        <v>0</v>
      </c>
      <c r="AW300" s="1978">
        <f t="shared" si="205"/>
        <v>0</v>
      </c>
      <c r="AX300" s="19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8">
        <f t="shared" si="204"/>
        <v>0</v>
      </c>
      <c r="AW301" s="1978">
        <f t="shared" si="205"/>
        <v>0</v>
      </c>
      <c r="AX301" s="19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8">
        <f t="shared" si="204"/>
        <v>0</v>
      </c>
      <c r="AW302" s="1978">
        <f t="shared" si="205"/>
        <v>0</v>
      </c>
      <c r="AX302" s="19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8">
        <f t="shared" si="204"/>
        <v>0</v>
      </c>
      <c r="AW303" s="1978">
        <f t="shared" si="205"/>
        <v>0</v>
      </c>
      <c r="AX303" s="19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8">
        <f t="shared" si="204"/>
        <v>0</v>
      </c>
      <c r="AW304" s="1978">
        <f t="shared" si="205"/>
        <v>0</v>
      </c>
      <c r="AX304" s="19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8">
        <f t="shared" si="204"/>
        <v>0</v>
      </c>
      <c r="AW305" s="1978">
        <f t="shared" si="205"/>
        <v>0</v>
      </c>
      <c r="AX305" s="19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8">
        <f t="shared" si="204"/>
        <v>0</v>
      </c>
      <c r="AW306" s="1978">
        <f t="shared" si="205"/>
        <v>0</v>
      </c>
      <c r="AX306" s="19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8">
        <f t="shared" si="204"/>
        <v>0</v>
      </c>
      <c r="AW307" s="1978">
        <f t="shared" si="205"/>
        <v>0</v>
      </c>
      <c r="AX307" s="19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8">
        <f t="shared" si="204"/>
        <v>0</v>
      </c>
      <c r="AW308" s="1978">
        <f t="shared" si="205"/>
        <v>0</v>
      </c>
      <c r="AX308" s="19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8">
        <f t="shared" si="204"/>
        <v>0</v>
      </c>
      <c r="AW309" s="1978">
        <f t="shared" si="205"/>
        <v>0</v>
      </c>
      <c r="AX309" s="19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8">
        <f t="shared" si="204"/>
        <v>0</v>
      </c>
      <c r="AW310" s="1978">
        <f t="shared" si="205"/>
        <v>0</v>
      </c>
      <c r="AX310" s="19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8">
        <f t="shared" si="204"/>
        <v>0</v>
      </c>
      <c r="AW311" s="1978">
        <f t="shared" si="205"/>
        <v>0</v>
      </c>
      <c r="AX311" s="19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8">
        <f t="shared" si="204"/>
        <v>0</v>
      </c>
      <c r="AW312" s="1978">
        <f t="shared" si="205"/>
        <v>0</v>
      </c>
      <c r="AX312" s="19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8">
        <f t="shared" si="204"/>
        <v>0</v>
      </c>
      <c r="AW313" s="1978">
        <f t="shared" si="205"/>
        <v>0</v>
      </c>
      <c r="AX313" s="19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8">
        <f t="shared" si="204"/>
        <v>0</v>
      </c>
      <c r="AW314" s="1978">
        <f t="shared" si="205"/>
        <v>0</v>
      </c>
      <c r="AX314" s="19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8">
        <f t="shared" si="204"/>
        <v>0</v>
      </c>
      <c r="AW315" s="1978">
        <f t="shared" si="205"/>
        <v>0</v>
      </c>
      <c r="AX315" s="19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8">
        <f t="shared" si="204"/>
        <v>0</v>
      </c>
      <c r="AW316" s="1978">
        <f t="shared" si="205"/>
        <v>0</v>
      </c>
      <c r="AX316" s="19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8">
        <f t="shared" si="204"/>
        <v>0</v>
      </c>
      <c r="AW317" s="1978">
        <f t="shared" si="205"/>
        <v>0</v>
      </c>
      <c r="AX317" s="19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8">
        <f t="shared" si="204"/>
        <v>0</v>
      </c>
      <c r="AW318" s="1978">
        <f t="shared" si="205"/>
        <v>0</v>
      </c>
      <c r="AX318" s="19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8">
        <f t="shared" si="204"/>
        <v>0</v>
      </c>
      <c r="AW319" s="1978">
        <f t="shared" si="205"/>
        <v>0</v>
      </c>
      <c r="AX319" s="19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8">
        <f t="shared" si="204"/>
        <v>0</v>
      </c>
      <c r="AW320" s="1978">
        <f t="shared" si="205"/>
        <v>0</v>
      </c>
      <c r="AX320" s="19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8">
        <f t="shared" si="204"/>
        <v>0</v>
      </c>
      <c r="AW321" s="1978">
        <f t="shared" si="205"/>
        <v>0</v>
      </c>
      <c r="AX321" s="19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8">
        <f t="shared" si="204"/>
        <v>0</v>
      </c>
      <c r="AW322" s="1978">
        <f t="shared" si="205"/>
        <v>0</v>
      </c>
      <c r="AX322" s="19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8">
        <f t="shared" si="204"/>
        <v>0</v>
      </c>
      <c r="AW323" s="1978">
        <f t="shared" si="205"/>
        <v>0</v>
      </c>
      <c r="AX323" s="19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8">
        <f t="shared" si="204"/>
        <v>0</v>
      </c>
      <c r="AW324" s="1978">
        <f t="shared" si="205"/>
        <v>0</v>
      </c>
      <c r="AX324" s="19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8">
        <f t="shared" si="204"/>
        <v>0</v>
      </c>
      <c r="AW325" s="1978">
        <f t="shared" si="205"/>
        <v>0</v>
      </c>
      <c r="AX325" s="19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8">
        <f t="shared" si="204"/>
        <v>0</v>
      </c>
      <c r="AW326" s="1978">
        <f t="shared" si="205"/>
        <v>0</v>
      </c>
      <c r="AX326" s="19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8">
        <f t="shared" si="204"/>
        <v>0</v>
      </c>
      <c r="AW327" s="1978">
        <f t="shared" si="205"/>
        <v>0</v>
      </c>
      <c r="AX327" s="19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8">
        <f t="shared" si="204"/>
        <v>0</v>
      </c>
      <c r="AW328" s="1978">
        <f t="shared" si="205"/>
        <v>0</v>
      </c>
      <c r="AX328" s="19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8">
        <f t="shared" ref="AV329:AV360" si="233">A329</f>
        <v>0</v>
      </c>
      <c r="AW329" s="1978">
        <f t="shared" ref="AW329:AW360" si="234">B329</f>
        <v>0</v>
      </c>
      <c r="AX329" s="19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8">
        <f t="shared" si="233"/>
        <v>0</v>
      </c>
      <c r="AW330" s="1978">
        <f t="shared" si="234"/>
        <v>0</v>
      </c>
      <c r="AX330" s="19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8">
        <f t="shared" si="233"/>
        <v>0</v>
      </c>
      <c r="AW331" s="1978">
        <f t="shared" si="234"/>
        <v>0</v>
      </c>
      <c r="AX331" s="19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8">
        <f t="shared" si="233"/>
        <v>0</v>
      </c>
      <c r="AW332" s="1978">
        <f t="shared" si="234"/>
        <v>0</v>
      </c>
      <c r="AX332" s="19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8">
        <f t="shared" si="233"/>
        <v>0</v>
      </c>
      <c r="AW333" s="1978">
        <f t="shared" si="234"/>
        <v>0</v>
      </c>
      <c r="AX333" s="19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8">
        <f t="shared" si="233"/>
        <v>0</v>
      </c>
      <c r="AW334" s="1978">
        <f t="shared" si="234"/>
        <v>0</v>
      </c>
      <c r="AX334" s="19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8">
        <f t="shared" si="233"/>
        <v>0</v>
      </c>
      <c r="AW335" s="1978">
        <f t="shared" si="234"/>
        <v>0</v>
      </c>
      <c r="AX335" s="19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8">
        <f t="shared" si="233"/>
        <v>0</v>
      </c>
      <c r="AW336" s="1978">
        <f t="shared" si="234"/>
        <v>0</v>
      </c>
      <c r="AX336" s="19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8">
        <f t="shared" si="233"/>
        <v>0</v>
      </c>
      <c r="AW337" s="1978">
        <f t="shared" si="234"/>
        <v>0</v>
      </c>
      <c r="AX337" s="19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8">
        <f t="shared" si="233"/>
        <v>0</v>
      </c>
      <c r="AW338" s="1978">
        <f t="shared" si="234"/>
        <v>0</v>
      </c>
      <c r="AX338" s="19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8">
        <f t="shared" si="233"/>
        <v>0</v>
      </c>
      <c r="AW339" s="1978">
        <f t="shared" si="234"/>
        <v>0</v>
      </c>
      <c r="AX339" s="19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8">
        <f t="shared" si="233"/>
        <v>0</v>
      </c>
      <c r="AW340" s="1978">
        <f t="shared" si="234"/>
        <v>0</v>
      </c>
      <c r="AX340" s="19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8">
        <f t="shared" si="233"/>
        <v>0</v>
      </c>
      <c r="AW341" s="1978">
        <f t="shared" si="234"/>
        <v>0</v>
      </c>
      <c r="AX341" s="19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8">
        <f t="shared" si="233"/>
        <v>0</v>
      </c>
      <c r="AW342" s="1978">
        <f t="shared" si="234"/>
        <v>0</v>
      </c>
      <c r="AX342" s="19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8">
        <f t="shared" si="233"/>
        <v>0</v>
      </c>
      <c r="AW343" s="1978">
        <f t="shared" si="234"/>
        <v>0</v>
      </c>
      <c r="AX343" s="19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8">
        <f t="shared" si="233"/>
        <v>0</v>
      </c>
      <c r="AW344" s="1978">
        <f t="shared" si="234"/>
        <v>0</v>
      </c>
      <c r="AX344" s="19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8">
        <f t="shared" si="233"/>
        <v>0</v>
      </c>
      <c r="AW345" s="1978">
        <f t="shared" si="234"/>
        <v>0</v>
      </c>
      <c r="AX345" s="19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8">
        <f t="shared" si="233"/>
        <v>0</v>
      </c>
      <c r="AW346" s="1978">
        <f t="shared" si="234"/>
        <v>0</v>
      </c>
      <c r="AX346" s="19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8">
        <f t="shared" si="233"/>
        <v>0</v>
      </c>
      <c r="AW347" s="1978">
        <f t="shared" si="234"/>
        <v>0</v>
      </c>
      <c r="AX347" s="19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8">
        <f t="shared" si="233"/>
        <v>0</v>
      </c>
      <c r="AW348" s="1978">
        <f t="shared" si="234"/>
        <v>0</v>
      </c>
      <c r="AX348" s="19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8">
        <f t="shared" si="233"/>
        <v>0</v>
      </c>
      <c r="AW349" s="1978">
        <f t="shared" si="234"/>
        <v>0</v>
      </c>
      <c r="AX349" s="19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8">
        <f t="shared" si="233"/>
        <v>0</v>
      </c>
      <c r="AW350" s="1978">
        <f t="shared" si="234"/>
        <v>0</v>
      </c>
      <c r="AX350" s="19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8">
        <f t="shared" si="233"/>
        <v>0</v>
      </c>
      <c r="AW351" s="1978">
        <f t="shared" si="234"/>
        <v>0</v>
      </c>
      <c r="AX351" s="19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8">
        <f t="shared" si="233"/>
        <v>0</v>
      </c>
      <c r="AW352" s="1978">
        <f t="shared" si="234"/>
        <v>0</v>
      </c>
      <c r="AX352" s="19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8">
        <f t="shared" si="233"/>
        <v>0</v>
      </c>
      <c r="AW353" s="1978">
        <f t="shared" si="234"/>
        <v>0</v>
      </c>
      <c r="AX353" s="19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8">
        <f t="shared" si="233"/>
        <v>0</v>
      </c>
      <c r="AW354" s="1978">
        <f t="shared" si="234"/>
        <v>0</v>
      </c>
      <c r="AX354" s="19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8">
        <f t="shared" si="233"/>
        <v>0</v>
      </c>
      <c r="AW355" s="1978">
        <f t="shared" si="234"/>
        <v>0</v>
      </c>
      <c r="AX355" s="19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8">
        <f t="shared" si="233"/>
        <v>0</v>
      </c>
      <c r="AW356" s="1978">
        <f t="shared" si="234"/>
        <v>0</v>
      </c>
      <c r="AX356" s="19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8">
        <f t="shared" si="233"/>
        <v>0</v>
      </c>
      <c r="AW357" s="1978">
        <f t="shared" si="234"/>
        <v>0</v>
      </c>
      <c r="AX357" s="19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8">
        <f t="shared" si="233"/>
        <v>0</v>
      </c>
      <c r="AW358" s="1978">
        <f t="shared" si="234"/>
        <v>0</v>
      </c>
      <c r="AX358" s="19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8">
        <f t="shared" si="233"/>
        <v>0</v>
      </c>
      <c r="AW359" s="1978">
        <f t="shared" si="234"/>
        <v>0</v>
      </c>
      <c r="AX359" s="19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8">
        <f t="shared" si="233"/>
        <v>0</v>
      </c>
      <c r="AW360" s="1978">
        <f t="shared" si="234"/>
        <v>0</v>
      </c>
      <c r="AX360" s="19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8">
        <f t="shared" ref="AV361:AV388" si="262">A361</f>
        <v>0</v>
      </c>
      <c r="AW361" s="1978">
        <f t="shared" ref="AW361:AW388" si="263">B361</f>
        <v>0</v>
      </c>
      <c r="AX361" s="19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8">
        <f t="shared" si="262"/>
        <v>0</v>
      </c>
      <c r="AW362" s="1978">
        <f t="shared" si="263"/>
        <v>0</v>
      </c>
      <c r="AX362" s="19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8">
        <f t="shared" si="262"/>
        <v>0</v>
      </c>
      <c r="AW363" s="1978">
        <f t="shared" si="263"/>
        <v>0</v>
      </c>
      <c r="AX363" s="19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8">
        <f t="shared" si="262"/>
        <v>0</v>
      </c>
      <c r="AW364" s="1978">
        <f t="shared" si="263"/>
        <v>0</v>
      </c>
      <c r="AX364" s="19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8">
        <f t="shared" si="262"/>
        <v>0</v>
      </c>
      <c r="AW365" s="1978">
        <f t="shared" si="263"/>
        <v>0</v>
      </c>
      <c r="AX365" s="19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8">
        <f t="shared" si="262"/>
        <v>0</v>
      </c>
      <c r="AW366" s="1978">
        <f t="shared" si="263"/>
        <v>0</v>
      </c>
      <c r="AX366" s="19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8">
        <f t="shared" si="262"/>
        <v>0</v>
      </c>
      <c r="AW367" s="1978">
        <f t="shared" si="263"/>
        <v>0</v>
      </c>
      <c r="AX367" s="19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8">
        <f t="shared" si="262"/>
        <v>0</v>
      </c>
      <c r="AW368" s="1978">
        <f t="shared" si="263"/>
        <v>0</v>
      </c>
      <c r="AX368" s="19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8">
        <f t="shared" si="262"/>
        <v>0</v>
      </c>
      <c r="AW369" s="1978">
        <f t="shared" si="263"/>
        <v>0</v>
      </c>
      <c r="AX369" s="19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8">
        <f t="shared" si="262"/>
        <v>0</v>
      </c>
      <c r="AW370" s="1978">
        <f t="shared" si="263"/>
        <v>0</v>
      </c>
      <c r="AX370" s="19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8">
        <f t="shared" si="262"/>
        <v>0</v>
      </c>
      <c r="AW371" s="1978">
        <f t="shared" si="263"/>
        <v>0</v>
      </c>
      <c r="AX371" s="19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8">
        <f t="shared" si="262"/>
        <v>0</v>
      </c>
      <c r="AW372" s="1978">
        <f t="shared" si="263"/>
        <v>0</v>
      </c>
      <c r="AX372" s="19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8">
        <f t="shared" si="262"/>
        <v>0</v>
      </c>
      <c r="AW373" s="1978">
        <f t="shared" si="263"/>
        <v>0</v>
      </c>
      <c r="AX373" s="19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8">
        <f t="shared" si="262"/>
        <v>0</v>
      </c>
      <c r="AW374" s="1978">
        <f t="shared" si="263"/>
        <v>0</v>
      </c>
      <c r="AX374" s="19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8">
        <f t="shared" si="262"/>
        <v>0</v>
      </c>
      <c r="AW375" s="1978">
        <f t="shared" si="263"/>
        <v>0</v>
      </c>
      <c r="AX375" s="19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8">
        <f t="shared" si="262"/>
        <v>0</v>
      </c>
      <c r="AW376" s="1978">
        <f t="shared" si="263"/>
        <v>0</v>
      </c>
      <c r="AX376" s="19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8">
        <f t="shared" si="262"/>
        <v>0</v>
      </c>
      <c r="AW377" s="1978">
        <f t="shared" si="263"/>
        <v>0</v>
      </c>
      <c r="AX377" s="19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8">
        <f t="shared" si="262"/>
        <v>0</v>
      </c>
      <c r="AW378" s="1978">
        <f t="shared" si="263"/>
        <v>0</v>
      </c>
      <c r="AX378" s="19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8">
        <f t="shared" si="262"/>
        <v>0</v>
      </c>
      <c r="AW379" s="1978">
        <f t="shared" si="263"/>
        <v>0</v>
      </c>
      <c r="AX379" s="19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8">
        <f t="shared" si="262"/>
        <v>0</v>
      </c>
      <c r="AW380" s="1978">
        <f t="shared" si="263"/>
        <v>0</v>
      </c>
      <c r="AX380" s="19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8">
        <f t="shared" si="262"/>
        <v>0</v>
      </c>
      <c r="AW381" s="1978">
        <f t="shared" si="263"/>
        <v>0</v>
      </c>
      <c r="AX381" s="19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8">
        <f t="shared" si="262"/>
        <v>0</v>
      </c>
      <c r="AW382" s="1978">
        <f t="shared" si="263"/>
        <v>0</v>
      </c>
      <c r="AX382" s="19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8">
        <f t="shared" si="262"/>
        <v>0</v>
      </c>
      <c r="AW383" s="1978">
        <f t="shared" si="263"/>
        <v>0</v>
      </c>
      <c r="AX383" s="19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8">
        <f t="shared" si="262"/>
        <v>0</v>
      </c>
      <c r="AW384" s="1978">
        <f t="shared" si="263"/>
        <v>0</v>
      </c>
      <c r="AX384" s="19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8">
        <f t="shared" si="262"/>
        <v>0</v>
      </c>
      <c r="AW385" s="1978">
        <f t="shared" si="263"/>
        <v>0</v>
      </c>
      <c r="AX385" s="19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8">
        <f t="shared" si="262"/>
        <v>0</v>
      </c>
      <c r="AW386" s="1978">
        <f t="shared" si="263"/>
        <v>0</v>
      </c>
      <c r="AX386" s="19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8">
        <f t="shared" si="262"/>
        <v>0</v>
      </c>
      <c r="AW387" s="1978">
        <f t="shared" si="263"/>
        <v>0</v>
      </c>
      <c r="AX387" s="19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8">
        <f t="shared" si="262"/>
        <v>0</v>
      </c>
      <c r="AW388" s="1978">
        <f t="shared" si="263"/>
        <v>0</v>
      </c>
      <c r="AX388" s="19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8">
        <f t="shared" ref="AV389:AV480" si="269">A389</f>
        <v>0</v>
      </c>
      <c r="AW389" s="1978">
        <f t="shared" ref="AW389:AW480" si="270">B389</f>
        <v>0</v>
      </c>
      <c r="AX389" s="19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8">
        <f t="shared" si="269"/>
        <v>0</v>
      </c>
      <c r="AW390" s="1978">
        <f t="shared" si="270"/>
        <v>0</v>
      </c>
      <c r="AX390" s="19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8">
        <f t="shared" si="269"/>
        <v>0</v>
      </c>
      <c r="AW391" s="1978">
        <f t="shared" si="270"/>
        <v>0</v>
      </c>
      <c r="AX391" s="19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8">
        <f t="shared" si="269"/>
        <v>0</v>
      </c>
      <c r="AW392" s="1978">
        <f t="shared" si="270"/>
        <v>0</v>
      </c>
      <c r="AX392" s="19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8">
        <f t="shared" si="269"/>
        <v>0</v>
      </c>
      <c r="AW393" s="1978">
        <f t="shared" si="270"/>
        <v>0</v>
      </c>
      <c r="AX393" s="19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8">
        <f t="shared" si="269"/>
        <v>0</v>
      </c>
      <c r="AW394" s="1978">
        <f t="shared" si="270"/>
        <v>0</v>
      </c>
      <c r="AX394" s="19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8">
        <f t="shared" si="269"/>
        <v>0</v>
      </c>
      <c r="AW395" s="1978">
        <f t="shared" si="270"/>
        <v>0</v>
      </c>
      <c r="AX395" s="19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8">
        <f t="shared" si="269"/>
        <v>0</v>
      </c>
      <c r="AW396" s="1978">
        <f t="shared" si="270"/>
        <v>0</v>
      </c>
      <c r="AX396" s="19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8">
        <f t="shared" si="269"/>
        <v>0</v>
      </c>
      <c r="AW397" s="1978">
        <f t="shared" si="270"/>
        <v>0</v>
      </c>
      <c r="AX397" s="19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8">
        <f t="shared" si="269"/>
        <v>0</v>
      </c>
      <c r="AW398" s="1978">
        <f t="shared" si="270"/>
        <v>0</v>
      </c>
      <c r="AX398" s="19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8">
        <f t="shared" si="269"/>
        <v>0</v>
      </c>
      <c r="AW399" s="1978">
        <f t="shared" si="270"/>
        <v>0</v>
      </c>
      <c r="AX399" s="19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8">
        <f t="shared" si="269"/>
        <v>0</v>
      </c>
      <c r="AW400" s="1978">
        <f t="shared" si="270"/>
        <v>0</v>
      </c>
      <c r="AX400" s="19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8">
        <f t="shared" si="269"/>
        <v>0</v>
      </c>
      <c r="AW401" s="1978">
        <f t="shared" si="270"/>
        <v>0</v>
      </c>
      <c r="AX401" s="19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8">
        <f t="shared" si="269"/>
        <v>0</v>
      </c>
      <c r="AW402" s="1978">
        <f t="shared" si="270"/>
        <v>0</v>
      </c>
      <c r="AX402" s="19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8">
        <f t="shared" si="269"/>
        <v>0</v>
      </c>
      <c r="AW403" s="1978">
        <f t="shared" si="270"/>
        <v>0</v>
      </c>
      <c r="AX403" s="19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8">
        <f t="shared" si="269"/>
        <v>0</v>
      </c>
      <c r="AW404" s="1978">
        <f t="shared" si="270"/>
        <v>0</v>
      </c>
      <c r="AX404" s="19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8">
        <f t="shared" si="269"/>
        <v>0</v>
      </c>
      <c r="AW405" s="1978">
        <f t="shared" si="270"/>
        <v>0</v>
      </c>
      <c r="AX405" s="19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8">
        <f t="shared" si="269"/>
        <v>0</v>
      </c>
      <c r="AW406" s="1978">
        <f t="shared" si="270"/>
        <v>0</v>
      </c>
      <c r="AX406" s="19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8">
        <f t="shared" si="269"/>
        <v>0</v>
      </c>
      <c r="AW407" s="1978">
        <f t="shared" si="270"/>
        <v>0</v>
      </c>
      <c r="AX407" s="19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8">
        <f t="shared" si="269"/>
        <v>0</v>
      </c>
      <c r="AW408" s="1978">
        <f t="shared" si="270"/>
        <v>0</v>
      </c>
      <c r="AX408" s="19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8">
        <f t="shared" si="269"/>
        <v>0</v>
      </c>
      <c r="AW409" s="1978">
        <f t="shared" si="270"/>
        <v>0</v>
      </c>
      <c r="AX409" s="19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8">
        <f t="shared" si="269"/>
        <v>0</v>
      </c>
      <c r="AW410" s="1978">
        <f t="shared" si="270"/>
        <v>0</v>
      </c>
      <c r="AX410" s="19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8">
        <f t="shared" si="269"/>
        <v>0</v>
      </c>
      <c r="AW411" s="1978">
        <f t="shared" si="270"/>
        <v>0</v>
      </c>
      <c r="AX411" s="19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8">
        <f t="shared" si="269"/>
        <v>0</v>
      </c>
      <c r="AW412" s="1978">
        <f t="shared" si="270"/>
        <v>0</v>
      </c>
      <c r="AX412" s="19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8">
        <f t="shared" si="269"/>
        <v>0</v>
      </c>
      <c r="AW413" s="1978">
        <f t="shared" si="270"/>
        <v>0</v>
      </c>
      <c r="AX413" s="19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8">
        <f t="shared" si="269"/>
        <v>0</v>
      </c>
      <c r="AW414" s="1978">
        <f t="shared" si="270"/>
        <v>0</v>
      </c>
      <c r="AX414" s="19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8">
        <f t="shared" si="269"/>
        <v>0</v>
      </c>
      <c r="AW415" s="1978">
        <f t="shared" si="270"/>
        <v>0</v>
      </c>
      <c r="AX415" s="19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8">
        <f t="shared" si="269"/>
        <v>0</v>
      </c>
      <c r="AW416" s="1978">
        <f t="shared" si="270"/>
        <v>0</v>
      </c>
      <c r="AX416" s="19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8">
        <f t="shared" si="269"/>
        <v>0</v>
      </c>
      <c r="AW417" s="1978">
        <f t="shared" si="270"/>
        <v>0</v>
      </c>
      <c r="AX417" s="19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8">
        <f t="shared" si="269"/>
        <v>0</v>
      </c>
      <c r="AW418" s="1978">
        <f t="shared" si="270"/>
        <v>0</v>
      </c>
      <c r="AX418" s="19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8">
        <f t="shared" si="269"/>
        <v>0</v>
      </c>
      <c r="AW419" s="1978">
        <f t="shared" si="270"/>
        <v>0</v>
      </c>
      <c r="AX419" s="19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8">
        <f t="shared" si="269"/>
        <v>0</v>
      </c>
      <c r="AW420" s="1978">
        <f t="shared" si="270"/>
        <v>0</v>
      </c>
      <c r="AX420" s="19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8">
        <f t="shared" si="269"/>
        <v>0</v>
      </c>
      <c r="AW421" s="1978">
        <f t="shared" si="270"/>
        <v>0</v>
      </c>
      <c r="AX421" s="19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8">
        <f t="shared" si="269"/>
        <v>0</v>
      </c>
      <c r="AW422" s="1978">
        <f t="shared" si="270"/>
        <v>0</v>
      </c>
      <c r="AX422" s="19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8">
        <f t="shared" si="269"/>
        <v>0</v>
      </c>
      <c r="AW423" s="1978">
        <f t="shared" si="270"/>
        <v>0</v>
      </c>
      <c r="AX423" s="19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8">
        <f t="shared" si="269"/>
        <v>0</v>
      </c>
      <c r="AW424" s="1978">
        <f t="shared" si="270"/>
        <v>0</v>
      </c>
      <c r="AX424" s="19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8">
        <f t="shared" si="269"/>
        <v>0</v>
      </c>
      <c r="AW425" s="1978">
        <f t="shared" si="270"/>
        <v>0</v>
      </c>
      <c r="AX425" s="19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8">
        <f t="shared" si="269"/>
        <v>0</v>
      </c>
      <c r="AW426" s="1978">
        <f t="shared" si="270"/>
        <v>0</v>
      </c>
      <c r="AX426" s="19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8">
        <f t="shared" si="269"/>
        <v>0</v>
      </c>
      <c r="AW427" s="1978">
        <f t="shared" si="270"/>
        <v>0</v>
      </c>
      <c r="AX427" s="19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8">
        <f t="shared" si="269"/>
        <v>0</v>
      </c>
      <c r="AW428" s="1978">
        <f t="shared" si="270"/>
        <v>0</v>
      </c>
      <c r="AX428" s="19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8">
        <f t="shared" si="269"/>
        <v>0</v>
      </c>
      <c r="AW429" s="1978">
        <f t="shared" si="270"/>
        <v>0</v>
      </c>
      <c r="AX429" s="19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8">
        <f t="shared" si="269"/>
        <v>0</v>
      </c>
      <c r="AW430" s="1978">
        <f t="shared" si="270"/>
        <v>0</v>
      </c>
      <c r="AX430" s="19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8">
        <f t="shared" si="269"/>
        <v>0</v>
      </c>
      <c r="AW431" s="1978">
        <f t="shared" si="270"/>
        <v>0</v>
      </c>
      <c r="AX431" s="19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8">
        <f t="shared" si="269"/>
        <v>0</v>
      </c>
      <c r="AW432" s="1978">
        <f t="shared" si="270"/>
        <v>0</v>
      </c>
      <c r="AX432" s="19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8">
        <f t="shared" si="269"/>
        <v>0</v>
      </c>
      <c r="AW433" s="1978">
        <f t="shared" si="270"/>
        <v>0</v>
      </c>
      <c r="AX433" s="19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8">
        <f t="shared" si="269"/>
        <v>0</v>
      </c>
      <c r="AW434" s="1978">
        <f t="shared" si="270"/>
        <v>0</v>
      </c>
      <c r="AX434" s="19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8">
        <f t="shared" si="269"/>
        <v>0</v>
      </c>
      <c r="AW435" s="1978">
        <f t="shared" si="270"/>
        <v>0</v>
      </c>
      <c r="AX435" s="19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8">
        <f t="shared" si="269"/>
        <v>0</v>
      </c>
      <c r="AW436" s="1978">
        <f t="shared" si="270"/>
        <v>0</v>
      </c>
      <c r="AX436" s="19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8">
        <f t="shared" si="269"/>
        <v>0</v>
      </c>
      <c r="AW437" s="1978">
        <f t="shared" si="270"/>
        <v>0</v>
      </c>
      <c r="AX437" s="19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8">
        <f t="shared" si="269"/>
        <v>0</v>
      </c>
      <c r="AW438" s="1978">
        <f t="shared" si="270"/>
        <v>0</v>
      </c>
      <c r="AX438" s="19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8">
        <f t="shared" si="269"/>
        <v>0</v>
      </c>
      <c r="AW439" s="1978">
        <f t="shared" si="270"/>
        <v>0</v>
      </c>
      <c r="AX439" s="19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8">
        <f t="shared" si="269"/>
        <v>0</v>
      </c>
      <c r="AW440" s="1978">
        <f t="shared" si="270"/>
        <v>0</v>
      </c>
      <c r="AX440" s="19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8">
        <f t="shared" si="269"/>
        <v>0</v>
      </c>
      <c r="AW441" s="1978">
        <f t="shared" si="270"/>
        <v>0</v>
      </c>
      <c r="AX441" s="19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8">
        <f t="shared" si="269"/>
        <v>0</v>
      </c>
      <c r="AW442" s="1978">
        <f t="shared" si="270"/>
        <v>0</v>
      </c>
      <c r="AX442" s="19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8">
        <f t="shared" si="269"/>
        <v>0</v>
      </c>
      <c r="AW443" s="1978">
        <f t="shared" si="270"/>
        <v>0</v>
      </c>
      <c r="AX443" s="19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8">
        <f t="shared" si="269"/>
        <v>0</v>
      </c>
      <c r="AW444" s="1978">
        <f t="shared" si="270"/>
        <v>0</v>
      </c>
      <c r="AX444" s="19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8">
        <f t="shared" si="269"/>
        <v>0</v>
      </c>
      <c r="AW445" s="1978">
        <f t="shared" si="270"/>
        <v>0</v>
      </c>
      <c r="AX445" s="19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8">
        <f t="shared" si="269"/>
        <v>0</v>
      </c>
      <c r="AW446" s="1978">
        <f t="shared" si="270"/>
        <v>0</v>
      </c>
      <c r="AX446" s="19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8">
        <f t="shared" si="269"/>
        <v>0</v>
      </c>
      <c r="AW447" s="1978">
        <f t="shared" si="270"/>
        <v>0</v>
      </c>
      <c r="AX447" s="19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8">
        <f t="shared" si="269"/>
        <v>0</v>
      </c>
      <c r="AW448" s="1978">
        <f t="shared" si="270"/>
        <v>0</v>
      </c>
      <c r="AX448" s="19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8">
        <f t="shared" si="269"/>
        <v>0</v>
      </c>
      <c r="AW449" s="1978">
        <f t="shared" si="270"/>
        <v>0</v>
      </c>
      <c r="AX449" s="19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8">
        <f t="shared" si="269"/>
        <v>0</v>
      </c>
      <c r="AW450" s="1978">
        <f t="shared" si="270"/>
        <v>0</v>
      </c>
      <c r="AX450" s="19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8">
        <f t="shared" si="269"/>
        <v>0</v>
      </c>
      <c r="AW451" s="1978">
        <f t="shared" si="270"/>
        <v>0</v>
      </c>
      <c r="AX451" s="19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8">
        <f t="shared" si="269"/>
        <v>0</v>
      </c>
      <c r="AW452" s="1978">
        <f t="shared" si="270"/>
        <v>0</v>
      </c>
      <c r="AX452" s="19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8">
        <f t="shared" si="269"/>
        <v>0</v>
      </c>
      <c r="AW453" s="1978">
        <f t="shared" si="270"/>
        <v>0</v>
      </c>
      <c r="AX453" s="19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8">
        <f t="shared" si="269"/>
        <v>0</v>
      </c>
      <c r="AW454" s="1978">
        <f t="shared" si="270"/>
        <v>0</v>
      </c>
      <c r="AX454" s="19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8">
        <f t="shared" si="269"/>
        <v>0</v>
      </c>
      <c r="AW455" s="1978">
        <f t="shared" si="270"/>
        <v>0</v>
      </c>
      <c r="AX455" s="19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8">
        <f t="shared" si="269"/>
        <v>0</v>
      </c>
      <c r="AW456" s="1978">
        <f t="shared" si="270"/>
        <v>0</v>
      </c>
      <c r="AX456" s="19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8">
        <f t="shared" si="269"/>
        <v>0</v>
      </c>
      <c r="AW457" s="1978">
        <f t="shared" si="270"/>
        <v>0</v>
      </c>
      <c r="AX457" s="19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8">
        <f t="shared" si="269"/>
        <v>0</v>
      </c>
      <c r="AW458" s="1978">
        <f t="shared" si="270"/>
        <v>0</v>
      </c>
      <c r="AX458" s="19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8">
        <f t="shared" si="269"/>
        <v>0</v>
      </c>
      <c r="AW459" s="1978">
        <f t="shared" si="270"/>
        <v>0</v>
      </c>
      <c r="AX459" s="19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8">
        <f t="shared" si="269"/>
        <v>0</v>
      </c>
      <c r="AW460" s="1978">
        <f t="shared" si="270"/>
        <v>0</v>
      </c>
      <c r="AX460" s="19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8">
        <f t="shared" si="269"/>
        <v>0</v>
      </c>
      <c r="AW461" s="1978">
        <f t="shared" si="270"/>
        <v>0</v>
      </c>
      <c r="AX461" s="19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8">
        <f t="shared" si="269"/>
        <v>0</v>
      </c>
      <c r="AW462" s="1978">
        <f t="shared" si="270"/>
        <v>0</v>
      </c>
      <c r="AX462" s="19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8">
        <f t="shared" si="269"/>
        <v>0</v>
      </c>
      <c r="AW463" s="1978">
        <f t="shared" si="270"/>
        <v>0</v>
      </c>
      <c r="AX463" s="19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8">
        <f t="shared" si="269"/>
        <v>0</v>
      </c>
      <c r="AW464" s="1978">
        <f t="shared" si="270"/>
        <v>0</v>
      </c>
      <c r="AX464" s="19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8">
        <f t="shared" si="269"/>
        <v>0</v>
      </c>
      <c r="AW465" s="1978">
        <f t="shared" si="270"/>
        <v>0</v>
      </c>
      <c r="AX465" s="19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8">
        <f t="shared" si="269"/>
        <v>0</v>
      </c>
      <c r="AW466" s="1978">
        <f t="shared" si="270"/>
        <v>0</v>
      </c>
      <c r="AX466" s="19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8">
        <f t="shared" si="269"/>
        <v>0</v>
      </c>
      <c r="AW467" s="1978">
        <f t="shared" si="270"/>
        <v>0</v>
      </c>
      <c r="AX467" s="19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8">
        <f t="shared" si="269"/>
        <v>0</v>
      </c>
      <c r="AW468" s="1978">
        <f t="shared" si="270"/>
        <v>0</v>
      </c>
      <c r="AX468" s="19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8">
        <f t="shared" si="269"/>
        <v>0</v>
      </c>
      <c r="AW469" s="1978">
        <f t="shared" si="270"/>
        <v>0</v>
      </c>
      <c r="AX469" s="19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8">
        <f t="shared" si="269"/>
        <v>0</v>
      </c>
      <c r="AW470" s="1978">
        <f t="shared" si="270"/>
        <v>0</v>
      </c>
      <c r="AX470" s="19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8">
        <f t="shared" si="269"/>
        <v>0</v>
      </c>
      <c r="AW471" s="1978">
        <f t="shared" si="270"/>
        <v>0</v>
      </c>
      <c r="AX471" s="19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8">
        <f t="shared" si="269"/>
        <v>0</v>
      </c>
      <c r="AW472" s="1978">
        <f t="shared" si="270"/>
        <v>0</v>
      </c>
      <c r="AX472" s="19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8">
        <f t="shared" si="269"/>
        <v>0</v>
      </c>
      <c r="AW473" s="1978">
        <f t="shared" si="270"/>
        <v>0</v>
      </c>
      <c r="AX473" s="19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8">
        <f t="shared" si="269"/>
        <v>0</v>
      </c>
      <c r="AW474" s="1978">
        <f t="shared" si="270"/>
        <v>0</v>
      </c>
      <c r="AX474" s="19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8">
        <f t="shared" si="269"/>
        <v>0</v>
      </c>
      <c r="AW475" s="1978">
        <f t="shared" si="270"/>
        <v>0</v>
      </c>
      <c r="AX475" s="19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8">
        <f t="shared" si="269"/>
        <v>0</v>
      </c>
      <c r="AW476" s="1978">
        <f t="shared" si="270"/>
        <v>0</v>
      </c>
      <c r="AX476" s="19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8">
        <f t="shared" si="269"/>
        <v>0</v>
      </c>
      <c r="AW477" s="1978">
        <f t="shared" si="270"/>
        <v>0</v>
      </c>
      <c r="AX477" s="19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8">
        <f t="shared" si="269"/>
        <v>0</v>
      </c>
      <c r="AW478" s="1978">
        <f t="shared" si="270"/>
        <v>0</v>
      </c>
      <c r="AX478" s="19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8">
        <f t="shared" si="269"/>
        <v>0</v>
      </c>
      <c r="AW479" s="1978">
        <f t="shared" si="270"/>
        <v>0</v>
      </c>
      <c r="AX479" s="19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8">
        <f t="shared" si="269"/>
        <v>0</v>
      </c>
      <c r="AW480" s="1978">
        <f t="shared" si="270"/>
        <v>0</v>
      </c>
      <c r="AX480" s="19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3" t="s">
        <v>0</v>
      </c>
      <c r="B1" s="3363" t="s">
        <v>4</v>
      </c>
      <c r="C1" s="3363" t="s">
        <v>5</v>
      </c>
      <c r="D1" s="3364" t="s">
        <v>40</v>
      </c>
      <c r="E1" s="3364" t="s">
        <v>41</v>
      </c>
      <c r="F1" s="3364"/>
      <c r="G1" s="3364"/>
      <c r="H1" s="3364"/>
      <c r="I1" s="3364"/>
      <c r="J1" s="3364"/>
      <c r="K1" s="3364"/>
      <c r="L1" s="3364"/>
      <c r="M1" s="3364"/>
    </row>
    <row r="2" spans="1:13" ht="27" customHeight="1">
      <c r="A2" s="3363"/>
      <c r="B2" s="3363"/>
      <c r="C2" s="3363"/>
      <c r="D2" s="3364"/>
      <c r="E2" s="3364" t="s">
        <v>24</v>
      </c>
      <c r="F2" s="3364" t="s">
        <v>25</v>
      </c>
      <c r="G2" s="3364"/>
      <c r="H2" s="3364"/>
      <c r="I2" s="3364"/>
      <c r="J2" s="3364" t="s">
        <v>26</v>
      </c>
      <c r="K2" s="3364"/>
      <c r="L2" s="3364"/>
      <c r="M2" s="3364"/>
    </row>
    <row r="3" spans="1:13" ht="28.5">
      <c r="A3" s="3363"/>
      <c r="B3" s="3363"/>
      <c r="C3" s="3363"/>
      <c r="D3" s="3364"/>
      <c r="E3" s="33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4" t="s">
        <v>42</v>
      </c>
      <c r="B9" s="3364"/>
      <c r="C9" s="33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2" t="s">
        <v>202</v>
      </c>
      <c r="B1" s="1983"/>
      <c r="C1" s="1983"/>
      <c r="D1" s="1983"/>
      <c r="E1" s="1983"/>
      <c r="F1" s="1983"/>
      <c r="G1" s="1983"/>
      <c r="H1" s="1983"/>
      <c r="I1" s="1983"/>
      <c r="J1" s="1983"/>
      <c r="K1" s="1983"/>
      <c r="L1" s="1983"/>
    </row>
    <row r="2" spans="1:16" ht="15">
      <c r="A2" s="3374" t="s">
        <v>203</v>
      </c>
      <c r="B2" s="3374"/>
      <c r="C2" s="3374"/>
      <c r="D2" s="1974" t="s">
        <v>204</v>
      </c>
      <c r="E2" s="104" t="s">
        <v>205</v>
      </c>
      <c r="F2" s="1983"/>
      <c r="G2" s="1196"/>
      <c r="H2" s="1197"/>
      <c r="I2" s="1198" t="s">
        <v>857</v>
      </c>
      <c r="J2" s="1983"/>
      <c r="K2" s="1983"/>
      <c r="L2" s="1983"/>
    </row>
    <row r="3" spans="1:16" ht="15.75" thickBot="1">
      <c r="A3" s="3375" t="s">
        <v>206</v>
      </c>
      <c r="B3" s="3375"/>
      <c r="C3" s="3375"/>
      <c r="D3" s="105">
        <f>'数据-基础表'!AY6</f>
        <v>2079.0700000000002</v>
      </c>
      <c r="E3" s="105">
        <f>'数据-基础表'!AZ5</f>
        <v>10000</v>
      </c>
      <c r="F3" s="1983"/>
      <c r="G3" s="278" t="s">
        <v>858</v>
      </c>
      <c r="H3" s="273" t="s">
        <v>859</v>
      </c>
      <c r="I3" s="1975">
        <f>ROUND('数据-基础表'!B3/'数据-基础表'!A3,2)</f>
        <v>4.8099999999999996</v>
      </c>
      <c r="J3" s="1983"/>
      <c r="K3" s="1983"/>
      <c r="L3" s="1983"/>
    </row>
    <row r="4" spans="1:16" ht="15">
      <c r="A4" s="3376"/>
      <c r="B4" s="3377"/>
      <c r="C4" s="3378"/>
      <c r="D4" s="106" t="s">
        <v>204</v>
      </c>
      <c r="E4" s="107" t="s">
        <v>205</v>
      </c>
      <c r="F4" s="1983"/>
      <c r="G4" s="1199"/>
      <c r="H4" s="273" t="s">
        <v>860</v>
      </c>
      <c r="I4" s="1975">
        <f>ROUND(SUMIF('数据-基础表'!I9:AS9,"地上",'数据-基础表'!I5:AS5)/'数据-基础表'!A3,2)</f>
        <v>4.8099999999999996</v>
      </c>
      <c r="J4" s="1983"/>
      <c r="K4" s="1983"/>
      <c r="L4" s="1983"/>
    </row>
    <row r="5" spans="1:16">
      <c r="A5" s="108" t="s">
        <v>207</v>
      </c>
      <c r="B5" s="3379" t="s">
        <v>230</v>
      </c>
      <c r="C5" s="3379"/>
      <c r="D5" s="109">
        <f>ROUND($D$3*E5/$E$3,2)</f>
        <v>0</v>
      </c>
      <c r="E5" s="110">
        <f>SUMIF('数据-基础表'!$11:$11,"住宅",'数据-基础表'!$5:$5)</f>
        <v>0</v>
      </c>
      <c r="F5" s="1983"/>
      <c r="G5" s="278" t="s">
        <v>861</v>
      </c>
      <c r="H5" s="273" t="s">
        <v>859</v>
      </c>
      <c r="I5" s="1975">
        <f>ROUND(E31/D31,2)</f>
        <v>4.8099999999999996</v>
      </c>
      <c r="J5" s="1983"/>
      <c r="K5" s="1983"/>
      <c r="L5" s="1983"/>
    </row>
    <row r="6" spans="1:16" ht="15" thickBot="1">
      <c r="A6" s="111"/>
      <c r="B6" s="3379" t="s">
        <v>208</v>
      </c>
      <c r="C6" s="3379"/>
      <c r="D6" s="109">
        <f>ROUND($D$3*E6/$E$3,2)</f>
        <v>2079.0700000000002</v>
      </c>
      <c r="E6" s="110">
        <f>E3-E5</f>
        <v>10000</v>
      </c>
      <c r="F6" s="1983"/>
      <c r="G6" s="1199"/>
      <c r="H6" s="273" t="s">
        <v>860</v>
      </c>
      <c r="I6" s="1975">
        <f>ROUND(F31/D31,2)</f>
        <v>4.8099999999999996</v>
      </c>
      <c r="J6" s="1983"/>
      <c r="K6" s="1983"/>
      <c r="L6" s="1983"/>
    </row>
    <row r="7" spans="1:16" ht="15">
      <c r="A7" s="3371"/>
      <c r="B7" s="3372"/>
      <c r="C7" s="3373"/>
      <c r="D7" s="106" t="s">
        <v>204</v>
      </c>
      <c r="E7" s="112" t="s">
        <v>231</v>
      </c>
      <c r="F7" s="1983"/>
      <c r="G7" s="1154" t="s">
        <v>1646</v>
      </c>
      <c r="H7" s="1155"/>
      <c r="I7" s="1845">
        <v>3.5</v>
      </c>
      <c r="J7" s="1983"/>
      <c r="K7" s="1983"/>
      <c r="L7" s="1983"/>
    </row>
    <row r="8" spans="1:16">
      <c r="A8" s="108" t="s">
        <v>209</v>
      </c>
      <c r="B8" s="113" t="s">
        <v>210</v>
      </c>
      <c r="C8" s="109" t="s">
        <v>211</v>
      </c>
      <c r="D8" s="109">
        <f t="shared" ref="D8:D15" si="0">ROUND($D$3*E8/$E$3,2)</f>
        <v>2079.0700000000002</v>
      </c>
      <c r="E8" s="114">
        <f>SUMIF('数据-基础表'!BB10:BK10,"地上",'数据-基础表'!BB5:BK5)</f>
        <v>10000</v>
      </c>
      <c r="F8" s="1983"/>
      <c r="G8" s="1985"/>
      <c r="H8" s="1985"/>
      <c r="I8" s="1983"/>
      <c r="J8" s="1983"/>
      <c r="K8" s="1983"/>
      <c r="L8" s="1983"/>
    </row>
    <row r="9" spans="1:16">
      <c r="A9" s="115"/>
      <c r="B9" s="116"/>
      <c r="C9" s="109" t="s">
        <v>212</v>
      </c>
      <c r="D9" s="109">
        <f t="shared" si="0"/>
        <v>0</v>
      </c>
      <c r="E9" s="117">
        <v>0</v>
      </c>
      <c r="F9" s="1983"/>
      <c r="G9" s="1985"/>
      <c r="H9" s="1985"/>
      <c r="I9" s="1983"/>
      <c r="J9" s="1983"/>
      <c r="K9" s="1983"/>
      <c r="L9" s="1983"/>
    </row>
    <row r="10" spans="1:16">
      <c r="A10" s="115"/>
      <c r="B10" s="116"/>
      <c r="C10" s="109" t="s">
        <v>213</v>
      </c>
      <c r="D10" s="109">
        <f t="shared" si="0"/>
        <v>0</v>
      </c>
      <c r="E10" s="114">
        <f>SUMPRODUCT(('数据-基础表'!BB10:BK10="地下")*('数据-基础表'!BB11:BK11="商业")*('数据-基础表'!BB5:BK5))</f>
        <v>0</v>
      </c>
      <c r="F10" s="1983"/>
      <c r="G10" s="1985"/>
      <c r="H10" s="1985"/>
      <c r="I10" s="1983"/>
      <c r="J10" s="1983"/>
      <c r="K10" s="1983"/>
      <c r="L10" s="1983"/>
    </row>
    <row r="11" spans="1:16">
      <c r="A11" s="115"/>
      <c r="B11" s="116"/>
      <c r="C11" s="2330" t="s">
        <v>2330</v>
      </c>
      <c r="D11" s="109">
        <f t="shared" si="0"/>
        <v>0</v>
      </c>
      <c r="E11" s="114">
        <f>SUMPRODUCT(('数据-基础表'!BB10:BK10="地下")*('数据-基础表'!BB11:BK11="办公")*('数据-基础表'!BB5:BK5))+'数据-基础表'!AJ5</f>
        <v>0</v>
      </c>
      <c r="F11" s="1983"/>
      <c r="G11" s="1985"/>
      <c r="H11" s="1985"/>
      <c r="I11" s="1983"/>
      <c r="J11" s="1983"/>
      <c r="K11" s="1983"/>
      <c r="L11" s="1983"/>
    </row>
    <row r="12" spans="1:16">
      <c r="A12" s="115"/>
      <c r="B12" s="116"/>
      <c r="C12" s="109" t="s">
        <v>214</v>
      </c>
      <c r="D12" s="109">
        <f t="shared" si="0"/>
        <v>0</v>
      </c>
      <c r="E12" s="114">
        <f>SUMPRODUCT(('数据-基础表'!BB10:BK10="地下")*('数据-基础表'!BB11:BK11="仓储")*('数据-基础表'!BB5:BK5))</f>
        <v>0</v>
      </c>
      <c r="F12" s="1983"/>
      <c r="G12" s="1985"/>
      <c r="H12" s="1985"/>
      <c r="I12" s="1983"/>
      <c r="J12" s="1983"/>
      <c r="K12" s="1983"/>
      <c r="L12" s="1983"/>
    </row>
    <row r="13" spans="1:16">
      <c r="A13" s="115"/>
      <c r="B13" s="116"/>
      <c r="C13" s="2330" t="s">
        <v>2337</v>
      </c>
      <c r="D13" s="109">
        <f t="shared" si="0"/>
        <v>0</v>
      </c>
      <c r="E13" s="114">
        <f>SUMPRODUCT(('数据-基础表'!BB10:BK10="地下")*('数据-基础表'!BB11:BK11="车库")*('数据-基础表'!BB5:BK5))</f>
        <v>0</v>
      </c>
      <c r="F13" s="1983"/>
      <c r="G13" s="1985"/>
      <c r="H13" s="1985"/>
      <c r="I13" s="1983"/>
      <c r="J13" s="1983"/>
      <c r="K13" s="1983"/>
      <c r="L13" s="1983"/>
    </row>
    <row r="14" spans="1:16">
      <c r="A14" s="115"/>
      <c r="B14" s="116"/>
      <c r="C14" s="109" t="s">
        <v>232</v>
      </c>
      <c r="D14" s="109">
        <f t="shared" si="0"/>
        <v>0</v>
      </c>
      <c r="E14" s="114">
        <f>SUMPRODUCT(('数据-基础表'!BB10:BK10="地下")*('数据-基础表'!BB11:BK11="车库—商业")*('数据-基础表'!BB5:BK5))</f>
        <v>0</v>
      </c>
      <c r="F14" s="1983"/>
      <c r="G14" s="1985"/>
      <c r="H14" s="1985"/>
      <c r="I14" s="1983"/>
      <c r="J14" s="1983"/>
      <c r="K14" s="1983"/>
      <c r="L14" s="1983"/>
    </row>
    <row r="15" spans="1:16" ht="15" thickBot="1">
      <c r="A15" s="115"/>
      <c r="B15" s="116"/>
      <c r="C15" s="109" t="s">
        <v>233</v>
      </c>
      <c r="D15" s="109">
        <f t="shared" si="0"/>
        <v>0</v>
      </c>
      <c r="E15" s="114">
        <f>SUMPRODUCT(('数据-基础表'!BB10:BK10="地下")*('数据-基础表'!BB11:BK11="车库—办公")*('数据-基础表'!BB5:BK5))</f>
        <v>0</v>
      </c>
      <c r="F15" s="1983"/>
      <c r="G15" s="1985"/>
      <c r="H15" s="1985"/>
      <c r="I15" s="1983"/>
      <c r="J15" s="1983"/>
      <c r="K15" s="1983"/>
      <c r="L15" s="1983"/>
    </row>
    <row r="16" spans="1:16" ht="15.75" thickBot="1">
      <c r="A16" s="111"/>
      <c r="B16" s="116"/>
      <c r="C16" s="113" t="s">
        <v>215</v>
      </c>
      <c r="D16" s="113">
        <f>SUM(D8:D15)</f>
        <v>2079.0700000000002</v>
      </c>
      <c r="E16" s="118">
        <f>SUM(E8:E15)</f>
        <v>10000</v>
      </c>
      <c r="F16" s="1983"/>
      <c r="G16" s="1985"/>
      <c r="H16" s="966" t="s">
        <v>219</v>
      </c>
      <c r="I16" s="967"/>
      <c r="J16" s="1983"/>
      <c r="K16" s="3365" t="s">
        <v>2570</v>
      </c>
      <c r="L16" s="3366"/>
      <c r="M16" s="3366"/>
      <c r="N16" s="3366"/>
      <c r="O16" s="3366"/>
      <c r="P16" s="3367"/>
    </row>
    <row r="17" spans="1:19" ht="15">
      <c r="A17" s="119" t="s">
        <v>216</v>
      </c>
      <c r="B17" s="120" t="s">
        <v>217</v>
      </c>
      <c r="C17" s="2297" t="s">
        <v>2316</v>
      </c>
      <c r="D17" s="106" t="s">
        <v>204</v>
      </c>
      <c r="E17" s="122" t="s">
        <v>205</v>
      </c>
      <c r="F17" s="123"/>
      <c r="G17" s="1364"/>
      <c r="H17" s="968" t="s">
        <v>218</v>
      </c>
      <c r="I17" s="969" t="s">
        <v>2315</v>
      </c>
      <c r="J17" s="1983"/>
      <c r="K17" s="3368" t="s">
        <v>2571</v>
      </c>
      <c r="L17" s="3369"/>
      <c r="M17" s="3370"/>
      <c r="N17" s="3368" t="s">
        <v>2572</v>
      </c>
      <c r="O17" s="3369"/>
      <c r="P17" s="3370"/>
      <c r="R17" s="2298" t="s">
        <v>2314</v>
      </c>
      <c r="S17" s="142"/>
    </row>
    <row r="18" spans="1:19" ht="15">
      <c r="A18" s="115"/>
      <c r="B18" s="126"/>
      <c r="C18" s="127"/>
      <c r="D18" s="2663"/>
      <c r="E18" s="128" t="s">
        <v>220</v>
      </c>
      <c r="F18" s="129" t="s">
        <v>221</v>
      </c>
      <c r="G18" s="1365" t="s">
        <v>222</v>
      </c>
      <c r="H18" s="970" t="s">
        <v>223</v>
      </c>
      <c r="I18" s="971" t="s">
        <v>224</v>
      </c>
      <c r="J18" s="1983"/>
      <c r="K18" s="2626" t="s">
        <v>2573</v>
      </c>
      <c r="L18" s="2627" t="s">
        <v>2574</v>
      </c>
      <c r="M18" s="2628" t="s">
        <v>2575</v>
      </c>
      <c r="N18" s="2626" t="s">
        <v>2573</v>
      </c>
      <c r="O18" s="2627" t="s">
        <v>2574</v>
      </c>
      <c r="P18" s="2628" t="s">
        <v>2575</v>
      </c>
      <c r="R18" s="2299" t="s">
        <v>2312</v>
      </c>
      <c r="S18" s="2299" t="s">
        <v>2313</v>
      </c>
    </row>
    <row r="19" spans="1:19">
      <c r="A19" s="131"/>
      <c r="B19" s="113" t="s">
        <v>225</v>
      </c>
      <c r="C19" s="3046" t="s">
        <v>2991</v>
      </c>
      <c r="D19" s="109">
        <f t="shared" ref="D19:D26" si="1">ROUND($D$3*E19/$E$3,2)</f>
        <v>2079.0700000000002</v>
      </c>
      <c r="E19" s="132">
        <f t="shared" ref="E19:E26" si="2">SUM(F19:G19)</f>
        <v>10000</v>
      </c>
      <c r="F19" s="133">
        <f>'数据-基础表'!B3</f>
        <v>10000</v>
      </c>
      <c r="G19" s="1366"/>
      <c r="H19" s="972">
        <f>ROUND($D$3*I19/$E$3,2)</f>
        <v>0</v>
      </c>
      <c r="I19" s="114">
        <f>IF($I$17="自定义",P19,M19)</f>
        <v>0</v>
      </c>
      <c r="J19" s="1983"/>
      <c r="K19" s="2629">
        <f t="shared" ref="K19:K26" si="3">ROUND(E$28*E19/E$27,2)</f>
        <v>0</v>
      </c>
      <c r="L19" s="273">
        <f t="shared" ref="L19:L26" si="4">ROUND(IF(COUNTIF(C19,"*住宅*")&gt;0,E$29*E19/E$32,0),2)</f>
        <v>0</v>
      </c>
      <c r="M19" s="2630">
        <f>K19+L19</f>
        <v>0</v>
      </c>
      <c r="N19" s="2631"/>
      <c r="O19" s="2632"/>
      <c r="P19" s="2633">
        <f>N19+O19</f>
        <v>0</v>
      </c>
      <c r="R19" s="273">
        <f t="shared" ref="R19:S26" si="5">D19+H19</f>
        <v>2079.0700000000002</v>
      </c>
      <c r="S19" s="2300">
        <f t="shared" si="5"/>
        <v>10000</v>
      </c>
    </row>
    <row r="20" spans="1:19">
      <c r="A20" s="136"/>
      <c r="B20" s="113" t="s">
        <v>226</v>
      </c>
      <c r="C20" s="3046"/>
      <c r="D20" s="109">
        <f t="shared" si="1"/>
        <v>0</v>
      </c>
      <c r="E20" s="132">
        <f t="shared" si="2"/>
        <v>0</v>
      </c>
      <c r="F20" s="133"/>
      <c r="G20" s="1366"/>
      <c r="H20" s="972">
        <f t="shared" ref="H20:H26" si="6">ROUND($D$3*I20/$E$3,2)</f>
        <v>0</v>
      </c>
      <c r="I20" s="114">
        <f t="shared" ref="I20:I26" si="7">IF($I$17="自定义",P20,M20)</f>
        <v>0</v>
      </c>
      <c r="J20" s="1983"/>
      <c r="K20" s="2629">
        <f t="shared" si="3"/>
        <v>0</v>
      </c>
      <c r="L20" s="273">
        <f t="shared" si="4"/>
        <v>0</v>
      </c>
      <c r="M20" s="2630">
        <f t="shared" ref="M20:M26" si="8">K20+L20</f>
        <v>0</v>
      </c>
      <c r="N20" s="2631"/>
      <c r="O20" s="2632"/>
      <c r="P20" s="2633">
        <f t="shared" ref="P20:P26" si="9">N20+O20</f>
        <v>0</v>
      </c>
      <c r="R20" s="273">
        <f t="shared" si="5"/>
        <v>0</v>
      </c>
      <c r="S20" s="2300">
        <f t="shared" si="5"/>
        <v>0</v>
      </c>
    </row>
    <row r="21" spans="1:19">
      <c r="A21" s="136"/>
      <c r="B21" s="113" t="s">
        <v>226</v>
      </c>
      <c r="C21" s="3046"/>
      <c r="D21" s="109">
        <f t="shared" si="1"/>
        <v>0</v>
      </c>
      <c r="E21" s="132">
        <f t="shared" si="2"/>
        <v>0</v>
      </c>
      <c r="F21" s="133"/>
      <c r="G21" s="1366"/>
      <c r="H21" s="972">
        <f t="shared" si="6"/>
        <v>0</v>
      </c>
      <c r="I21" s="114">
        <f t="shared" si="7"/>
        <v>0</v>
      </c>
      <c r="J21" s="1983"/>
      <c r="K21" s="2629">
        <f t="shared" si="3"/>
        <v>0</v>
      </c>
      <c r="L21" s="273">
        <f t="shared" si="4"/>
        <v>0</v>
      </c>
      <c r="M21" s="2630">
        <f t="shared" si="8"/>
        <v>0</v>
      </c>
      <c r="N21" s="2631"/>
      <c r="O21" s="2632"/>
      <c r="P21" s="2633">
        <f t="shared" si="9"/>
        <v>0</v>
      </c>
      <c r="R21" s="273">
        <f t="shared" si="5"/>
        <v>0</v>
      </c>
      <c r="S21" s="2300">
        <f t="shared" si="5"/>
        <v>0</v>
      </c>
    </row>
    <row r="22" spans="1:19">
      <c r="A22" s="136"/>
      <c r="B22" s="113" t="s">
        <v>226</v>
      </c>
      <c r="C22" s="1363"/>
      <c r="D22" s="109">
        <f t="shared" si="1"/>
        <v>0</v>
      </c>
      <c r="E22" s="132">
        <f t="shared" si="2"/>
        <v>0</v>
      </c>
      <c r="F22" s="138"/>
      <c r="G22" s="1367"/>
      <c r="H22" s="972">
        <f t="shared" si="6"/>
        <v>0</v>
      </c>
      <c r="I22" s="114">
        <f t="shared" si="7"/>
        <v>0</v>
      </c>
      <c r="J22" s="1983"/>
      <c r="K22" s="2629">
        <f t="shared" si="3"/>
        <v>0</v>
      </c>
      <c r="L22" s="273">
        <f t="shared" si="4"/>
        <v>0</v>
      </c>
      <c r="M22" s="2630">
        <f t="shared" si="8"/>
        <v>0</v>
      </c>
      <c r="N22" s="2631"/>
      <c r="O22" s="2632"/>
      <c r="P22" s="2633">
        <f t="shared" si="9"/>
        <v>0</v>
      </c>
      <c r="R22" s="273">
        <f t="shared" si="5"/>
        <v>0</v>
      </c>
      <c r="S22" s="2300">
        <f t="shared" si="5"/>
        <v>0</v>
      </c>
    </row>
    <row r="23" spans="1:19">
      <c r="A23" s="136"/>
      <c r="B23" s="113" t="s">
        <v>226</v>
      </c>
      <c r="C23" s="137"/>
      <c r="D23" s="109">
        <f>ROUND($D$3*E23/$E$3,2)</f>
        <v>0</v>
      </c>
      <c r="E23" s="132">
        <f>SUM(F23:G23)</f>
        <v>0</v>
      </c>
      <c r="F23" s="138"/>
      <c r="G23" s="1367"/>
      <c r="H23" s="972">
        <f>ROUND($D$3*I23/$E$3,2)</f>
        <v>0</v>
      </c>
      <c r="I23" s="114">
        <f t="shared" si="7"/>
        <v>0</v>
      </c>
      <c r="J23" s="1983"/>
      <c r="K23" s="2629">
        <f t="shared" si="3"/>
        <v>0</v>
      </c>
      <c r="L23" s="273">
        <f t="shared" si="4"/>
        <v>0</v>
      </c>
      <c r="M23" s="2630">
        <f t="shared" si="8"/>
        <v>0</v>
      </c>
      <c r="N23" s="2631"/>
      <c r="O23" s="2632"/>
      <c r="P23" s="2633">
        <f t="shared" si="9"/>
        <v>0</v>
      </c>
      <c r="R23" s="273">
        <f t="shared" si="5"/>
        <v>0</v>
      </c>
      <c r="S23" s="2300">
        <f t="shared" si="5"/>
        <v>0</v>
      </c>
    </row>
    <row r="24" spans="1:19">
      <c r="A24" s="136"/>
      <c r="B24" s="113" t="s">
        <v>226</v>
      </c>
      <c r="C24" s="137"/>
      <c r="D24" s="109">
        <f>ROUND($D$3*E24/$E$3,2)</f>
        <v>0</v>
      </c>
      <c r="E24" s="132">
        <f>SUM(F24:G24)</f>
        <v>0</v>
      </c>
      <c r="F24" s="138"/>
      <c r="G24" s="1367"/>
      <c r="H24" s="972">
        <f>ROUND($D$3*I24/$E$3,2)</f>
        <v>0</v>
      </c>
      <c r="I24" s="114">
        <f t="shared" si="7"/>
        <v>0</v>
      </c>
      <c r="J24" s="1983"/>
      <c r="K24" s="2629">
        <f t="shared" si="3"/>
        <v>0</v>
      </c>
      <c r="L24" s="273">
        <f t="shared" si="4"/>
        <v>0</v>
      </c>
      <c r="M24" s="2630">
        <f t="shared" si="8"/>
        <v>0</v>
      </c>
      <c r="N24" s="2631"/>
      <c r="O24" s="2632"/>
      <c r="P24" s="2633">
        <f t="shared" si="9"/>
        <v>0</v>
      </c>
      <c r="R24" s="273">
        <f t="shared" si="5"/>
        <v>0</v>
      </c>
      <c r="S24" s="2300">
        <f t="shared" si="5"/>
        <v>0</v>
      </c>
    </row>
    <row r="25" spans="1:19">
      <c r="A25" s="136"/>
      <c r="B25" s="113" t="s">
        <v>226</v>
      </c>
      <c r="C25" s="137"/>
      <c r="D25" s="109">
        <f t="shared" si="1"/>
        <v>0</v>
      </c>
      <c r="E25" s="132">
        <f t="shared" si="2"/>
        <v>0</v>
      </c>
      <c r="F25" s="138"/>
      <c r="G25" s="1367"/>
      <c r="H25" s="108">
        <f t="shared" si="6"/>
        <v>0</v>
      </c>
      <c r="I25" s="114">
        <f t="shared" si="7"/>
        <v>0</v>
      </c>
      <c r="J25" s="1983"/>
      <c r="K25" s="2629">
        <f t="shared" si="3"/>
        <v>0</v>
      </c>
      <c r="L25" s="273">
        <f t="shared" si="4"/>
        <v>0</v>
      </c>
      <c r="M25" s="2630">
        <f t="shared" si="8"/>
        <v>0</v>
      </c>
      <c r="N25" s="2631"/>
      <c r="O25" s="2632"/>
      <c r="P25" s="2633">
        <f t="shared" si="9"/>
        <v>0</v>
      </c>
      <c r="R25" s="273">
        <f t="shared" si="5"/>
        <v>0</v>
      </c>
      <c r="S25" s="2300">
        <f t="shared" si="5"/>
        <v>0</v>
      </c>
    </row>
    <row r="26" spans="1:19">
      <c r="A26" s="136"/>
      <c r="B26" s="113" t="s">
        <v>226</v>
      </c>
      <c r="C26" s="140"/>
      <c r="D26" s="109">
        <f t="shared" si="1"/>
        <v>0</v>
      </c>
      <c r="E26" s="132">
        <f t="shared" si="2"/>
        <v>0</v>
      </c>
      <c r="F26" s="138"/>
      <c r="G26" s="1367"/>
      <c r="H26" s="108">
        <f t="shared" si="6"/>
        <v>0</v>
      </c>
      <c r="I26" s="114">
        <f t="shared" si="7"/>
        <v>0</v>
      </c>
      <c r="J26" s="1983"/>
      <c r="K26" s="2634">
        <f t="shared" si="3"/>
        <v>0</v>
      </c>
      <c r="L26" s="278">
        <f t="shared" si="4"/>
        <v>0</v>
      </c>
      <c r="M26" s="144">
        <f t="shared" si="8"/>
        <v>0</v>
      </c>
      <c r="N26" s="2635"/>
      <c r="O26" s="2636"/>
      <c r="P26" s="2637">
        <f t="shared" si="9"/>
        <v>0</v>
      </c>
      <c r="R26" s="273">
        <f t="shared" si="5"/>
        <v>0</v>
      </c>
      <c r="S26" s="2300">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3"/>
      <c r="K27" s="2638">
        <f>SUM(K19:K26)</f>
        <v>0</v>
      </c>
      <c r="L27" s="2639">
        <f>SUM(L19:L26)</f>
        <v>0</v>
      </c>
      <c r="M27" s="2640">
        <f>SUM(M19:M26)</f>
        <v>0</v>
      </c>
      <c r="N27" s="2638">
        <f t="shared" ref="N27:O27" si="10">SUM(N19:N26)</f>
        <v>0</v>
      </c>
      <c r="O27" s="2639">
        <f t="shared" si="10"/>
        <v>0</v>
      </c>
      <c r="P27" s="2641">
        <f>SUM(P19:P26)</f>
        <v>0</v>
      </c>
      <c r="R27" s="2304">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3"/>
      <c r="I28" s="1983"/>
      <c r="J28" s="1983"/>
      <c r="K28" s="1983"/>
      <c r="L28" s="1983"/>
    </row>
    <row r="29" spans="1:19">
      <c r="A29" s="136"/>
      <c r="B29" s="113" t="s">
        <v>227</v>
      </c>
      <c r="C29" s="2312" t="s">
        <v>2323</v>
      </c>
      <c r="D29" s="109">
        <f>ROUND($D$3*E29/$E$3,2)</f>
        <v>0</v>
      </c>
      <c r="E29" s="132">
        <f>SUM(F29:G29)</f>
        <v>0</v>
      </c>
      <c r="F29" s="142">
        <f>'数据-基础表'!BM5+'数据-基础表'!BO5</f>
        <v>0</v>
      </c>
      <c r="G29" s="144">
        <f>'数据-基础表'!BN5+'数据-基础表'!BP5</f>
        <v>0</v>
      </c>
      <c r="H29" s="1983"/>
      <c r="I29" s="1983"/>
      <c r="J29" s="1983"/>
      <c r="K29" s="1983"/>
      <c r="L29" s="1983"/>
    </row>
    <row r="30" spans="1:19">
      <c r="A30" s="136"/>
      <c r="B30" s="109"/>
      <c r="C30" s="145" t="s">
        <v>215</v>
      </c>
      <c r="D30" s="132">
        <f>SUM(D28:D29)</f>
        <v>0</v>
      </c>
      <c r="E30" s="132">
        <f>SUM(E28:E29)</f>
        <v>0</v>
      </c>
      <c r="F30" s="132">
        <f>SUM(F28:F29)</f>
        <v>0</v>
      </c>
      <c r="G30" s="110">
        <f>SUM(G28:G29)</f>
        <v>0</v>
      </c>
      <c r="H30" s="1983"/>
      <c r="I30" s="1983"/>
      <c r="J30" s="1983"/>
      <c r="K30" s="1983"/>
      <c r="L30" s="1983"/>
    </row>
    <row r="31" spans="1:19" ht="32.25" customHeight="1" thickBot="1">
      <c r="A31" s="1368"/>
      <c r="B31" s="1369" t="s">
        <v>229</v>
      </c>
      <c r="C31" s="2329" t="s">
        <v>2325</v>
      </c>
      <c r="D31" s="1370">
        <f>D27+D30</f>
        <v>2079.0700000000002</v>
      </c>
      <c r="E31" s="1370">
        <f>E27+E30</f>
        <v>10000</v>
      </c>
      <c r="F31" s="1371">
        <f>F27+F30</f>
        <v>10000</v>
      </c>
      <c r="G31" s="1372">
        <f>G27+G30</f>
        <v>0</v>
      </c>
      <c r="H31" s="1983"/>
      <c r="I31" s="1983"/>
      <c r="J31" s="1983"/>
      <c r="K31" s="1983"/>
      <c r="L31" s="1983"/>
    </row>
    <row r="32" spans="1:19">
      <c r="A32" s="1983"/>
      <c r="B32" s="2362" t="s">
        <v>2324</v>
      </c>
      <c r="C32" s="2668"/>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K33"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6"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7" t="s">
        <v>235</v>
      </c>
      <c r="B2" s="2337">
        <f>项目基本情况!D3</f>
        <v>43230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3149</v>
      </c>
      <c r="O5" s="161" t="s">
        <v>246</v>
      </c>
      <c r="P5" s="163" t="s">
        <v>247</v>
      </c>
      <c r="Q5" s="164" t="s">
        <v>248</v>
      </c>
      <c r="R5" s="165" t="s">
        <v>249</v>
      </c>
      <c r="S5" s="2642" t="s">
        <v>2576</v>
      </c>
      <c r="T5" s="166" t="s">
        <v>250</v>
      </c>
      <c r="U5" s="167" t="s">
        <v>251</v>
      </c>
      <c r="V5" s="157" t="s">
        <v>252</v>
      </c>
      <c r="W5" s="157" t="s">
        <v>253</v>
      </c>
      <c r="X5" s="1817"/>
      <c r="Y5" s="168" t="s">
        <v>254</v>
      </c>
      <c r="Z5" s="169" t="s">
        <v>255</v>
      </c>
      <c r="AA5" s="157" t="s">
        <v>252</v>
      </c>
      <c r="AB5" s="157" t="s">
        <v>253</v>
      </c>
      <c r="AC5" s="1818"/>
      <c r="AD5" s="170" t="s">
        <v>254</v>
      </c>
      <c r="AE5" s="1" t="s">
        <v>870</v>
      </c>
      <c r="AF5" s="157" t="s">
        <v>256</v>
      </c>
      <c r="AG5" s="168" t="s">
        <v>257</v>
      </c>
      <c r="AH5" s="1818" t="s">
        <v>2326</v>
      </c>
      <c r="AI5" s="169" t="s">
        <v>2295</v>
      </c>
      <c r="AJ5" s="169" t="s">
        <v>258</v>
      </c>
      <c r="AK5" s="157" t="s">
        <v>259</v>
      </c>
      <c r="AL5" s="157" t="s">
        <v>260</v>
      </c>
      <c r="AM5" s="170"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办公</v>
      </c>
      <c r="B6" s="2336" t="str">
        <f>IF(A6=0,"","经营性")</f>
        <v>经营性</v>
      </c>
      <c r="C6" s="171" t="s">
        <v>1678</v>
      </c>
      <c r="D6" s="2307">
        <f>SUMIF(项目基本情况!D$15:I$15,C6,项目基本情况!D$18:I$18)</f>
        <v>50</v>
      </c>
      <c r="E6" s="2308">
        <f>IF(B6="","",SUMIF(项目基本情况!D$15:I$15,C6,项目基本情况!D$17:I$17))</f>
        <v>65746</v>
      </c>
      <c r="F6" s="172">
        <f>SUMIF(项目基本情况!D$15:I$15,C6,项目基本情况!D$19:I$19)</f>
        <v>50</v>
      </c>
      <c r="G6" s="173">
        <f>IF(ISERROR(ROUND(POWER(1+H6,D6-F6)*(POWER(1+H6,F6)-1)/(POWER(1+H6,D6)-1),3)),0,ROUND(POWER(1+H6,D6-F6)*(POWER(1+H6,F6)-1)/(POWER(1+H6,D6)-1),3))</f>
        <v>1</v>
      </c>
      <c r="H6" s="3047">
        <v>0.04</v>
      </c>
      <c r="I6" s="3047">
        <v>0.05</v>
      </c>
      <c r="J6" s="174">
        <v>0.08</v>
      </c>
      <c r="K6" s="177">
        <f>SUMIF('数据-汇总表'!C$19:C$33,'数据-取费表'!A6,'数据-汇总表'!E$19:E$33)</f>
        <v>10000</v>
      </c>
      <c r="L6" s="3181">
        <v>2500</v>
      </c>
      <c r="M6" s="175">
        <f t="shared" ref="M6:M14" si="0">ROUND(K6*L6/10000,0)</f>
        <v>2500</v>
      </c>
      <c r="N6" s="3049">
        <v>0</v>
      </c>
      <c r="O6" s="175">
        <f>IF($N$5="成新度","——",ROUND(M6*N6,0))</f>
        <v>0</v>
      </c>
      <c r="P6" s="176">
        <f>IF($N$5="成新度","——",M6-O6)</f>
        <v>2500</v>
      </c>
      <c r="Q6" s="3050">
        <v>0.25</v>
      </c>
      <c r="R6" s="177">
        <f>SUMIF('数据-汇总表'!C$19:C$33,A6,'数据-汇总表'!R$19:R$33)</f>
        <v>2079.0700000000002</v>
      </c>
      <c r="S6" s="130">
        <f>IF('数据-汇总表'!$I$17="按面积比例",SUMIF('数据-汇总表'!C$19:C$33,A6,'数据-汇总表'!K$19:K$33),SUMIF('数据-汇总表'!C$19:C$33,A6,'数据-汇总表'!N$19:N$33))</f>
        <v>0</v>
      </c>
      <c r="T6" s="2233" t="str">
        <f>IF($T$4="按面积比例",IF(ISERROR(ROUND($M$14*S6/S$16,0)),"0",ROUND($M$14*S6/S$16,0)),"需自行计算录入")</f>
        <v>0</v>
      </c>
      <c r="U6" s="178"/>
      <c r="V6" s="179"/>
      <c r="W6" s="179"/>
      <c r="X6" s="2320"/>
      <c r="Y6" s="180"/>
      <c r="Z6" s="181"/>
      <c r="AA6" s="174"/>
      <c r="AB6" s="174"/>
      <c r="AC6" s="2323"/>
      <c r="AD6" s="182"/>
      <c r="AE6" s="970">
        <f ca="1">IF(AN6="",0,SUMIF(INDIRECT("'"&amp;AN6&amp;"'"&amp;"!E:E"),$AE$5,INDIRECT("'"&amp;AN6&amp;"'"&amp;"!F:F")))</f>
        <v>0</v>
      </c>
      <c r="AF6" s="139"/>
      <c r="AG6" s="1211">
        <f>IF(AF6="",0,AE6-AF6)</f>
        <v>0</v>
      </c>
      <c r="AH6" s="139"/>
      <c r="AI6" s="185"/>
      <c r="AJ6" s="186"/>
      <c r="AK6" s="187"/>
      <c r="AL6" s="188"/>
      <c r="AM6" s="3061"/>
      <c r="AN6" s="2415"/>
      <c r="AO6" s="1999"/>
      <c r="AP6" s="1202">
        <f>ROUND(1-1/(1+H6)^F6,3)</f>
        <v>0.85899999999999999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f>'数据-汇总表'!C20</f>
        <v>0</v>
      </c>
      <c r="B7" s="2336" t="str">
        <f t="shared" ref="B7:B13" si="1">IF(A7=0,"","经营性")</f>
        <v/>
      </c>
      <c r="C7" s="171" t="s">
        <v>3023</v>
      </c>
      <c r="D7" s="2307">
        <f>SUMIF(项目基本情况!D$15:I$15,C7,项目基本情况!D$18:I$18)</f>
        <v>50</v>
      </c>
      <c r="E7" s="2308"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3047"/>
      <c r="I7" s="3047"/>
      <c r="J7" s="174"/>
      <c r="K7" s="177">
        <f>SUMIF('数据-汇总表'!C$19:C$33,'数据-取费表'!A7,'数据-汇总表'!E$19:E$33)</f>
        <v>0</v>
      </c>
      <c r="L7" s="3048"/>
      <c r="M7" s="175">
        <f t="shared" si="0"/>
        <v>0</v>
      </c>
      <c r="N7" s="3049"/>
      <c r="O7" s="175">
        <f t="shared" ref="O7:O14" si="3">IF($N$5="成新度","——",ROUND(M7*N7,0))</f>
        <v>0</v>
      </c>
      <c r="P7" s="176">
        <f t="shared" ref="P7:P14" si="4">IF($N$5="成新度","——",M7-O7)</f>
        <v>0</v>
      </c>
      <c r="Q7" s="3050"/>
      <c r="R7" s="177">
        <f>SUMIF('数据-汇总表'!C$19:C$33,A7,'数据-汇总表'!R$19:R$33)</f>
        <v>0</v>
      </c>
      <c r="S7" s="130">
        <f>IF('数据-汇总表'!$I$17="按面积比例",SUMIF('数据-汇总表'!C$19:C$33,A7,'数据-汇总表'!K$19:K$33),SUMIF('数据-汇总表'!C$19:C$33,A7,'数据-汇总表'!N$19:N$33))</f>
        <v>0</v>
      </c>
      <c r="T7" s="2233" t="str">
        <f t="shared" ref="T7:T13" si="5">IF($T$4="按面积比例",IF(ISERROR(ROUND($M$14*S7/S$16,0)),"0",ROUND($M$14*S7/S$16,0)),"需自行计算录入")</f>
        <v>0</v>
      </c>
      <c r="U7" s="178"/>
      <c r="V7" s="179"/>
      <c r="W7" s="179"/>
      <c r="X7" s="2320"/>
      <c r="Y7" s="180"/>
      <c r="Z7" s="181"/>
      <c r="AA7" s="174"/>
      <c r="AB7" s="174"/>
      <c r="AC7" s="2323"/>
      <c r="AD7" s="182"/>
      <c r="AE7" s="970">
        <f t="shared" ref="AE7:AE13" ca="1" si="6">IF(AN7="",0,SUMIF(INDIRECT("'"&amp;AN7&amp;"'"&amp;"!E:E"),$AE$5,INDIRECT("'"&amp;AN7&amp;"'"&amp;"!F:F")))</f>
        <v>0</v>
      </c>
      <c r="AF7" s="139"/>
      <c r="AG7" s="1211">
        <f t="shared" ref="AG7:AG13" si="7">IF(AF7="",0,AE7-AF7)</f>
        <v>0</v>
      </c>
      <c r="AH7" s="139"/>
      <c r="AI7" s="185"/>
      <c r="AJ7" s="186"/>
      <c r="AK7" s="187"/>
      <c r="AL7" s="188"/>
      <c r="AM7" s="2413"/>
      <c r="AN7" s="2415"/>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1"/>
      <c r="D8" s="2307">
        <f>SUMIF(项目基本情况!D$15:I$15,C8,项目基本情况!D$18:I$18)</f>
        <v>0</v>
      </c>
      <c r="E8" s="2308" t="str">
        <f>IF(B8="","",SUMIF(项目基本情况!D$15:I$15,C8,项目基本情况!D$17:I$17))</f>
        <v/>
      </c>
      <c r="F8" s="172">
        <f>SUMIF(项目基本情况!D$15:I$15,C8,项目基本情况!D$19:I$19)</f>
        <v>0</v>
      </c>
      <c r="G8" s="173">
        <f t="shared" si="2"/>
        <v>0</v>
      </c>
      <c r="H8" s="3047"/>
      <c r="I8" s="3047"/>
      <c r="J8" s="174"/>
      <c r="K8" s="177">
        <f>SUMIF('数据-汇总表'!C$19:C$33,'数据-取费表'!A8,'数据-汇总表'!E$19:E$33)</f>
        <v>0</v>
      </c>
      <c r="L8" s="3048"/>
      <c r="M8" s="175">
        <f>ROUND(K8*L8/10000,0)</f>
        <v>0</v>
      </c>
      <c r="N8" s="3049"/>
      <c r="O8" s="175">
        <f t="shared" si="3"/>
        <v>0</v>
      </c>
      <c r="P8" s="176">
        <f t="shared" si="4"/>
        <v>0</v>
      </c>
      <c r="Q8" s="3050"/>
      <c r="R8" s="177">
        <f>SUMIF('数据-汇总表'!C$19:C$33,A8,'数据-汇总表'!R$19:R$33)</f>
        <v>0</v>
      </c>
      <c r="S8" s="130">
        <f>IF('数据-汇总表'!$I$17="按面积比例",SUMIF('数据-汇总表'!C$19:C$33,A8,'数据-汇总表'!K$19:K$33),SUMIF('数据-汇总表'!C$19:C$33,A8,'数据-汇总表'!N$19:N$33))</f>
        <v>0</v>
      </c>
      <c r="T8" s="2233" t="str">
        <f t="shared" si="5"/>
        <v>0</v>
      </c>
      <c r="U8" s="178"/>
      <c r="V8" s="179"/>
      <c r="W8" s="179"/>
      <c r="X8" s="2320"/>
      <c r="Y8" s="180"/>
      <c r="Z8" s="181"/>
      <c r="AA8" s="174"/>
      <c r="AB8" s="174"/>
      <c r="AC8" s="2323"/>
      <c r="AD8" s="182"/>
      <c r="AE8" s="970">
        <f t="shared" ca="1" si="6"/>
        <v>0</v>
      </c>
      <c r="AF8" s="139"/>
      <c r="AG8" s="1211">
        <f t="shared" si="7"/>
        <v>0</v>
      </c>
      <c r="AH8" s="139"/>
      <c r="AI8" s="185"/>
      <c r="AJ8" s="186"/>
      <c r="AK8" s="187"/>
      <c r="AL8" s="188"/>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1"/>
      <c r="D9" s="2307">
        <f>SUMIF(项目基本情况!D$15:I$15,C9,项目基本情况!D$18:I$18)</f>
        <v>0</v>
      </c>
      <c r="E9" s="230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3" t="str">
        <f t="shared" si="5"/>
        <v>0</v>
      </c>
      <c r="U9" s="178"/>
      <c r="V9" s="179"/>
      <c r="W9" s="179"/>
      <c r="X9" s="2320"/>
      <c r="Y9" s="180"/>
      <c r="Z9" s="181"/>
      <c r="AA9" s="174"/>
      <c r="AB9" s="174"/>
      <c r="AC9" s="2323"/>
      <c r="AD9" s="182"/>
      <c r="AE9" s="970">
        <f t="shared" ca="1" si="6"/>
        <v>0</v>
      </c>
      <c r="AF9" s="139"/>
      <c r="AG9" s="1211">
        <f t="shared" si="7"/>
        <v>0</v>
      </c>
      <c r="AH9" s="139"/>
      <c r="AI9" s="185"/>
      <c r="AJ9" s="186"/>
      <c r="AK9" s="187"/>
      <c r="AL9" s="188"/>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1"/>
      <c r="D10" s="2307">
        <f>SUMIF(项目基本情况!D$15:I$15,C10,项目基本情况!D$18:I$18)</f>
        <v>0</v>
      </c>
      <c r="E10" s="230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3" t="str">
        <f t="shared" si="5"/>
        <v>0</v>
      </c>
      <c r="U10" s="178"/>
      <c r="V10" s="179"/>
      <c r="W10" s="179"/>
      <c r="X10" s="2320"/>
      <c r="Y10" s="180"/>
      <c r="Z10" s="181"/>
      <c r="AA10" s="174"/>
      <c r="AB10" s="174"/>
      <c r="AC10" s="2323"/>
      <c r="AD10" s="182"/>
      <c r="AE10" s="970">
        <f t="shared" ca="1" si="6"/>
        <v>0</v>
      </c>
      <c r="AF10" s="139"/>
      <c r="AG10" s="1211">
        <f t="shared" si="7"/>
        <v>0</v>
      </c>
      <c r="AH10" s="139"/>
      <c r="AI10" s="185"/>
      <c r="AJ10" s="186"/>
      <c r="AK10" s="187"/>
      <c r="AL10" s="188"/>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1"/>
      <c r="D11" s="2307">
        <f>SUMIF(项目基本情况!D$15:I$15,C11,项目基本情况!D$18:I$18)</f>
        <v>0</v>
      </c>
      <c r="E11" s="230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3" t="str">
        <f t="shared" si="5"/>
        <v>0</v>
      </c>
      <c r="U11" s="183"/>
      <c r="V11" s="174"/>
      <c r="W11" s="174"/>
      <c r="X11" s="2323"/>
      <c r="Y11" s="180"/>
      <c r="Z11" s="193"/>
      <c r="AA11" s="174"/>
      <c r="AB11" s="174"/>
      <c r="AC11" s="2323"/>
      <c r="AD11" s="182"/>
      <c r="AE11" s="970">
        <f t="shared" ca="1" si="6"/>
        <v>0</v>
      </c>
      <c r="AF11" s="139"/>
      <c r="AG11" s="1211">
        <f t="shared" si="7"/>
        <v>0</v>
      </c>
      <c r="AH11" s="139"/>
      <c r="AI11" s="185"/>
      <c r="AJ11" s="186"/>
      <c r="AK11" s="194"/>
      <c r="AL11" s="195"/>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1"/>
      <c r="D12" s="2307">
        <f>SUMIF(项目基本情况!D$15:I$15,C12,项目基本情况!D$18:I$18)</f>
        <v>0</v>
      </c>
      <c r="E12" s="230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3" t="str">
        <f t="shared" si="5"/>
        <v>0</v>
      </c>
      <c r="U12" s="183"/>
      <c r="V12" s="174"/>
      <c r="W12" s="174"/>
      <c r="X12" s="2323"/>
      <c r="Y12" s="180"/>
      <c r="Z12" s="193"/>
      <c r="AA12" s="174"/>
      <c r="AB12" s="174"/>
      <c r="AC12" s="2323"/>
      <c r="AD12" s="182"/>
      <c r="AE12" s="970">
        <f t="shared" ca="1" si="6"/>
        <v>0</v>
      </c>
      <c r="AF12" s="139"/>
      <c r="AG12" s="1211">
        <f t="shared" si="7"/>
        <v>0</v>
      </c>
      <c r="AH12" s="139"/>
      <c r="AI12" s="185"/>
      <c r="AJ12" s="186"/>
      <c r="AK12" s="194"/>
      <c r="AL12" s="195"/>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1"/>
      <c r="D13" s="2307">
        <f>SUMIF(项目基本情况!D$15:I$15,C13,项目基本情况!D$18:I$18)</f>
        <v>0</v>
      </c>
      <c r="E13" s="230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3" t="str">
        <f t="shared" si="5"/>
        <v>0</v>
      </c>
      <c r="U13" s="178"/>
      <c r="V13" s="179"/>
      <c r="W13" s="179"/>
      <c r="X13" s="2320"/>
      <c r="Y13" s="180"/>
      <c r="Z13" s="181"/>
      <c r="AA13" s="174"/>
      <c r="AB13" s="174"/>
      <c r="AC13" s="2323"/>
      <c r="AD13" s="182"/>
      <c r="AE13" s="970">
        <f t="shared" ca="1" si="6"/>
        <v>0</v>
      </c>
      <c r="AF13" s="139"/>
      <c r="AG13" s="1211">
        <f t="shared" si="7"/>
        <v>0</v>
      </c>
      <c r="AH13" s="139"/>
      <c r="AI13" s="185"/>
      <c r="AJ13" s="186"/>
      <c r="AK13" s="187"/>
      <c r="AL13" s="188"/>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2"/>
      <c r="G14" s="173"/>
      <c r="H14" s="2309"/>
      <c r="I14" s="2309"/>
      <c r="J14" s="2309"/>
      <c r="K14" s="177">
        <f>SUMIF('数据-汇总表'!C$19:C$33,'数据-取费表'!A14,'数据-汇总表'!E$19:E$33)</f>
        <v>0</v>
      </c>
      <c r="L14" s="191"/>
      <c r="M14" s="175">
        <f t="shared" si="0"/>
        <v>0</v>
      </c>
      <c r="N14" s="192"/>
      <c r="O14" s="175">
        <f t="shared" si="3"/>
        <v>0</v>
      </c>
      <c r="P14" s="176">
        <f t="shared" si="4"/>
        <v>0</v>
      </c>
      <c r="Q14" s="2317"/>
      <c r="R14" s="177"/>
      <c r="S14" s="130"/>
      <c r="T14" s="2316"/>
      <c r="U14" s="972"/>
      <c r="V14" s="2319"/>
      <c r="W14" s="2319"/>
      <c r="X14" s="2320"/>
      <c r="Y14" s="2321"/>
      <c r="Z14" s="134"/>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2"/>
      <c r="G15" s="173"/>
      <c r="H15" s="2309"/>
      <c r="I15" s="2309"/>
      <c r="J15" s="2309"/>
      <c r="K15" s="177">
        <f>SUMIF('数据-汇总表'!C$19:C$33,'数据-取费表'!A15,'数据-汇总表'!E$19:E$33)</f>
        <v>0</v>
      </c>
      <c r="L15" s="2315"/>
      <c r="M15" s="175"/>
      <c r="N15" s="2318"/>
      <c r="O15" s="175"/>
      <c r="P15" s="176"/>
      <c r="Q15" s="2317"/>
      <c r="R15" s="177"/>
      <c r="S15" s="130"/>
      <c r="T15" s="2316"/>
      <c r="U15" s="972"/>
      <c r="V15" s="2319"/>
      <c r="W15" s="2319"/>
      <c r="X15" s="2320"/>
      <c r="Y15" s="2321"/>
      <c r="Z15" s="134"/>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10000</v>
      </c>
      <c r="L16" s="204">
        <f>ROUND(M16*10000/SUM(K6:K14),0)</f>
        <v>2500</v>
      </c>
      <c r="M16" s="204">
        <f>SUM(M6:M14)</f>
        <v>2500</v>
      </c>
      <c r="N16" s="205">
        <f>ROUND(SUMPRODUCT(M6:M14,N6:N14)/M16,3)</f>
        <v>0</v>
      </c>
      <c r="O16" s="204">
        <f>SUM(O6:O14)</f>
        <v>0</v>
      </c>
      <c r="P16" s="204">
        <f>SUM(P6:P14)</f>
        <v>2500</v>
      </c>
      <c r="Q16" s="206">
        <f>ROUND(SUMPRODUCT(Q6:Q13,K6:K13)/SUMPRODUCT((Q6:Q13&gt;0)*(K6:K13)),2)</f>
        <v>0.25</v>
      </c>
      <c r="R16" s="2310">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0.85899999999999999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8"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7"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0" t="s">
        <v>2460</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0" t="s">
        <v>2461</v>
      </c>
      <c r="B40" s="2502">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6"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7"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7"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1156</v>
      </c>
      <c r="C53" s="3098" t="s">
        <v>2906</v>
      </c>
      <c r="D53" s="3099"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2908</v>
      </c>
      <c r="B54" s="184"/>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2909</v>
      </c>
      <c r="B55" s="184"/>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2910</v>
      </c>
      <c r="B56" s="184"/>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2911</v>
      </c>
      <c r="B57" s="184"/>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2912</v>
      </c>
      <c r="B58" s="184"/>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2913</v>
      </c>
      <c r="B59" s="184"/>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2914</v>
      </c>
      <c r="B60" s="184"/>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2915</v>
      </c>
      <c r="B61" s="184"/>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2916</v>
      </c>
      <c r="B62" s="184"/>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2917</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5"/>
      <c r="L64" s="55"/>
    </row>
    <row r="65" spans="1:12" s="1997" customFormat="1">
      <c r="A65" s="251"/>
      <c r="D65" s="1998"/>
      <c r="K65" s="55"/>
      <c r="L65" s="55"/>
    </row>
    <row r="66" spans="1:12" s="1997" customFormat="1">
      <c r="A66" s="251"/>
      <c r="D66" s="1998"/>
      <c r="K66" s="55"/>
      <c r="L66" s="55"/>
    </row>
    <row r="67" spans="1:12" s="1997" customFormat="1">
      <c r="A67" s="251"/>
      <c r="D67" s="1998"/>
      <c r="K67" s="55"/>
      <c r="L67" s="55"/>
    </row>
    <row r="68" spans="1:12" s="1997" customFormat="1">
      <c r="A68" s="251"/>
      <c r="D68" s="1998"/>
      <c r="K68" s="55"/>
      <c r="L68" s="55"/>
    </row>
    <row r="69" spans="1:12" s="1997" customFormat="1">
      <c r="A69" s="251"/>
      <c r="D69" s="1998"/>
      <c r="K69" s="55"/>
      <c r="L69" s="55"/>
    </row>
    <row r="70" spans="1:12" s="1997" customFormat="1">
      <c r="A70" s="251"/>
      <c r="D70" s="1998"/>
      <c r="K70" s="55"/>
      <c r="L70" s="55"/>
    </row>
    <row r="71" spans="1:12" s="1997" customFormat="1">
      <c r="A71" s="251"/>
      <c r="D71" s="1998"/>
      <c r="K71" s="55"/>
      <c r="L71" s="55"/>
    </row>
    <row r="72" spans="1:12" s="1997" customFormat="1">
      <c r="A72" s="251"/>
      <c r="D72" s="1998"/>
      <c r="K72" s="55"/>
      <c r="L72" s="55"/>
    </row>
    <row r="73" spans="1:12" s="1997" customFormat="1">
      <c r="A73" s="251"/>
      <c r="D73" s="1998"/>
      <c r="K73" s="55"/>
      <c r="L73" s="55"/>
    </row>
    <row r="74" spans="1:12" s="1997" customFormat="1">
      <c r="A74" s="251"/>
      <c r="D74" s="1998"/>
      <c r="K74" s="55"/>
      <c r="L74" s="55"/>
    </row>
    <row r="75" spans="1:12" s="1997" customFormat="1">
      <c r="A75" s="251"/>
      <c r="D75" s="1998"/>
      <c r="K75" s="55"/>
      <c r="L75" s="55"/>
    </row>
    <row r="76" spans="1:12" s="1997" customFormat="1">
      <c r="A76" s="251"/>
      <c r="D76" s="1998"/>
      <c r="K76" s="55"/>
      <c r="L76" s="55"/>
    </row>
    <row r="77" spans="1:12" s="1997" customFormat="1">
      <c r="A77" s="251"/>
      <c r="D77" s="1998"/>
      <c r="K77" s="55"/>
      <c r="L77" s="55"/>
    </row>
    <row r="78" spans="1:12" s="1997" customFormat="1">
      <c r="A78" s="251"/>
      <c r="D78" s="1998"/>
      <c r="K78" s="55"/>
      <c r="L78" s="55"/>
    </row>
    <row r="79" spans="1:12" s="1997" customFormat="1">
      <c r="A79" s="251"/>
      <c r="D79" s="1998"/>
      <c r="K79" s="55"/>
      <c r="L79" s="55"/>
    </row>
    <row r="80" spans="1:12" s="1997" customFormat="1">
      <c r="A80" s="251"/>
      <c r="D80" s="1998"/>
      <c r="K80" s="55"/>
      <c r="L80" s="55"/>
    </row>
    <row r="81" spans="1:12" s="1997" customFormat="1">
      <c r="A81" s="251"/>
      <c r="D81" s="1998"/>
      <c r="K81" s="55"/>
      <c r="L81" s="55"/>
    </row>
    <row r="82" spans="1:12" s="1997" customFormat="1">
      <c r="A82" s="251"/>
      <c r="D82" s="1998"/>
      <c r="K82" s="55"/>
      <c r="L82" s="55"/>
    </row>
    <row r="83" spans="1:12" s="1997" customFormat="1">
      <c r="A83" s="251"/>
      <c r="D83" s="1998"/>
      <c r="K83" s="55"/>
      <c r="L83" s="55"/>
    </row>
    <row r="84" spans="1:12" s="1997" customFormat="1">
      <c r="A84" s="251"/>
      <c r="D84" s="1998"/>
      <c r="K84" s="55"/>
      <c r="L84" s="55"/>
    </row>
    <row r="85" spans="1:12" s="1997" customFormat="1">
      <c r="A85" s="251"/>
      <c r="D85" s="1998"/>
      <c r="K85" s="55"/>
      <c r="L85" s="55"/>
    </row>
    <row r="86" spans="1:12" s="1997" customFormat="1">
      <c r="A86" s="251"/>
      <c r="D86" s="1998"/>
      <c r="K86" s="55"/>
      <c r="L86" s="55"/>
    </row>
    <row r="87" spans="1:12" s="1997" customFormat="1">
      <c r="A87" s="251"/>
      <c r="D87" s="1998"/>
      <c r="K87" s="55"/>
      <c r="L87" s="55"/>
    </row>
    <row r="88" spans="1:12" s="1997" customFormat="1">
      <c r="A88" s="251"/>
      <c r="D88" s="1998"/>
      <c r="K88" s="55"/>
      <c r="L88" s="55"/>
    </row>
    <row r="89" spans="1:12" s="1997" customFormat="1">
      <c r="A89" s="251"/>
      <c r="D89" s="1998"/>
      <c r="K89" s="55"/>
      <c r="L89" s="55"/>
    </row>
    <row r="90" spans="1:12" s="1997" customFormat="1">
      <c r="A90" s="251"/>
      <c r="D90" s="1998"/>
      <c r="K90" s="55"/>
      <c r="L90" s="55"/>
    </row>
    <row r="91" spans="1:12" s="1997" customFormat="1">
      <c r="A91" s="251"/>
      <c r="D91" s="1998"/>
      <c r="K91" s="55"/>
      <c r="L91" s="55"/>
    </row>
    <row r="92" spans="1:12" s="1997" customFormat="1">
      <c r="A92" s="251"/>
      <c r="D92" s="1998"/>
      <c r="K92" s="55"/>
      <c r="L92" s="55"/>
    </row>
    <row r="93" spans="1:12" s="1997" customFormat="1">
      <c r="A93" s="251"/>
      <c r="D93" s="1998"/>
      <c r="K93" s="55"/>
      <c r="L93" s="55"/>
    </row>
    <row r="94" spans="1:12" s="1997" customFormat="1">
      <c r="A94" s="251"/>
      <c r="D94" s="1998"/>
      <c r="K94" s="55"/>
      <c r="L94" s="55"/>
    </row>
    <row r="95" spans="1:12" s="1997" customFormat="1">
      <c r="A95" s="251"/>
      <c r="D95" s="1998"/>
      <c r="K95" s="55"/>
      <c r="L95" s="55"/>
    </row>
    <row r="96" spans="1:12" s="1997" customFormat="1">
      <c r="A96" s="251"/>
      <c r="D96" s="1998"/>
      <c r="K96" s="55"/>
      <c r="L96" s="55"/>
    </row>
    <row r="97" spans="1:12" s="1997" customFormat="1">
      <c r="A97" s="251"/>
      <c r="D97" s="1998"/>
      <c r="K97" s="55"/>
      <c r="L97" s="55"/>
    </row>
    <row r="98" spans="1:12" s="1997" customFormat="1">
      <c r="A98" s="251"/>
      <c r="D98" s="1998"/>
      <c r="K98" s="55"/>
      <c r="L98" s="55"/>
    </row>
    <row r="99" spans="1:12" s="1997" customFormat="1">
      <c r="A99" s="251"/>
      <c r="D99" s="1998"/>
      <c r="K99" s="55"/>
      <c r="L99" s="55"/>
    </row>
    <row r="100" spans="1:12" s="1997" customFormat="1">
      <c r="A100" s="251"/>
      <c r="D100" s="1998"/>
      <c r="K100" s="55"/>
      <c r="L100" s="55"/>
    </row>
    <row r="101" spans="1:12" s="1997" customFormat="1">
      <c r="A101" s="251"/>
      <c r="D101" s="1998"/>
      <c r="K101" s="55"/>
      <c r="L101" s="55"/>
    </row>
    <row r="102" spans="1:12" s="1997" customFormat="1">
      <c r="A102" s="251"/>
      <c r="D102" s="1998"/>
      <c r="K102" s="55"/>
      <c r="L102" s="55"/>
    </row>
    <row r="103" spans="1:12" s="1997" customFormat="1">
      <c r="A103" s="251"/>
      <c r="D103" s="1998"/>
      <c r="K103" s="55"/>
      <c r="L103" s="55"/>
    </row>
    <row r="104" spans="1:12" s="1997" customFormat="1">
      <c r="A104" s="251"/>
      <c r="D104" s="1998"/>
      <c r="K104" s="55"/>
      <c r="L104" s="55"/>
    </row>
    <row r="105" spans="1:12" s="1997" customFormat="1">
      <c r="A105" s="251"/>
      <c r="D105" s="1998"/>
      <c r="K105" s="55"/>
      <c r="L105" s="55"/>
    </row>
    <row r="106" spans="1:12" s="1997" customFormat="1">
      <c r="A106" s="251"/>
      <c r="D106" s="1998"/>
      <c r="K106" s="55"/>
      <c r="L106" s="55"/>
    </row>
    <row r="107" spans="1:12" s="1997" customFormat="1">
      <c r="A107" s="251"/>
      <c r="D107" s="1998"/>
      <c r="K107" s="55"/>
      <c r="L107" s="55"/>
    </row>
    <row r="108" spans="1:12" s="1997" customFormat="1">
      <c r="A108" s="251"/>
      <c r="D108" s="1998"/>
      <c r="K108" s="55"/>
      <c r="L108" s="55"/>
    </row>
    <row r="109" spans="1:12" s="1997" customFormat="1">
      <c r="A109" s="251"/>
      <c r="D109" s="1998"/>
      <c r="K109" s="55"/>
      <c r="L109" s="55"/>
    </row>
    <row r="110" spans="1:12" s="1997" customFormat="1">
      <c r="A110" s="251"/>
      <c r="D110" s="1998"/>
      <c r="K110" s="55"/>
      <c r="L110" s="55"/>
    </row>
    <row r="111" spans="1:12" s="1997" customFormat="1">
      <c r="A111" s="251"/>
      <c r="D111" s="1998"/>
      <c r="K111" s="55"/>
      <c r="L111" s="55"/>
    </row>
    <row r="112" spans="1:12" s="1997" customFormat="1">
      <c r="A112" s="251"/>
      <c r="D112" s="1998"/>
      <c r="K112" s="55"/>
      <c r="L112" s="55"/>
    </row>
    <row r="113" spans="1:12" s="1997" customFormat="1">
      <c r="A113" s="251"/>
      <c r="D113" s="1998"/>
      <c r="K113" s="55"/>
      <c r="L113" s="55"/>
    </row>
    <row r="114" spans="1:12" s="1997" customFormat="1">
      <c r="A114" s="251"/>
      <c r="D114" s="1998"/>
      <c r="K114" s="55"/>
      <c r="L114" s="55"/>
    </row>
    <row r="115" spans="1:12" s="1997" customFormat="1">
      <c r="A115" s="251"/>
      <c r="D115" s="1998"/>
      <c r="K115" s="55"/>
      <c r="L115" s="55"/>
    </row>
    <row r="116" spans="1:12" s="1997" customFormat="1">
      <c r="A116" s="251"/>
      <c r="D116" s="1998"/>
      <c r="K116" s="55"/>
      <c r="L116" s="55"/>
    </row>
    <row r="117" spans="1:12" s="1997" customFormat="1">
      <c r="A117" s="251"/>
      <c r="D117" s="1998"/>
      <c r="K117" s="55"/>
      <c r="L117" s="55"/>
    </row>
    <row r="118" spans="1:12" s="1997" customFormat="1">
      <c r="A118" s="251"/>
      <c r="D118" s="1998"/>
      <c r="K118" s="55"/>
      <c r="L118" s="55"/>
    </row>
    <row r="119" spans="1:12" s="1997" customFormat="1">
      <c r="A119" s="251"/>
      <c r="D119" s="1998"/>
      <c r="K119" s="55"/>
      <c r="L119" s="55"/>
    </row>
    <row r="120" spans="1:12" s="1997" customFormat="1">
      <c r="A120" s="251"/>
      <c r="D120" s="1998"/>
      <c r="K120" s="55"/>
      <c r="L120" s="55"/>
    </row>
    <row r="121" spans="1:12" s="1997" customFormat="1">
      <c r="A121" s="251"/>
      <c r="D121" s="1998"/>
      <c r="K121" s="55"/>
      <c r="L121" s="55"/>
    </row>
    <row r="122" spans="1:12" s="1997" customFormat="1">
      <c r="A122" s="251"/>
      <c r="D122" s="1998"/>
      <c r="K122" s="55"/>
      <c r="L122" s="55"/>
    </row>
    <row r="123" spans="1:12" s="1997" customFormat="1">
      <c r="A123" s="251"/>
      <c r="D123" s="1998"/>
      <c r="K123" s="55"/>
      <c r="L123" s="55"/>
    </row>
    <row r="124" spans="1:12" s="1997" customFormat="1">
      <c r="A124" s="251"/>
      <c r="D124" s="1998"/>
      <c r="K124" s="55"/>
      <c r="L124" s="55"/>
    </row>
    <row r="125" spans="1:12" s="1997" customFormat="1">
      <c r="A125" s="251"/>
      <c r="D125" s="1998"/>
      <c r="K125" s="55"/>
      <c r="L125" s="55"/>
    </row>
    <row r="126" spans="1:12" s="1997" customFormat="1">
      <c r="A126" s="251"/>
      <c r="D126" s="1998"/>
      <c r="K126" s="55"/>
      <c r="L126" s="55"/>
    </row>
    <row r="127" spans="1:12" s="1997" customFormat="1">
      <c r="A127" s="251"/>
      <c r="D127" s="1998"/>
      <c r="K127" s="55"/>
      <c r="L127" s="55"/>
    </row>
    <row r="128" spans="1:12" s="1997" customFormat="1">
      <c r="A128" s="251"/>
      <c r="D128" s="1998"/>
      <c r="K128" s="55"/>
      <c r="L128" s="55"/>
    </row>
    <row r="129" spans="1:12" s="1997" customFormat="1">
      <c r="A129" s="251"/>
      <c r="D129" s="1998"/>
      <c r="K129" s="55"/>
      <c r="L129" s="55"/>
    </row>
    <row r="130" spans="1:12" s="1997" customFormat="1">
      <c r="A130" s="251"/>
      <c r="D130" s="1998"/>
      <c r="K130" s="55"/>
      <c r="L130" s="55"/>
    </row>
    <row r="131" spans="1:12" s="1997" customFormat="1">
      <c r="A131" s="251"/>
      <c r="D131" s="1998"/>
      <c r="K131" s="55"/>
      <c r="L131" s="55"/>
    </row>
    <row r="132" spans="1:12" s="1997" customFormat="1">
      <c r="A132" s="251"/>
      <c r="D132" s="1998"/>
      <c r="K132" s="55"/>
      <c r="L132" s="55"/>
    </row>
    <row r="133" spans="1:12" s="1997" customFormat="1">
      <c r="A133" s="251"/>
      <c r="D133" s="1998"/>
      <c r="K133" s="55"/>
      <c r="L133" s="55"/>
    </row>
    <row r="134" spans="1:12" s="1997" customFormat="1">
      <c r="A134" s="251"/>
      <c r="D134" s="1998"/>
      <c r="K134" s="55"/>
      <c r="L134" s="55"/>
    </row>
    <row r="135" spans="1:12" s="1997" customFormat="1">
      <c r="A135" s="251"/>
      <c r="D135" s="1998"/>
      <c r="K135" s="55"/>
      <c r="L135" s="55"/>
    </row>
    <row r="136" spans="1:12" s="1997" customFormat="1">
      <c r="A136" s="251"/>
      <c r="D136" s="1998"/>
      <c r="K136" s="55"/>
      <c r="L136" s="55"/>
    </row>
    <row r="137" spans="1:12" s="1997" customFormat="1">
      <c r="A137" s="251"/>
      <c r="D137" s="1998"/>
      <c r="K137" s="55"/>
      <c r="L137" s="55"/>
    </row>
    <row r="138" spans="1:12" s="1997" customFormat="1">
      <c r="A138" s="251"/>
      <c r="D138" s="1998"/>
      <c r="K138" s="55"/>
      <c r="L138" s="55"/>
    </row>
    <row r="139" spans="1:12" s="1997" customFormat="1">
      <c r="A139" s="251"/>
      <c r="D139" s="1998"/>
      <c r="K139" s="55"/>
      <c r="L139" s="55"/>
    </row>
    <row r="140" spans="1:12" s="1997" customFormat="1">
      <c r="A140" s="251"/>
      <c r="D140" s="1998"/>
      <c r="K140" s="55"/>
      <c r="L140" s="55"/>
    </row>
    <row r="141" spans="1:12" s="1997" customFormat="1">
      <c r="A141" s="251"/>
      <c r="D141" s="1998"/>
      <c r="K141" s="55"/>
      <c r="L141" s="55"/>
    </row>
    <row r="142" spans="1:12" s="1997" customFormat="1">
      <c r="A142" s="251"/>
      <c r="D142" s="1998"/>
      <c r="K142" s="55"/>
      <c r="L142" s="55"/>
    </row>
    <row r="143" spans="1:12" s="1997" customFormat="1">
      <c r="A143" s="251"/>
      <c r="D143" s="1998"/>
      <c r="K143" s="55"/>
      <c r="L143" s="55"/>
    </row>
    <row r="144" spans="1:12" s="1997" customFormat="1">
      <c r="A144" s="251"/>
      <c r="D144" s="1998"/>
      <c r="K144" s="55"/>
      <c r="L144" s="55"/>
    </row>
    <row r="145" spans="1:12" s="1997" customFormat="1">
      <c r="A145" s="251"/>
      <c r="D145" s="1998"/>
      <c r="K145" s="55"/>
      <c r="L145" s="55"/>
    </row>
    <row r="146" spans="1:12" s="1997" customFormat="1">
      <c r="A146" s="251"/>
      <c r="D146" s="1998"/>
      <c r="K146" s="55"/>
      <c r="L146" s="55"/>
    </row>
    <row r="147" spans="1:12" s="1997" customFormat="1">
      <c r="A147" s="251"/>
      <c r="D147" s="1998"/>
      <c r="K147" s="55"/>
      <c r="L147" s="55"/>
    </row>
    <row r="148" spans="1:12" s="1997" customFormat="1">
      <c r="A148" s="251"/>
      <c r="D148" s="1998"/>
      <c r="K148" s="55"/>
      <c r="L148" s="55"/>
    </row>
    <row r="149" spans="1:12" s="1997" customFormat="1">
      <c r="A149" s="251"/>
      <c r="D149" s="1998"/>
      <c r="K149" s="55"/>
      <c r="L149" s="55"/>
    </row>
    <row r="150" spans="1:12" s="1997" customFormat="1">
      <c r="A150" s="251"/>
      <c r="D150" s="1998"/>
      <c r="K150" s="55"/>
      <c r="L150" s="55"/>
    </row>
    <row r="151" spans="1:12" s="1997" customFormat="1">
      <c r="A151" s="251"/>
      <c r="D151" s="1998"/>
      <c r="K151" s="55"/>
      <c r="L151" s="55"/>
    </row>
    <row r="152" spans="1:12" s="1997" customFormat="1">
      <c r="A152" s="251"/>
      <c r="D152" s="1998"/>
      <c r="K152" s="55"/>
      <c r="L152" s="55"/>
    </row>
    <row r="153" spans="1:12" s="1997" customFormat="1">
      <c r="A153" s="251"/>
      <c r="D153" s="1998"/>
      <c r="K153" s="55"/>
      <c r="L153" s="55"/>
    </row>
    <row r="154" spans="1:12" s="1997" customFormat="1">
      <c r="A154" s="251"/>
      <c r="D154" s="1998"/>
      <c r="K154" s="55"/>
      <c r="L154" s="55"/>
    </row>
    <row r="155" spans="1:12" s="1997" customFormat="1">
      <c r="A155" s="251"/>
      <c r="D155" s="1998"/>
      <c r="K155" s="55"/>
      <c r="L155" s="55"/>
    </row>
    <row r="156" spans="1:12" s="1997" customFormat="1">
      <c r="A156" s="251"/>
      <c r="D156" s="1998"/>
      <c r="K156" s="55"/>
      <c r="L156" s="55"/>
    </row>
    <row r="157" spans="1:12" s="1997" customFormat="1">
      <c r="A157" s="251"/>
      <c r="D157" s="1998"/>
      <c r="K157" s="55"/>
      <c r="L157" s="55"/>
    </row>
    <row r="158" spans="1:12" s="1997" customFormat="1">
      <c r="A158" s="251"/>
      <c r="D158" s="1998"/>
      <c r="K158" s="55"/>
      <c r="L158" s="55"/>
    </row>
    <row r="159" spans="1:12" s="1997" customFormat="1">
      <c r="A159" s="251"/>
      <c r="D159" s="1998"/>
      <c r="K159" s="55"/>
      <c r="L159" s="55"/>
    </row>
    <row r="160" spans="1:12" s="1997" customFormat="1">
      <c r="A160" s="251"/>
      <c r="D160" s="1998"/>
      <c r="K160" s="55"/>
      <c r="L160" s="55"/>
    </row>
    <row r="161" spans="1:12" s="1997" customFormat="1">
      <c r="A161" s="251"/>
      <c r="D161" s="1998"/>
      <c r="K161" s="55"/>
      <c r="L161" s="55"/>
    </row>
    <row r="162" spans="1:12" s="1997" customFormat="1">
      <c r="A162" s="251"/>
      <c r="D162" s="1998"/>
      <c r="K162" s="55"/>
      <c r="L162" s="55"/>
    </row>
    <row r="163" spans="1:12" s="1997" customFormat="1">
      <c r="A163" s="251"/>
      <c r="D163" s="1998"/>
      <c r="K163" s="55"/>
      <c r="L163" s="55"/>
    </row>
    <row r="164" spans="1:12" s="1997" customFormat="1">
      <c r="A164" s="251"/>
      <c r="D164" s="1998"/>
      <c r="K164" s="55"/>
      <c r="L164" s="55"/>
    </row>
    <row r="165" spans="1:12" s="1997" customFormat="1">
      <c r="A165" s="251"/>
      <c r="D165" s="1998"/>
      <c r="K165" s="55"/>
      <c r="L165" s="55"/>
    </row>
    <row r="166" spans="1:12" s="1997" customFormat="1">
      <c r="A166" s="251"/>
      <c r="D166" s="1998"/>
      <c r="K166" s="55"/>
      <c r="L166" s="55"/>
    </row>
    <row r="167" spans="1:12" s="1997" customFormat="1">
      <c r="A167" s="251"/>
      <c r="D167" s="1998"/>
      <c r="K167" s="55"/>
      <c r="L167" s="55"/>
    </row>
    <row r="168" spans="1:12" s="1997" customFormat="1">
      <c r="A168" s="251"/>
      <c r="D168" s="1998"/>
      <c r="K168" s="55"/>
      <c r="L168" s="55"/>
    </row>
    <row r="169" spans="1:12" s="1997" customFormat="1">
      <c r="A169" s="251"/>
      <c r="D169" s="1998"/>
      <c r="K169" s="55"/>
      <c r="L169" s="55"/>
    </row>
    <row r="170" spans="1:12" s="1997" customFormat="1">
      <c r="A170" s="251"/>
      <c r="D170" s="1998"/>
      <c r="K170" s="55"/>
      <c r="L170" s="55"/>
    </row>
    <row r="171" spans="1:12" s="1997" customFormat="1">
      <c r="A171" s="251"/>
      <c r="D171" s="1998"/>
      <c r="K171" s="55"/>
      <c r="L171" s="55"/>
    </row>
    <row r="172" spans="1:12" s="1997" customFormat="1">
      <c r="A172" s="251"/>
      <c r="D172" s="1998"/>
      <c r="K172" s="55"/>
      <c r="L172" s="55"/>
    </row>
    <row r="173" spans="1:12" s="1997" customFormat="1">
      <c r="A173" s="251"/>
      <c r="D173" s="1998"/>
      <c r="K173" s="55"/>
      <c r="L173" s="55"/>
    </row>
    <row r="174" spans="1:12" s="1997" customFormat="1">
      <c r="A174" s="251"/>
      <c r="D174" s="1998"/>
      <c r="K174" s="55"/>
      <c r="L174" s="55"/>
    </row>
    <row r="175" spans="1:12" s="1997" customFormat="1">
      <c r="A175" s="251"/>
      <c r="D175" s="1998"/>
      <c r="K175" s="55"/>
      <c r="L175" s="55"/>
    </row>
    <row r="176" spans="1:12" s="1997" customFormat="1">
      <c r="A176" s="251"/>
      <c r="D176" s="1998"/>
      <c r="K176" s="55"/>
      <c r="L176" s="55"/>
    </row>
    <row r="177" spans="1:12" s="1997" customFormat="1">
      <c r="A177" s="251"/>
      <c r="D177" s="1998"/>
      <c r="K177" s="55"/>
      <c r="L177" s="55"/>
    </row>
    <row r="178" spans="1:12" s="1997" customFormat="1">
      <c r="A178" s="251"/>
      <c r="D178" s="1998"/>
      <c r="K178" s="55"/>
      <c r="L178" s="55"/>
    </row>
    <row r="179" spans="1:12" s="1997" customFormat="1">
      <c r="A179" s="251"/>
      <c r="D179" s="1998"/>
      <c r="K179" s="55"/>
      <c r="L179" s="55"/>
    </row>
    <row r="180" spans="1:12" s="1997" customFormat="1">
      <c r="A180" s="251"/>
      <c r="D180" s="1998"/>
      <c r="K180" s="55"/>
      <c r="L180" s="55"/>
    </row>
    <row r="181" spans="1:12" s="1997" customFormat="1">
      <c r="A181" s="251"/>
      <c r="D181" s="1998"/>
      <c r="K181" s="55"/>
      <c r="L181" s="55"/>
    </row>
    <row r="182" spans="1:12" s="1997" customFormat="1">
      <c r="A182" s="251"/>
      <c r="D182" s="1998"/>
      <c r="K182" s="55"/>
      <c r="L182" s="55"/>
    </row>
    <row r="183" spans="1:12" s="1997" customFormat="1">
      <c r="A183" s="251"/>
      <c r="D183" s="1998"/>
      <c r="K183" s="55"/>
      <c r="L183" s="55"/>
    </row>
    <row r="184" spans="1:12" s="1997" customFormat="1">
      <c r="A184" s="251"/>
      <c r="D184" s="1998"/>
      <c r="K184" s="55"/>
      <c r="L184" s="55"/>
    </row>
    <row r="185" spans="1:12" s="1997" customFormat="1">
      <c r="A185" s="251"/>
      <c r="D185" s="1998"/>
      <c r="K185" s="55"/>
      <c r="L185" s="55"/>
    </row>
    <row r="186" spans="1:12" s="1997" customFormat="1">
      <c r="A186" s="251"/>
      <c r="D186" s="1998"/>
      <c r="K186" s="55"/>
      <c r="L186" s="55"/>
    </row>
    <row r="187" spans="1:12" s="1997" customFormat="1">
      <c r="A187" s="251"/>
      <c r="D187" s="1998"/>
      <c r="K187" s="55"/>
      <c r="L187" s="55"/>
    </row>
    <row r="188" spans="1:12" s="1997" customFormat="1">
      <c r="A188" s="251"/>
      <c r="D188" s="1998"/>
      <c r="K188" s="55"/>
      <c r="L188" s="55"/>
    </row>
    <row r="189" spans="1:12" s="1997" customFormat="1">
      <c r="A189" s="251"/>
      <c r="D189" s="1998"/>
      <c r="K189" s="55"/>
      <c r="L189" s="55"/>
    </row>
    <row r="190" spans="1:12" s="1997" customFormat="1">
      <c r="A190" s="251"/>
      <c r="D190" s="1998"/>
      <c r="K190" s="55"/>
      <c r="L190" s="55"/>
    </row>
    <row r="191" spans="1:12" s="1997" customFormat="1">
      <c r="A191" s="251"/>
      <c r="D191" s="1998"/>
      <c r="K191" s="55"/>
      <c r="L191" s="55"/>
    </row>
    <row r="192" spans="1:12" s="1997" customFormat="1">
      <c r="A192" s="251"/>
      <c r="D192" s="1998"/>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80" t="s">
        <v>1664</v>
      </c>
      <c r="B1" s="3381"/>
      <c r="C1" s="3381"/>
      <c r="D1" s="3381"/>
      <c r="E1" s="3381"/>
      <c r="F1" s="3381"/>
      <c r="G1" s="3381"/>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hidden="1">
      <c r="A3" s="1225" t="s">
        <v>1667</v>
      </c>
      <c r="B3" s="1226" t="s">
        <v>1654</v>
      </c>
      <c r="C3" s="3103" t="s">
        <v>2923</v>
      </c>
      <c r="D3" s="2008"/>
      <c r="E3" s="1227" t="s">
        <v>1667</v>
      </c>
      <c r="F3" s="1228" t="s">
        <v>1655</v>
      </c>
      <c r="G3" s="3107" t="s">
        <v>2922</v>
      </c>
      <c r="H3" s="2007"/>
      <c r="I3" s="2007"/>
      <c r="J3" s="2007"/>
      <c r="K3" s="2007"/>
      <c r="L3" s="2007"/>
      <c r="M3" s="2007"/>
      <c r="N3" s="2007"/>
      <c r="O3" s="2007"/>
      <c r="P3" s="2007"/>
      <c r="Q3" s="2007"/>
      <c r="R3" s="2007"/>
    </row>
    <row r="4" spans="1:18" ht="41.25" hidden="1">
      <c r="A4" s="1227"/>
      <c r="B4" s="1229" t="s">
        <v>1668</v>
      </c>
      <c r="C4" s="3104" t="s">
        <v>2924</v>
      </c>
      <c r="D4" s="2008"/>
      <c r="E4" s="1230"/>
      <c r="F4" s="1231" t="s">
        <v>1669</v>
      </c>
      <c r="G4" s="3105" t="s">
        <v>2919</v>
      </c>
      <c r="H4" s="2007"/>
      <c r="I4" s="2007"/>
      <c r="J4" s="2007"/>
      <c r="K4" s="2007"/>
      <c r="L4" s="2007"/>
      <c r="M4" s="2007"/>
      <c r="N4" s="2007"/>
      <c r="O4" s="2007"/>
      <c r="P4" s="2007"/>
      <c r="Q4" s="2007"/>
      <c r="R4" s="2007"/>
    </row>
    <row r="5" spans="1:18" ht="54">
      <c r="A5" s="1227"/>
      <c r="B5" s="1229" t="s">
        <v>1670</v>
      </c>
      <c r="C5" s="3240" t="s">
        <v>3100</v>
      </c>
      <c r="D5" s="2008"/>
      <c r="E5" s="1230"/>
      <c r="F5" s="1229" t="s">
        <v>2550</v>
      </c>
      <c r="G5" s="3105" t="s">
        <v>2920</v>
      </c>
      <c r="H5" s="2007"/>
      <c r="I5" s="2007"/>
      <c r="J5" s="2007"/>
      <c r="K5" s="2007"/>
      <c r="L5" s="2007"/>
      <c r="M5" s="2007"/>
      <c r="N5" s="2007"/>
      <c r="O5" s="2007"/>
      <c r="P5" s="2007"/>
      <c r="Q5" s="2007"/>
      <c r="R5" s="2007"/>
    </row>
    <row r="6" spans="1:18" ht="148.5">
      <c r="A6" s="1227"/>
      <c r="B6" s="1229" t="s">
        <v>1656</v>
      </c>
      <c r="C6" s="3192" t="s">
        <v>3101</v>
      </c>
      <c r="D6" s="2008"/>
      <c r="E6" s="1230"/>
      <c r="F6" s="1229" t="s">
        <v>2551</v>
      </c>
      <c r="G6" s="3105" t="s">
        <v>2918</v>
      </c>
      <c r="H6" s="2007"/>
      <c r="I6" s="2007"/>
      <c r="J6" s="2007"/>
      <c r="K6" s="2007"/>
      <c r="L6" s="2007"/>
      <c r="M6" s="2007"/>
      <c r="N6" s="2007"/>
      <c r="O6" s="2007"/>
      <c r="P6" s="2007"/>
      <c r="Q6" s="2007"/>
      <c r="R6" s="2007"/>
    </row>
    <row r="7" spans="1:18" ht="41.25" thickBot="1">
      <c r="A7" s="1227"/>
      <c r="B7" s="1229" t="s">
        <v>2550</v>
      </c>
      <c r="C7" s="3192" t="s">
        <v>3093</v>
      </c>
      <c r="D7" s="2009"/>
      <c r="E7" s="1232"/>
      <c r="F7" s="1233" t="s">
        <v>1671</v>
      </c>
      <c r="G7" s="3108" t="s">
        <v>2921</v>
      </c>
      <c r="H7" s="2007"/>
      <c r="I7" s="2007"/>
      <c r="J7" s="2007"/>
      <c r="K7" s="2007"/>
      <c r="L7" s="2007"/>
      <c r="M7" s="2007"/>
      <c r="N7" s="2007"/>
      <c r="O7" s="2007"/>
      <c r="P7" s="2007"/>
      <c r="Q7" s="2007"/>
      <c r="R7" s="2007"/>
    </row>
    <row r="8" spans="1:18" ht="27">
      <c r="A8" s="1227"/>
      <c r="B8" s="1229" t="s">
        <v>2551</v>
      </c>
      <c r="C8" s="3192" t="s">
        <v>3094</v>
      </c>
      <c r="D8" s="2009"/>
      <c r="E8" s="2009"/>
      <c r="F8" s="1552"/>
      <c r="G8" s="1552"/>
      <c r="H8" s="2007"/>
      <c r="I8" s="2007"/>
      <c r="J8" s="2007"/>
      <c r="K8" s="2007"/>
      <c r="L8" s="2007"/>
      <c r="M8" s="2007"/>
      <c r="N8" s="2007"/>
      <c r="O8" s="2007"/>
      <c r="P8" s="2007"/>
      <c r="Q8" s="2007"/>
      <c r="R8" s="2007"/>
    </row>
    <row r="9" spans="1:18" ht="108">
      <c r="A9" s="1227"/>
      <c r="B9" s="1229" t="s">
        <v>1657</v>
      </c>
      <c r="C9" s="3240" t="s">
        <v>3102</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6"/>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9"/>
      <c r="E12" s="2008"/>
      <c r="F12" s="2009"/>
      <c r="G12" s="2011"/>
      <c r="H12" s="2016"/>
      <c r="I12" s="2017"/>
      <c r="J12" s="2016"/>
      <c r="K12" s="2016"/>
      <c r="L12" s="2018"/>
      <c r="M12" s="2016"/>
      <c r="N12" s="2019"/>
      <c r="O12" s="2020"/>
      <c r="P12" s="2021"/>
      <c r="Q12" s="2019"/>
      <c r="R12" s="2005"/>
    </row>
    <row r="13" spans="1:18" ht="19.5" thickBot="1">
      <c r="A13" s="2598" t="s">
        <v>1673</v>
      </c>
      <c r="B13" s="2599"/>
      <c r="C13" s="2599"/>
      <c r="D13" s="1222"/>
      <c r="E13" s="2599"/>
      <c r="F13" s="2599"/>
      <c r="G13" s="2599"/>
    </row>
    <row r="14" spans="1:18" ht="14.25" thickBot="1">
      <c r="A14" s="1236"/>
      <c r="B14" s="1237"/>
      <c r="C14" s="1238" t="s">
        <v>1665</v>
      </c>
      <c r="D14" s="2008"/>
      <c r="E14" s="1239"/>
      <c r="F14" s="1239"/>
      <c r="G14" s="1221" t="s">
        <v>1666</v>
      </c>
    </row>
    <row r="15" spans="1:18" ht="54">
      <c r="A15" s="2609" t="s">
        <v>1658</v>
      </c>
      <c r="B15" s="1240" t="s">
        <v>1654</v>
      </c>
      <c r="C15" s="1241" t="str">
        <f>C3</f>
        <v>估价对象周边居住用地比例、居住小区规模和社区发展完善程度，综合评价居住社区成熟度一般</v>
      </c>
      <c r="D15" s="2008"/>
      <c r="E15" s="2606" t="s">
        <v>1659</v>
      </c>
      <c r="F15" s="1240" t="s">
        <v>1674</v>
      </c>
      <c r="G15" s="1242" t="str">
        <f>G3</f>
        <v>估价对象位于XX开发区，园区建设成熟度XX，产业集聚程度XX</v>
      </c>
    </row>
    <row r="16" spans="1:18" ht="40.5">
      <c r="A16" s="2610"/>
      <c r="B16" s="1243" t="s">
        <v>1668</v>
      </c>
      <c r="C16" s="1244" t="str">
        <f>C4</f>
        <v>估价对象位于XX商圈，周边商业氛围成熟，人流量大，商业繁华度好</v>
      </c>
      <c r="D16" s="2008"/>
      <c r="E16" s="2607"/>
      <c r="F16" s="1245" t="s">
        <v>1669</v>
      </c>
      <c r="G16" s="1003" t="str">
        <f>G4</f>
        <v>估价对象周边道路状况、公共交通通达情况、停车便捷程度，综合评价交通便捷度较好</v>
      </c>
    </row>
    <row r="17" spans="1:7" ht="54">
      <c r="A17" s="2610"/>
      <c r="B17" s="1243" t="s">
        <v>1670</v>
      </c>
      <c r="C17" s="1244" t="str">
        <f>C5</f>
        <v>估价对象位于西直门商圈，估价对象周边主要以居住为主，办公楼项目较少，办公集聚程度一般。</v>
      </c>
      <c r="D17" s="2009"/>
      <c r="E17" s="2607"/>
      <c r="F17" s="1245" t="s">
        <v>1675</v>
      </c>
      <c r="G17" s="2815"/>
    </row>
    <row r="18" spans="1:7" ht="148.5">
      <c r="A18" s="2610"/>
      <c r="B18" s="1245"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9"/>
      <c r="E18" s="2607"/>
      <c r="F18" s="1245" t="s">
        <v>1671</v>
      </c>
      <c r="G18" s="1003" t="str">
        <f>G7</f>
        <v>该园区内是否有污染型企业，绿化情况，卫生条件，整体环境状况判断</v>
      </c>
    </row>
    <row r="19" spans="1:7" ht="27">
      <c r="A19" s="2610"/>
      <c r="B19" s="1245" t="s">
        <v>1660</v>
      </c>
      <c r="C19" s="2815"/>
      <c r="D19" s="2008"/>
      <c r="E19" s="2607"/>
      <c r="F19" s="1229" t="s">
        <v>2550</v>
      </c>
      <c r="G19" s="1003" t="str">
        <f>G5</f>
        <v>估价对象所在区域公共配套设施齐备情况</v>
      </c>
    </row>
    <row r="20" spans="1:7" ht="108">
      <c r="A20" s="2610"/>
      <c r="B20" s="1245" t="s">
        <v>1661</v>
      </c>
      <c r="C20" s="1244" t="str">
        <f>C9</f>
        <v>区域自然环境：官园公园、什刹海公园、北海公园；人文环境：妙应寺白塔、恭王府、历代帝王庙、梅兰芳纪念馆、西直门天主教堂、西城区图书馆；综合评价环境状况好。</v>
      </c>
      <c r="D20" s="2009"/>
      <c r="E20" s="2607"/>
      <c r="F20" s="1229" t="s">
        <v>2551</v>
      </c>
      <c r="G20" s="1003" t="str">
        <f>G6</f>
        <v>估价对象所在区域基础设施水平</v>
      </c>
    </row>
    <row r="21" spans="1:7" ht="27">
      <c r="A21" s="2610"/>
      <c r="B21" s="1229" t="s">
        <v>2550</v>
      </c>
      <c r="C21" s="1003" t="str">
        <f>C7</f>
        <v>估价对象所在区域公共配套设施齐备</v>
      </c>
      <c r="D21" s="2008"/>
      <c r="E21" s="2607"/>
      <c r="F21" s="1245" t="s">
        <v>1662</v>
      </c>
      <c r="G21" s="3109"/>
    </row>
    <row r="22" spans="1:7" ht="27">
      <c r="A22" s="2610"/>
      <c r="B22" s="1229" t="s">
        <v>2551</v>
      </c>
      <c r="C22" s="1003" t="str">
        <f>C8</f>
        <v>估价对象所在区域基础设施水平达到七通</v>
      </c>
      <c r="D22" s="2008"/>
      <c r="E22" s="2607"/>
      <c r="F22" s="1245" t="s">
        <v>1672</v>
      </c>
      <c r="G22" s="2815"/>
    </row>
    <row r="23" spans="1:7" ht="15" thickBot="1">
      <c r="A23" s="2610"/>
      <c r="B23" s="1245" t="s">
        <v>1662</v>
      </c>
      <c r="C23" s="3109"/>
      <c r="E23" s="2608"/>
      <c r="F23" s="1246" t="s">
        <v>1676</v>
      </c>
      <c r="G23" s="3110"/>
    </row>
    <row r="24" spans="1:7" ht="14.25" thickBot="1">
      <c r="A24" s="2611"/>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2846</v>
      </c>
      <c r="B1" s="3067">
        <f>SUM(B14:B23)</f>
        <v>10000</v>
      </c>
      <c r="C1" s="3068"/>
      <c r="D1" s="3068"/>
      <c r="E1" s="3068"/>
      <c r="F1" s="3068"/>
    </row>
    <row r="2" spans="1:9" ht="16.5">
      <c r="A2" s="3067" t="s">
        <v>2847</v>
      </c>
      <c r="B2" s="3067">
        <f>SUM(C14:C23)</f>
        <v>2079.0700000000002</v>
      </c>
      <c r="C2" s="3068"/>
      <c r="D2" s="3068"/>
      <c r="E2" s="3068"/>
      <c r="F2" s="3068"/>
    </row>
    <row r="3" spans="1:9" ht="16.5">
      <c r="A3" s="3067" t="s">
        <v>2848</v>
      </c>
      <c r="B3" s="3069">
        <f>项目基本情况!D3</f>
        <v>43230</v>
      </c>
      <c r="C3" s="3068"/>
      <c r="D3" s="3068"/>
      <c r="E3" s="3068"/>
      <c r="F3" s="3068"/>
    </row>
    <row r="4" spans="1:9" ht="33">
      <c r="A4" s="3067" t="s">
        <v>2849</v>
      </c>
      <c r="B4" s="3067" t="s">
        <v>2850</v>
      </c>
      <c r="C4" s="3067" t="s">
        <v>2851</v>
      </c>
      <c r="D4" s="3067" t="s">
        <v>2852</v>
      </c>
      <c r="E4" s="3068"/>
      <c r="F4" s="3068"/>
    </row>
    <row r="5" spans="1:9" ht="16.5">
      <c r="A5" s="3067" t="s">
        <v>2853</v>
      </c>
      <c r="B5" s="3067">
        <f ca="1">SUM(D14:D23)</f>
        <v>33143</v>
      </c>
      <c r="C5" s="3067">
        <f ca="1">ROUND(B5*10000/$B$1,0)</f>
        <v>33143</v>
      </c>
      <c r="D5" s="3067">
        <f ca="1">ROUND(B5*10000/$B$2,0)</f>
        <v>159413</v>
      </c>
      <c r="E5" s="3068"/>
      <c r="F5" s="3068"/>
    </row>
    <row r="6" spans="1:9" ht="16.5">
      <c r="A6" s="3067" t="s">
        <v>2854</v>
      </c>
      <c r="B6" s="3067">
        <f>SUM(G14:G23)</f>
        <v>0</v>
      </c>
      <c r="C6" s="3067">
        <f t="shared" ref="C6:C8" si="0">ROUND(B6*10000/$B$1,0)</f>
        <v>0</v>
      </c>
      <c r="D6" s="3067">
        <f t="shared" ref="D6:D8" si="1">ROUND(B6*10000/$B$2,0)</f>
        <v>0</v>
      </c>
      <c r="E6" s="3068"/>
      <c r="F6" s="3068"/>
    </row>
    <row r="7" spans="1:9" ht="16.5">
      <c r="A7" s="3067" t="s">
        <v>2855</v>
      </c>
      <c r="B7" s="3067">
        <f>SUM(H14:H23)</f>
        <v>0</v>
      </c>
      <c r="C7" s="3067">
        <f t="shared" si="0"/>
        <v>0</v>
      </c>
      <c r="D7" s="3067">
        <f t="shared" si="1"/>
        <v>0</v>
      </c>
      <c r="E7" s="3068"/>
      <c r="F7" s="3068"/>
    </row>
    <row r="8" spans="1:9" ht="16.5">
      <c r="A8" s="3067" t="s">
        <v>2856</v>
      </c>
      <c r="B8" s="3067">
        <f>SUM(I14:I23)</f>
        <v>0</v>
      </c>
      <c r="C8" s="3067">
        <f t="shared" si="0"/>
        <v>0</v>
      </c>
      <c r="D8" s="3067">
        <f t="shared" si="1"/>
        <v>0</v>
      </c>
      <c r="E8" s="3068"/>
      <c r="F8" s="3068"/>
    </row>
    <row r="9" spans="1:9" ht="16.5">
      <c r="A9" s="3067" t="s">
        <v>2857</v>
      </c>
      <c r="B9" s="3070"/>
      <c r="C9" s="3068"/>
      <c r="D9" s="3068"/>
      <c r="E9" s="3068"/>
      <c r="F9" s="3068"/>
    </row>
    <row r="10" spans="1:9" ht="16.5">
      <c r="A10" s="3067" t="s">
        <v>2858</v>
      </c>
      <c r="B10" s="3070"/>
      <c r="C10" s="3068"/>
      <c r="D10" s="3068"/>
      <c r="E10" s="3068"/>
      <c r="F10" s="3068"/>
    </row>
    <row r="11" spans="1:9" ht="16.5">
      <c r="A11" s="3067" t="s">
        <v>2875</v>
      </c>
      <c r="B11" s="3070"/>
      <c r="C11" s="3068"/>
      <c r="D11" s="3068"/>
      <c r="E11" s="3068"/>
      <c r="F11" s="3068"/>
    </row>
    <row r="12" spans="1:9" ht="16.5">
      <c r="A12" s="3068"/>
      <c r="B12" s="3068"/>
      <c r="C12" s="3068"/>
      <c r="D12" s="3068"/>
      <c r="E12" s="3068"/>
      <c r="F12" s="3068"/>
    </row>
    <row r="13" spans="1:9" ht="33">
      <c r="A13" s="3073" t="s">
        <v>2874</v>
      </c>
      <c r="B13" s="3071" t="s">
        <v>2846</v>
      </c>
      <c r="C13" s="3071" t="s">
        <v>2847</v>
      </c>
      <c r="D13" s="3071" t="s">
        <v>2859</v>
      </c>
      <c r="E13" s="3067" t="s">
        <v>2873</v>
      </c>
      <c r="F13" s="3067" t="s">
        <v>2852</v>
      </c>
      <c r="G13" s="3071" t="s">
        <v>2860</v>
      </c>
      <c r="H13" s="3071" t="s">
        <v>2861</v>
      </c>
      <c r="I13" s="3071" t="s">
        <v>2862</v>
      </c>
    </row>
    <row r="14" spans="1:9" ht="16.5">
      <c r="A14" s="3074" t="s">
        <v>2872</v>
      </c>
      <c r="B14" s="3071">
        <f>结果表!L38</f>
        <v>10000</v>
      </c>
      <c r="C14" s="3071">
        <f>结果表!K38</f>
        <v>2079.0700000000002</v>
      </c>
      <c r="D14" s="3071">
        <f ca="1">结果表!C42</f>
        <v>33143</v>
      </c>
      <c r="E14" s="3071">
        <f ca="1">ROUND(D14*10000/B14,0)</f>
        <v>33143</v>
      </c>
      <c r="F14" s="3071">
        <f ca="1">ROUND(D14*10000/C14,0)</f>
        <v>159413</v>
      </c>
      <c r="G14" s="3071" t="str">
        <f>结果表!C44</f>
        <v>——</v>
      </c>
      <c r="H14" s="3071" t="str">
        <f>结果表!C45</f>
        <v>——</v>
      </c>
      <c r="I14" s="3071" t="str">
        <f>结果表!C46</f>
        <v>——</v>
      </c>
    </row>
    <row r="15" spans="1:9" ht="16.5">
      <c r="A15" s="3074" t="s">
        <v>2863</v>
      </c>
      <c r="B15" s="3075"/>
      <c r="C15" s="3075"/>
      <c r="D15" s="3075"/>
      <c r="E15" s="3071" t="e">
        <f t="shared" ref="E15:E23" si="2">ROUND(D15*10000/B15,0)</f>
        <v>#DIV/0!</v>
      </c>
      <c r="F15" s="3071" t="e">
        <f t="shared" ref="F15:F23" si="3">ROUND(D15*10000/C15,0)</f>
        <v>#DIV/0!</v>
      </c>
      <c r="G15" s="3072"/>
      <c r="H15" s="3072"/>
      <c r="I15" s="3075"/>
    </row>
    <row r="16" spans="1:9" ht="16.5">
      <c r="A16" s="3074" t="s">
        <v>2864</v>
      </c>
      <c r="B16" s="3075"/>
      <c r="C16" s="3075"/>
      <c r="D16" s="3075"/>
      <c r="E16" s="3071" t="e">
        <f t="shared" si="2"/>
        <v>#DIV/0!</v>
      </c>
      <c r="F16" s="3071" t="e">
        <f t="shared" si="3"/>
        <v>#DIV/0!</v>
      </c>
      <c r="G16" s="3072"/>
      <c r="H16" s="3072"/>
      <c r="I16" s="3075"/>
    </row>
    <row r="17" spans="1:9" ht="16.5">
      <c r="A17" s="3074" t="s">
        <v>2865</v>
      </c>
      <c r="B17" s="3075"/>
      <c r="C17" s="3075"/>
      <c r="D17" s="3075"/>
      <c r="E17" s="3071" t="e">
        <f t="shared" si="2"/>
        <v>#DIV/0!</v>
      </c>
      <c r="F17" s="3071" t="e">
        <f t="shared" si="3"/>
        <v>#DIV/0!</v>
      </c>
      <c r="G17" s="3072"/>
      <c r="H17" s="3072"/>
      <c r="I17" s="3075"/>
    </row>
    <row r="18" spans="1:9" ht="16.5">
      <c r="A18" s="3074" t="s">
        <v>2866</v>
      </c>
      <c r="B18" s="3075"/>
      <c r="C18" s="3075"/>
      <c r="D18" s="3075"/>
      <c r="E18" s="3071" t="e">
        <f t="shared" si="2"/>
        <v>#DIV/0!</v>
      </c>
      <c r="F18" s="3071" t="e">
        <f t="shared" si="3"/>
        <v>#DIV/0!</v>
      </c>
      <c r="G18" s="3075"/>
      <c r="H18" s="3075"/>
      <c r="I18" s="3075"/>
    </row>
    <row r="19" spans="1:9" ht="16.5">
      <c r="A19" s="3074" t="s">
        <v>2867</v>
      </c>
      <c r="B19" s="3075"/>
      <c r="C19" s="3075"/>
      <c r="D19" s="3075"/>
      <c r="E19" s="3071" t="e">
        <f t="shared" si="2"/>
        <v>#DIV/0!</v>
      </c>
      <c r="F19" s="3071" t="e">
        <f t="shared" si="3"/>
        <v>#DIV/0!</v>
      </c>
      <c r="G19" s="3075"/>
      <c r="H19" s="3075"/>
      <c r="I19" s="3075"/>
    </row>
    <row r="20" spans="1:9" ht="16.5">
      <c r="A20" s="3074" t="s">
        <v>2868</v>
      </c>
      <c r="B20" s="3075"/>
      <c r="C20" s="3075"/>
      <c r="D20" s="3075"/>
      <c r="E20" s="3071" t="e">
        <f t="shared" si="2"/>
        <v>#DIV/0!</v>
      </c>
      <c r="F20" s="3071" t="e">
        <f t="shared" si="3"/>
        <v>#DIV/0!</v>
      </c>
      <c r="G20" s="3075"/>
      <c r="H20" s="3075"/>
      <c r="I20" s="3075"/>
    </row>
    <row r="21" spans="1:9" ht="16.5">
      <c r="A21" s="3074" t="s">
        <v>2869</v>
      </c>
      <c r="B21" s="3075"/>
      <c r="C21" s="3075"/>
      <c r="D21" s="3075"/>
      <c r="E21" s="3071" t="e">
        <f t="shared" si="2"/>
        <v>#DIV/0!</v>
      </c>
      <c r="F21" s="3071" t="e">
        <f t="shared" si="3"/>
        <v>#DIV/0!</v>
      </c>
      <c r="G21" s="3075"/>
      <c r="H21" s="3075"/>
      <c r="I21" s="3075"/>
    </row>
    <row r="22" spans="1:9" ht="16.5">
      <c r="A22" s="3074" t="s">
        <v>2870</v>
      </c>
      <c r="B22" s="3075"/>
      <c r="C22" s="3075"/>
      <c r="D22" s="3075"/>
      <c r="E22" s="3071" t="e">
        <f t="shared" si="2"/>
        <v>#DIV/0!</v>
      </c>
      <c r="F22" s="3071" t="e">
        <f t="shared" si="3"/>
        <v>#DIV/0!</v>
      </c>
      <c r="G22" s="3075"/>
      <c r="H22" s="3075"/>
      <c r="I22" s="3075"/>
    </row>
    <row r="23" spans="1:9" ht="16.5">
      <c r="A23" s="3074" t="s">
        <v>2871</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3055</v>
      </c>
      <c r="E1" s="1804" t="s">
        <v>2060</v>
      </c>
      <c r="F1" s="1806" t="s">
        <v>3056</v>
      </c>
      <c r="G1" s="309"/>
      <c r="H1" s="309"/>
      <c r="I1" s="309"/>
      <c r="J1" s="2028"/>
      <c r="K1" s="2028"/>
      <c r="L1" s="2028"/>
      <c r="M1" s="2028"/>
      <c r="N1" s="2028"/>
      <c r="O1" s="2028"/>
      <c r="P1" s="2028"/>
      <c r="Q1" s="2028"/>
      <c r="R1" s="2028"/>
      <c r="S1" s="2028"/>
      <c r="T1" s="2028"/>
      <c r="U1" s="2028"/>
      <c r="V1" s="2028"/>
    </row>
    <row r="2" spans="1:22" ht="21.75" customHeight="1" thickBot="1">
      <c r="A2" s="3427" t="str">
        <f>项目基本情况!K2</f>
        <v>北京市出让国有建设用地使用权</v>
      </c>
      <c r="B2" s="3428"/>
      <c r="C2" s="3429"/>
      <c r="D2" s="3429"/>
      <c r="E2" s="3429"/>
      <c r="F2" s="3429"/>
      <c r="G2" s="3428"/>
      <c r="H2" s="3428"/>
      <c r="I2" s="3430"/>
      <c r="J2" s="2029"/>
      <c r="K2" s="2028"/>
      <c r="L2" s="2028"/>
      <c r="M2" s="2028"/>
      <c r="N2" s="2028"/>
      <c r="O2" s="2028"/>
      <c r="P2" s="2028"/>
      <c r="Q2" s="2028"/>
      <c r="R2" s="2028"/>
      <c r="S2" s="2028"/>
      <c r="T2" s="2028"/>
      <c r="U2" s="2028"/>
      <c r="V2" s="2028"/>
    </row>
    <row r="3" spans="1:22" ht="14.25">
      <c r="A3" s="3438" t="s">
        <v>298</v>
      </c>
      <c r="B3" s="3439"/>
      <c r="C3" s="3439"/>
      <c r="D3" s="3439"/>
      <c r="E3" s="3439"/>
      <c r="F3" s="3439"/>
      <c r="G3" s="3439"/>
      <c r="H3" s="3439"/>
      <c r="I3" s="3439"/>
      <c r="J3" s="2029"/>
      <c r="K3" s="2028"/>
      <c r="L3" s="2028"/>
      <c r="M3" s="2028"/>
      <c r="N3" s="2028"/>
      <c r="O3" s="2028"/>
      <c r="P3" s="2028"/>
      <c r="Q3" s="2028"/>
      <c r="R3" s="2028"/>
      <c r="S3" s="2028"/>
      <c r="T3" s="2028"/>
      <c r="U3" s="2028"/>
      <c r="V3" s="2028"/>
    </row>
    <row r="4" spans="1:22" ht="14.25">
      <c r="A4" s="256" t="s">
        <v>299</v>
      </c>
      <c r="B4" s="257" t="s">
        <v>300</v>
      </c>
      <c r="C4" s="258" t="s">
        <v>3150</v>
      </c>
      <c r="D4" s="258" t="s">
        <v>2953</v>
      </c>
      <c r="E4" s="3402" t="s">
        <v>301</v>
      </c>
      <c r="F4" s="3444"/>
      <c r="G4" s="3444"/>
      <c r="H4" s="3444"/>
      <c r="I4" s="3403"/>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431" t="s">
        <v>302</v>
      </c>
      <c r="B5" s="3432">
        <v>25</v>
      </c>
      <c r="C5" s="3440">
        <v>4</v>
      </c>
      <c r="D5" s="3443">
        <f>10-C5</f>
        <v>6</v>
      </c>
      <c r="E5" s="259" t="s">
        <v>303</v>
      </c>
      <c r="F5" s="260"/>
      <c r="G5" s="260"/>
      <c r="H5" s="260"/>
      <c r="I5" s="261"/>
      <c r="J5" s="2029"/>
      <c r="K5" s="2028"/>
      <c r="L5" s="2028"/>
      <c r="M5" s="2028"/>
      <c r="N5" s="2028"/>
      <c r="O5" s="2028"/>
      <c r="P5" s="2028"/>
      <c r="Q5" s="2028"/>
      <c r="R5" s="2028"/>
      <c r="S5" s="2028"/>
      <c r="T5" s="2028"/>
      <c r="U5" s="2028"/>
      <c r="V5" s="2028"/>
    </row>
    <row r="6" spans="1:22" ht="14.25">
      <c r="A6" s="3431"/>
      <c r="B6" s="3432"/>
      <c r="C6" s="3441"/>
      <c r="D6" s="3443"/>
      <c r="E6" s="259" t="s">
        <v>304</v>
      </c>
      <c r="F6" s="260"/>
      <c r="G6" s="260"/>
      <c r="H6" s="260"/>
      <c r="I6" s="261"/>
      <c r="J6" s="2029"/>
      <c r="K6" s="2028"/>
      <c r="L6" s="2028"/>
      <c r="M6" s="2028"/>
      <c r="N6" s="2028"/>
      <c r="O6" s="2028"/>
      <c r="P6" s="2028"/>
      <c r="Q6" s="2028"/>
      <c r="R6" s="2028"/>
      <c r="S6" s="2028"/>
      <c r="T6" s="2028"/>
      <c r="U6" s="2028"/>
      <c r="V6" s="2028"/>
    </row>
    <row r="7" spans="1:22" ht="14.25">
      <c r="A7" s="3431"/>
      <c r="B7" s="3432"/>
      <c r="C7" s="3442"/>
      <c r="D7" s="3443"/>
      <c r="E7" s="259" t="s">
        <v>305</v>
      </c>
      <c r="F7" s="260"/>
      <c r="G7" s="260"/>
      <c r="H7" s="260"/>
      <c r="I7" s="261"/>
      <c r="J7" s="2029"/>
      <c r="K7" s="2028"/>
      <c r="L7" s="2028"/>
      <c r="M7" s="2028"/>
      <c r="N7" s="2028"/>
      <c r="O7" s="2028"/>
      <c r="P7" s="2028"/>
      <c r="Q7" s="2028"/>
      <c r="R7" s="2028"/>
      <c r="S7" s="2028"/>
      <c r="T7" s="2028"/>
      <c r="U7" s="2028"/>
      <c r="V7" s="2028"/>
    </row>
    <row r="8" spans="1:22" ht="14.25">
      <c r="A8" s="3431" t="s">
        <v>306</v>
      </c>
      <c r="B8" s="3432">
        <v>15</v>
      </c>
      <c r="C8" s="3440"/>
      <c r="D8" s="3443"/>
      <c r="E8" s="259" t="s">
        <v>307</v>
      </c>
      <c r="F8" s="260"/>
      <c r="G8" s="260"/>
      <c r="H8" s="260"/>
      <c r="I8" s="261"/>
      <c r="J8" s="2029"/>
      <c r="K8" s="2028"/>
      <c r="L8" s="2028"/>
      <c r="M8" s="2028"/>
      <c r="N8" s="2028"/>
      <c r="O8" s="2028"/>
      <c r="P8" s="2028"/>
      <c r="Q8" s="2028"/>
      <c r="R8" s="2028"/>
      <c r="S8" s="2028"/>
      <c r="T8" s="2028"/>
      <c r="U8" s="2028"/>
      <c r="V8" s="2028"/>
    </row>
    <row r="9" spans="1:22" ht="14.25">
      <c r="A9" s="3431"/>
      <c r="B9" s="3432"/>
      <c r="C9" s="3442"/>
      <c r="D9" s="3443"/>
      <c r="E9" s="259" t="s">
        <v>308</v>
      </c>
      <c r="F9" s="260"/>
      <c r="G9" s="260"/>
      <c r="H9" s="260"/>
      <c r="I9" s="261"/>
      <c r="J9" s="2029"/>
      <c r="K9" s="2028"/>
      <c r="L9" s="2028"/>
      <c r="M9" s="2028"/>
      <c r="N9" s="2028"/>
      <c r="O9" s="2028"/>
      <c r="P9" s="2028"/>
      <c r="Q9" s="2028"/>
      <c r="R9" s="2028"/>
      <c r="S9" s="2028"/>
      <c r="T9" s="2028"/>
      <c r="U9" s="2028"/>
      <c r="V9" s="2028"/>
    </row>
    <row r="10" spans="1:22" ht="14.25">
      <c r="A10" s="3431" t="s">
        <v>309</v>
      </c>
      <c r="B10" s="3432">
        <v>15</v>
      </c>
      <c r="C10" s="3440"/>
      <c r="D10" s="3443"/>
      <c r="E10" s="259" t="s">
        <v>310</v>
      </c>
      <c r="F10" s="260"/>
      <c r="G10" s="260"/>
      <c r="H10" s="260"/>
      <c r="I10" s="261"/>
      <c r="J10" s="2029"/>
      <c r="K10" s="2028"/>
      <c r="L10" s="2028"/>
      <c r="M10" s="2028"/>
      <c r="N10" s="2028"/>
      <c r="O10" s="2028"/>
      <c r="P10" s="2028"/>
      <c r="Q10" s="2028"/>
      <c r="R10" s="2028"/>
      <c r="S10" s="2028"/>
      <c r="T10" s="2028"/>
      <c r="U10" s="2028"/>
      <c r="V10" s="2028"/>
    </row>
    <row r="11" spans="1:22" ht="14.25">
      <c r="A11" s="3431"/>
      <c r="B11" s="3432"/>
      <c r="C11" s="3442"/>
      <c r="D11" s="3443"/>
      <c r="E11" s="259" t="s">
        <v>311</v>
      </c>
      <c r="F11" s="260"/>
      <c r="G11" s="260"/>
      <c r="H11" s="260"/>
      <c r="I11" s="261"/>
      <c r="J11" s="2029"/>
      <c r="K11" s="2028"/>
      <c r="L11" s="2028"/>
      <c r="M11" s="2028"/>
      <c r="N11" s="2028"/>
      <c r="O11" s="2028"/>
      <c r="P11" s="2028"/>
      <c r="Q11" s="2028"/>
      <c r="R11" s="2028"/>
      <c r="S11" s="2028"/>
      <c r="T11" s="2028"/>
      <c r="U11" s="2028"/>
      <c r="V11" s="2028"/>
    </row>
    <row r="12" spans="1:22" ht="14.25">
      <c r="A12" s="3431" t="s">
        <v>312</v>
      </c>
      <c r="B12" s="3432">
        <v>15</v>
      </c>
      <c r="C12" s="3440"/>
      <c r="D12" s="3443"/>
      <c r="E12" s="259" t="s">
        <v>313</v>
      </c>
      <c r="F12" s="260"/>
      <c r="G12" s="260"/>
      <c r="H12" s="260"/>
      <c r="I12" s="261"/>
      <c r="J12" s="2029"/>
      <c r="K12" s="2028"/>
      <c r="L12" s="2028"/>
      <c r="M12" s="2028"/>
      <c r="N12" s="2028"/>
      <c r="O12" s="2028"/>
      <c r="P12" s="2028"/>
      <c r="Q12" s="2028"/>
      <c r="R12" s="2028"/>
      <c r="S12" s="2028"/>
      <c r="T12" s="2028"/>
      <c r="U12" s="2028"/>
      <c r="V12" s="2028"/>
    </row>
    <row r="13" spans="1:22" ht="14.25">
      <c r="A13" s="3431"/>
      <c r="B13" s="3432"/>
      <c r="C13" s="3442"/>
      <c r="D13" s="3443"/>
      <c r="E13" s="259" t="s">
        <v>314</v>
      </c>
      <c r="F13" s="260"/>
      <c r="G13" s="260"/>
      <c r="H13" s="260"/>
      <c r="I13" s="261"/>
      <c r="J13" s="2029"/>
      <c r="K13" s="2028"/>
      <c r="L13" s="2028"/>
      <c r="M13" s="2028"/>
      <c r="N13" s="2028"/>
      <c r="O13" s="2028"/>
      <c r="P13" s="2028"/>
      <c r="Q13" s="2028"/>
      <c r="R13" s="2028"/>
      <c r="S13" s="2028"/>
      <c r="T13" s="2028"/>
      <c r="U13" s="2028"/>
      <c r="V13" s="2028"/>
    </row>
    <row r="14" spans="1:22" ht="14.25">
      <c r="A14" s="3431" t="s">
        <v>315</v>
      </c>
      <c r="B14" s="3432">
        <v>30</v>
      </c>
      <c r="C14" s="3440"/>
      <c r="D14" s="3443"/>
      <c r="E14" s="259" t="s">
        <v>316</v>
      </c>
      <c r="F14" s="260"/>
      <c r="G14" s="260"/>
      <c r="H14" s="260"/>
      <c r="I14" s="261"/>
      <c r="J14" s="2029"/>
      <c r="K14" s="2028"/>
      <c r="L14" s="2028"/>
      <c r="M14" s="2028"/>
      <c r="N14" s="2028"/>
      <c r="O14" s="2028"/>
      <c r="P14" s="2028"/>
      <c r="Q14" s="2028"/>
      <c r="R14" s="2028"/>
      <c r="S14" s="2028"/>
      <c r="T14" s="2028"/>
      <c r="U14" s="2028"/>
      <c r="V14" s="2028"/>
    </row>
    <row r="15" spans="1:22" ht="14.25">
      <c r="A15" s="3431"/>
      <c r="B15" s="3432"/>
      <c r="C15" s="3441"/>
      <c r="D15" s="3443"/>
      <c r="E15" s="259" t="s">
        <v>317</v>
      </c>
      <c r="F15" s="260"/>
      <c r="G15" s="260"/>
      <c r="H15" s="260"/>
      <c r="I15" s="261"/>
      <c r="J15" s="2029"/>
      <c r="K15" s="2028"/>
      <c r="L15" s="2028"/>
      <c r="M15" s="2028"/>
      <c r="N15" s="2028"/>
      <c r="O15" s="2028"/>
      <c r="P15" s="2028"/>
      <c r="Q15" s="2028"/>
      <c r="R15" s="2028"/>
      <c r="S15" s="2028"/>
      <c r="T15" s="2028"/>
      <c r="U15" s="2028"/>
      <c r="V15" s="2028"/>
    </row>
    <row r="16" spans="1:22" ht="14.25">
      <c r="A16" s="3431"/>
      <c r="B16" s="3432"/>
      <c r="C16" s="3442"/>
      <c r="D16" s="3443"/>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2"/>
      <c r="C17" s="263">
        <f>SUM(C5:C16)</f>
        <v>4</v>
      </c>
      <c r="D17" s="263">
        <f>SUM(D5:D16)</f>
        <v>6</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3"/>
      <c r="C18" s="265">
        <f>ROUND(C17/SUM(C17:D17),2)</f>
        <v>0.4</v>
      </c>
      <c r="D18" s="265">
        <f>1-C18</f>
        <v>0.6</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29004</v>
      </c>
      <c r="D19" s="269">
        <f ca="1">SUMIF(INDIRECT("'"&amp;D4&amp;"'"&amp;"!A:A"),结果表!B19,INDIRECT("'"&amp;D4&amp;"'"&amp;"!B:B"))</f>
        <v>35903</v>
      </c>
      <c r="E19" s="266" t="s">
        <v>323</v>
      </c>
      <c r="F19" s="267" t="s">
        <v>322</v>
      </c>
      <c r="G19" s="270">
        <f ca="1">ROUND(C19*$C$18+D19*$D$18,0)</f>
        <v>33143</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29004</v>
      </c>
      <c r="D20" s="275">
        <f ca="1">SUMIF(INDIRECT("'"&amp;D4&amp;"'"&amp;"!A:A"),结果表!B20,INDIRECT("'"&amp;D4&amp;"'"&amp;"!B:B"))</f>
        <v>35903</v>
      </c>
      <c r="E20" s="272"/>
      <c r="F20" s="273" t="s">
        <v>325</v>
      </c>
      <c r="G20" s="276">
        <f ca="1">ROUND(C20*$C$18+D20*$D$18,0)</f>
        <v>33143</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139505</v>
      </c>
      <c r="D21" s="149">
        <f ca="1">SUMIF(INDIRECT("'"&amp;D4&amp;"'"&amp;"!A:A"),结果表!B21,INDIRECT("'"&amp;D4&amp;"'"&amp;"!B:B"))</f>
        <v>172688</v>
      </c>
      <c r="E21" s="272"/>
      <c r="F21" s="278" t="s">
        <v>327</v>
      </c>
      <c r="G21" s="280">
        <f ca="1">ROUND(C21*$C$18+D21*$D$18,0)</f>
        <v>159415</v>
      </c>
      <c r="H21" s="1249" t="s">
        <v>326</v>
      </c>
      <c r="I21" s="309"/>
      <c r="J21" s="2028"/>
      <c r="K21" s="2028"/>
      <c r="L21" s="2028"/>
      <c r="M21" s="2028"/>
      <c r="N21" s="2028"/>
      <c r="O21" s="2028"/>
      <c r="P21" s="2028"/>
      <c r="Q21" s="2028"/>
      <c r="R21" s="2028"/>
      <c r="S21" s="2028"/>
      <c r="T21" s="2028"/>
      <c r="U21" s="2028"/>
      <c r="V21" s="2028"/>
    </row>
    <row r="22" spans="1:26" ht="15.75" thickBot="1">
      <c r="A22" s="124" t="s">
        <v>328</v>
      </c>
      <c r="B22" s="1250"/>
      <c r="C22" s="1251"/>
      <c r="D22" s="281">
        <f ca="1">IF(C19&lt;D19,D19/C19-1,C19/D19-1)</f>
        <v>0.2378637429320094</v>
      </c>
      <c r="E22" s="282"/>
      <c r="F22" s="283"/>
      <c r="G22" s="284">
        <f ca="1">ROUND(G19/('数据-汇总表'!D3/666.67),0)</f>
        <v>10628</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404"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446"/>
      <c r="B25" s="1319" t="s">
        <v>331</v>
      </c>
      <c r="C25" s="288">
        <f>IF(B30=0,0,C30)</f>
        <v>0</v>
      </c>
      <c r="D25" s="289"/>
      <c r="E25" s="309"/>
      <c r="F25" s="309"/>
      <c r="G25" s="309"/>
      <c r="H25" s="309"/>
      <c r="I25" s="309"/>
      <c r="J25" s="2028"/>
      <c r="K25" s="1253" t="str">
        <f ca="1">项目基本情况!B16&amp;"国有建设用地使用权价格："&amp;O38&amp;"万元"</f>
        <v>出让国有建设用地使用权价格：33143万元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大写金额：人民币叁亿叁仟壹佰肆拾叁万元整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单位面积地价：159413元/平方米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楼面地价：33143元/平方米</v>
      </c>
      <c r="L28" s="1250"/>
      <c r="M28" s="1250"/>
      <c r="N28" s="1250"/>
      <c r="O28" s="1249"/>
      <c r="P28" s="2028"/>
      <c r="V28" s="2028"/>
    </row>
    <row r="29" spans="1:26" ht="18">
      <c r="A29" s="291"/>
      <c r="B29" s="292"/>
      <c r="C29" s="292"/>
      <c r="D29" s="293"/>
      <c r="E29" s="309"/>
      <c r="F29" s="309"/>
      <c r="G29" s="309"/>
      <c r="H29" s="309"/>
      <c r="I29" s="309"/>
      <c r="J29" s="2028"/>
      <c r="K29" s="1256" t="str">
        <f>IF(OR(项目基本情况!E8="抵押价格",项目基本情况!E8="已注销及未注销"),"抵押价格："&amp;O39&amp;"万元","——")</f>
        <v>——</v>
      </c>
      <c r="L29" s="1250"/>
      <c r="M29" s="1250"/>
      <c r="N29" s="1250"/>
      <c r="O29" s="1249"/>
      <c r="P29" s="2028"/>
      <c r="V29" s="2028"/>
    </row>
    <row r="30" spans="1:26" ht="18.75" thickBot="1">
      <c r="A30" s="3158" t="s">
        <v>336</v>
      </c>
      <c r="B30" s="307"/>
      <c r="C30" s="307"/>
      <c r="D30" s="308"/>
      <c r="E30" s="3159" t="s">
        <v>2970</v>
      </c>
      <c r="F30" s="309"/>
      <c r="G30" s="309"/>
      <c r="H30" s="309"/>
      <c r="I30" s="309"/>
      <c r="J30" s="2028"/>
      <c r="K30" s="1256" t="str">
        <f>IF(K29="——","——","大写金额：人民币"&amp;NUMBERSTRING(INT(O39*10000),2)&amp;"元整")</f>
        <v>——</v>
      </c>
      <c r="L30" s="1250"/>
      <c r="M30" s="1250"/>
      <c r="N30" s="1250"/>
      <c r="O30" s="1249"/>
      <c r="P30" s="2028"/>
      <c r="V30" s="2028"/>
    </row>
    <row r="31" spans="1:26" ht="24" customHeight="1" thickBot="1">
      <c r="A31" s="309"/>
      <c r="B31" s="309"/>
      <c r="C31" s="309"/>
      <c r="D31" s="309"/>
      <c r="E31" s="309"/>
      <c r="F31" s="309"/>
      <c r="G31" s="309"/>
      <c r="H31" s="309"/>
      <c r="I31" s="309"/>
      <c r="J31" s="2028"/>
      <c r="K31" s="2490" t="str">
        <f>IF(项目基本情况!E8="抵押价格","——","抵押担保权已注销时的抵押价格："&amp;O40&amp;"万元")</f>
        <v>抵押担保权已注销时的抵押价格：——万元</v>
      </c>
      <c r="L31" s="2486"/>
      <c r="M31" s="2486"/>
      <c r="N31" s="2486"/>
      <c r="O31" s="2487"/>
      <c r="P31" s="2028"/>
      <c r="V31" s="2028"/>
    </row>
    <row r="32" spans="1:26" ht="18.75" thickBot="1">
      <c r="A32" s="266" t="s">
        <v>337</v>
      </c>
      <c r="B32" s="1380" t="s">
        <v>1689</v>
      </c>
      <c r="C32" s="1381">
        <f ca="1">G19-C24</f>
        <v>33143</v>
      </c>
      <c r="D32" s="1382" t="s">
        <v>1690</v>
      </c>
      <c r="E32" s="309"/>
      <c r="F32" s="309"/>
      <c r="G32" s="309"/>
      <c r="H32" s="309"/>
      <c r="I32" s="309"/>
      <c r="J32" s="2028"/>
      <c r="K32" s="2485" t="e">
        <f>IF(K31="——","——","大写金额：人民币"&amp;NUMBERSTRING(INT(O40*10000),2)&amp;"元整")</f>
        <v>#VALUE!</v>
      </c>
      <c r="L32" s="2488"/>
      <c r="M32" s="2488"/>
      <c r="N32" s="2488"/>
      <c r="O32" s="2489"/>
      <c r="P32" s="2028"/>
      <c r="V32" s="2028"/>
    </row>
    <row r="33" spans="1:26" ht="18.75" thickBot="1">
      <c r="A33" s="296" t="s">
        <v>340</v>
      </c>
      <c r="B33" s="1383" t="s">
        <v>1691</v>
      </c>
      <c r="C33" s="262">
        <f ca="1">ROUND(C32*10000/'数据-汇总表'!E3,0)</f>
        <v>33143</v>
      </c>
      <c r="D33" s="1384" t="s">
        <v>1692</v>
      </c>
      <c r="E33" s="3404" t="s">
        <v>338</v>
      </c>
      <c r="F33" s="294" t="s">
        <v>339</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1693</v>
      </c>
      <c r="C34" s="262">
        <f ca="1">ROUND(C32*10000/'数据-汇总表'!D3,0)</f>
        <v>159413</v>
      </c>
      <c r="D34" s="1386" t="s">
        <v>1692</v>
      </c>
      <c r="E34" s="3405"/>
      <c r="F34" s="125" t="s">
        <v>341</v>
      </c>
      <c r="G34" s="297"/>
      <c r="H34" s="103"/>
      <c r="I34" s="309"/>
      <c r="J34" s="2028"/>
      <c r="K34" s="1259" t="e">
        <f>IF(K33="——","——","大写金额：人民币"&amp;NUMBERSTRING(INT(O41*10000),2)&amp;"元整")</f>
        <v>#VALUE!</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10628</v>
      </c>
      <c r="D35" s="1389" t="s">
        <v>1694</v>
      </c>
      <c r="E35" s="3406"/>
      <c r="F35" s="299" t="s">
        <v>342</v>
      </c>
      <c r="G35" s="980"/>
      <c r="H35" s="979" t="s">
        <v>343</v>
      </c>
      <c r="I35" s="309"/>
      <c r="J35" s="2028"/>
      <c r="K35" s="3410" t="s">
        <v>350</v>
      </c>
      <c r="L35" s="3410" t="s">
        <v>351</v>
      </c>
      <c r="M35" s="1262" t="s">
        <v>352</v>
      </c>
      <c r="N35" s="3410" t="s">
        <v>353</v>
      </c>
      <c r="O35" s="3410" t="s">
        <v>354</v>
      </c>
      <c r="P35" s="2028"/>
      <c r="V35" s="2028"/>
    </row>
    <row r="36" spans="1:26" ht="16.5" customHeight="1">
      <c r="A36" s="301" t="s">
        <v>344</v>
      </c>
      <c r="B36" s="302" t="s">
        <v>333</v>
      </c>
      <c r="C36" s="303" t="s">
        <v>345</v>
      </c>
      <c r="D36" s="303" t="s">
        <v>346</v>
      </c>
      <c r="E36" s="304" t="s">
        <v>347</v>
      </c>
      <c r="F36" s="309"/>
      <c r="G36" s="309"/>
      <c r="H36" s="309"/>
      <c r="I36" s="309"/>
      <c r="J36" s="2030"/>
      <c r="K36" s="3411"/>
      <c r="L36" s="3411"/>
      <c r="M36" s="1264" t="s">
        <v>355</v>
      </c>
      <c r="N36" s="3411"/>
      <c r="O36" s="3411"/>
      <c r="P36" s="2028"/>
      <c r="V36" s="2028"/>
    </row>
    <row r="37" spans="1:26" ht="16.5" customHeight="1" thickBot="1">
      <c r="A37" s="1258" t="s">
        <v>348</v>
      </c>
      <c r="B37" s="305"/>
      <c r="C37" s="292"/>
      <c r="D37" s="292"/>
      <c r="E37" s="293"/>
      <c r="F37" s="309"/>
      <c r="G37" s="309"/>
      <c r="H37" s="309"/>
      <c r="I37" s="309"/>
      <c r="J37" s="2030"/>
      <c r="K37" s="3412"/>
      <c r="L37" s="3412"/>
      <c r="M37" s="1265"/>
      <c r="N37" s="3412"/>
      <c r="O37" s="3412"/>
      <c r="P37" s="2028"/>
      <c r="V37" s="2028"/>
    </row>
    <row r="38" spans="1:26" ht="16.5" customHeight="1" thickBot="1">
      <c r="A38" s="1258" t="s">
        <v>349</v>
      </c>
      <c r="B38" s="305"/>
      <c r="C38" s="292"/>
      <c r="D38" s="292"/>
      <c r="E38" s="293"/>
      <c r="F38" s="309"/>
      <c r="G38" s="309"/>
      <c r="H38" s="309"/>
      <c r="I38" s="309"/>
      <c r="J38" s="2030"/>
      <c r="K38" s="1266">
        <f>'数据-汇总表'!D3</f>
        <v>2079.0700000000002</v>
      </c>
      <c r="L38" s="1267">
        <f>'数据-汇总表'!E3</f>
        <v>10000</v>
      </c>
      <c r="M38" s="1267">
        <f ca="1">C34</f>
        <v>159413</v>
      </c>
      <c r="N38" s="1267">
        <f ca="1">C33</f>
        <v>33143</v>
      </c>
      <c r="O38" s="1268">
        <f ca="1">C32</f>
        <v>33143</v>
      </c>
      <c r="P38" s="2028"/>
      <c r="V38" s="2028"/>
    </row>
    <row r="39" spans="1:26" ht="16.5" customHeight="1" thickBot="1">
      <c r="A39" s="1263"/>
      <c r="B39" s="306"/>
      <c r="C39" s="307"/>
      <c r="D39" s="307"/>
      <c r="E39" s="308"/>
      <c r="F39" s="309"/>
      <c r="G39" s="309"/>
      <c r="H39" s="309"/>
      <c r="I39" s="309"/>
      <c r="J39" s="2030"/>
      <c r="K39" s="3387" t="str">
        <f>MID(A44,3,LEN(A44)-2)</f>
        <v/>
      </c>
      <c r="L39" s="3388"/>
      <c r="M39" s="3388"/>
      <c r="N39" s="3389"/>
      <c r="O39" s="1391" t="str">
        <f>C44</f>
        <v>——</v>
      </c>
      <c r="P39" s="2028"/>
      <c r="V39" s="2028"/>
    </row>
    <row r="40" spans="1:26" ht="19.5" thickBot="1">
      <c r="A40" s="102" t="s">
        <v>873</v>
      </c>
      <c r="B40" s="309"/>
      <c r="C40" s="309"/>
      <c r="D40" s="309"/>
      <c r="E40" s="309"/>
      <c r="F40" s="309"/>
      <c r="G40" s="309"/>
      <c r="H40" s="309"/>
      <c r="I40" s="309"/>
      <c r="J40" s="2030"/>
      <c r="K40" s="3387" t="str">
        <f t="shared" ref="K40:K41" si="0">MID(A45,3,LEN(A45)-2)</f>
        <v/>
      </c>
      <c r="L40" s="3388"/>
      <c r="M40" s="3388"/>
      <c r="N40" s="3389"/>
      <c r="O40" s="1391" t="str">
        <f>C45</f>
        <v>——</v>
      </c>
      <c r="P40" s="2028"/>
      <c r="V40" s="2028"/>
    </row>
    <row r="41" spans="1:26" ht="16.5" thickBot="1">
      <c r="A41" s="310" t="s">
        <v>356</v>
      </c>
      <c r="B41" s="311"/>
      <c r="C41" s="312" t="s">
        <v>357</v>
      </c>
      <c r="D41" s="313" t="s">
        <v>358</v>
      </c>
      <c r="E41" s="313" t="s">
        <v>359</v>
      </c>
      <c r="F41" s="314" t="s">
        <v>360</v>
      </c>
      <c r="G41" s="309"/>
      <c r="H41" s="309"/>
      <c r="I41" s="309"/>
      <c r="J41" s="2030"/>
      <c r="K41" s="3387" t="str">
        <f t="shared" si="0"/>
        <v/>
      </c>
      <c r="L41" s="3388"/>
      <c r="M41" s="3388"/>
      <c r="N41" s="3389"/>
      <c r="O41" s="1391" t="str">
        <f>C46</f>
        <v>——</v>
      </c>
      <c r="P41" s="2028"/>
      <c r="V41" s="2028"/>
    </row>
    <row r="42" spans="1:26" ht="29.25">
      <c r="A42" s="3447" t="s">
        <v>2070</v>
      </c>
      <c r="B42" s="3448"/>
      <c r="C42" s="262">
        <f ca="1">C32</f>
        <v>33143</v>
      </c>
      <c r="D42" s="315">
        <f ca="1">C33</f>
        <v>33143</v>
      </c>
      <c r="E42" s="315">
        <f ca="1">C34</f>
        <v>159413</v>
      </c>
      <c r="F42" s="316">
        <f ca="1">C35</f>
        <v>10628</v>
      </c>
      <c r="G42" s="309"/>
      <c r="H42" s="309"/>
      <c r="I42" s="317"/>
      <c r="J42" s="2030"/>
      <c r="K42" s="1269" t="s">
        <v>361</v>
      </c>
      <c r="L42" s="2047" t="s">
        <v>362</v>
      </c>
      <c r="M42" s="1270" t="s">
        <v>363</v>
      </c>
      <c r="N42" s="2048" t="s">
        <v>364</v>
      </c>
      <c r="O42" s="2049" t="s">
        <v>365</v>
      </c>
      <c r="P42" s="2028"/>
      <c r="V42" s="2028"/>
    </row>
    <row r="43" spans="1:26" ht="30">
      <c r="A43" s="3457" t="s">
        <v>2734</v>
      </c>
      <c r="B43" s="3458"/>
      <c r="C43" s="262">
        <f>IF(H33="正常操作",G33+G34+G35,G34+G35)</f>
        <v>0</v>
      </c>
      <c r="D43" s="315" t="s">
        <v>43</v>
      </c>
      <c r="E43" s="315" t="s">
        <v>44</v>
      </c>
      <c r="F43" s="316" t="s">
        <v>44</v>
      </c>
      <c r="G43" s="2888" t="s">
        <v>952</v>
      </c>
      <c r="H43" s="309"/>
      <c r="I43" s="317"/>
      <c r="J43" s="2030"/>
      <c r="K43" s="1271" t="str">
        <f>C4</f>
        <v>剩余法-待开发</v>
      </c>
      <c r="L43" s="1272">
        <f ca="1">IF(L42="估价结果/万元",C19,C20)</f>
        <v>29004</v>
      </c>
      <c r="M43" s="1273">
        <f>C18</f>
        <v>0.4</v>
      </c>
      <c r="N43" s="1274">
        <f ca="1">IF(N42="测算结果/万元",G19,G20)</f>
        <v>33143</v>
      </c>
      <c r="O43" s="1275">
        <f ca="1">IF(O42="最终结果/万元",C32,C33)</f>
        <v>33143</v>
      </c>
      <c r="P43" s="2028"/>
      <c r="V43" s="2028"/>
    </row>
    <row r="44" spans="1:26" ht="18.75" thickBot="1">
      <c r="A44" s="3447" t="str">
        <f>IF(OR(项目基本情况!E8="抵押价格",项目基本情况!E8="已注销及未注销"),"3.抵押价格","——")</f>
        <v>——</v>
      </c>
      <c r="B44" s="3448"/>
      <c r="C44" s="262" t="str">
        <f>IF(A44="——","——",C42-C43)</f>
        <v>——</v>
      </c>
      <c r="D44" s="315" t="e">
        <f>ROUND(C44*10000/'数据-汇总表'!E3,0)</f>
        <v>#VALUE!</v>
      </c>
      <c r="E44" s="315" t="e">
        <f>ROUND(C44*10000/'数据-汇总表'!D3,0)</f>
        <v>#VALUE!</v>
      </c>
      <c r="F44" s="316" t="e">
        <f>ROUND(C44/('数据-汇总表'!D3/666.67),0)</f>
        <v>#VALUE!</v>
      </c>
      <c r="G44" s="309"/>
      <c r="H44" s="309"/>
      <c r="I44" s="317"/>
      <c r="J44" s="2030"/>
      <c r="K44" s="1276" t="str">
        <f>D4</f>
        <v>基准地价</v>
      </c>
      <c r="L44" s="1277">
        <f ca="1">IF(L42="估价结果/万元",D19,D20)</f>
        <v>35903</v>
      </c>
      <c r="M44" s="1278">
        <f>D18</f>
        <v>0.6</v>
      </c>
      <c r="N44" s="1279"/>
      <c r="O44" s="1280"/>
      <c r="P44" s="2028"/>
      <c r="V44" s="2028"/>
    </row>
    <row r="45" spans="1:26" ht="15">
      <c r="A45" s="3452" t="str">
        <f>IF(项目基本情况!E8="已注销及未注销","4.抵押担保权已注销时的抵押价格",IF(项目基本情况!E8="已注销","3.抵押担保权已注销时的抵押价格","——"))</f>
        <v>——</v>
      </c>
      <c r="B45" s="3453"/>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415" t="s">
        <v>374</v>
      </c>
      <c r="B63" s="3416"/>
      <c r="C63" s="3417"/>
      <c r="D63" s="339">
        <f ca="1">ROUND(C42*F63,0)</f>
        <v>19886</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454" t="s">
        <v>378</v>
      </c>
      <c r="B64" s="3455"/>
      <c r="C64" s="3455"/>
      <c r="D64" s="3455"/>
      <c r="E64" s="3455"/>
      <c r="F64" s="3455"/>
      <c r="G64" s="3456"/>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1"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451" t="s">
        <v>386</v>
      </c>
      <c r="B66" s="3422"/>
      <c r="C66" s="3422"/>
      <c r="D66" s="259">
        <f ca="1">IF(H66="情况1",0,IF(H66="情况2",D70,IF(H66="情况3",D71,IF(H66="情况4",D72))))</f>
        <v>1061</v>
      </c>
      <c r="E66" s="991" t="str">
        <f>IF(H66="情况4","(销售额-原购置价)×税（费）率","销售额×税（费）率")</f>
        <v>销售额×税（费）率</v>
      </c>
      <c r="F66" s="348">
        <f>IF(H66="情况1","免征",'数据-取费表'!B41)</f>
        <v>5.6000000000000001E-2</v>
      </c>
      <c r="G66" s="349" t="s">
        <v>387</v>
      </c>
      <c r="H66" s="189" t="s">
        <v>388</v>
      </c>
      <c r="I66" s="1286"/>
      <c r="J66" s="2034"/>
      <c r="K66" s="1289">
        <v>1</v>
      </c>
      <c r="L66" s="3391" t="s">
        <v>385</v>
      </c>
      <c r="M66" s="3392"/>
      <c r="N66" s="2480"/>
      <c r="O66" s="2481"/>
      <c r="P66" s="2482"/>
      <c r="Q66" s="2028"/>
      <c r="R66" s="2028"/>
      <c r="S66" s="2028"/>
      <c r="T66" s="2028"/>
      <c r="U66" s="2028"/>
      <c r="V66" s="2028"/>
    </row>
    <row r="67" spans="1:22" ht="25.5" customHeight="1">
      <c r="A67" s="350" t="s">
        <v>390</v>
      </c>
      <c r="B67" s="3434" t="s">
        <v>391</v>
      </c>
      <c r="C67" s="3434"/>
      <c r="D67" s="351">
        <v>0</v>
      </c>
      <c r="E67" s="39" t="s">
        <v>392</v>
      </c>
      <c r="F67" s="60" t="s">
        <v>21</v>
      </c>
      <c r="G67" s="3418"/>
      <c r="H67" s="309"/>
      <c r="I67" s="1290"/>
      <c r="J67" s="2035"/>
      <c r="K67" s="1976">
        <v>2</v>
      </c>
      <c r="L67" s="3390" t="s">
        <v>389</v>
      </c>
      <c r="M67" s="3390"/>
      <c r="N67" s="1323">
        <f>'数据-取费表'!B2</f>
        <v>43230</v>
      </c>
      <c r="O67" s="1323"/>
      <c r="P67" s="1323"/>
      <c r="Q67" s="2028"/>
      <c r="R67" s="2028"/>
      <c r="S67" s="2028"/>
      <c r="T67" s="2028"/>
      <c r="U67" s="2028"/>
      <c r="V67" s="2028"/>
    </row>
    <row r="68" spans="1:22" ht="25.5" customHeight="1">
      <c r="A68" s="352"/>
      <c r="B68" s="3434" t="s">
        <v>394</v>
      </c>
      <c r="C68" s="3434"/>
      <c r="D68" s="353"/>
      <c r="E68" s="75"/>
      <c r="F68" s="354"/>
      <c r="G68" s="3419"/>
      <c r="H68" s="309"/>
      <c r="I68" s="1290"/>
      <c r="J68" s="2035"/>
      <c r="K68" s="1976">
        <v>3</v>
      </c>
      <c r="L68" s="3390" t="s">
        <v>393</v>
      </c>
      <c r="M68" s="3390"/>
      <c r="N68" s="1291">
        <f ca="1">C42</f>
        <v>33143</v>
      </c>
      <c r="O68" s="1291"/>
      <c r="P68" s="1291"/>
      <c r="Q68" s="2028"/>
      <c r="R68" s="2028"/>
      <c r="S68" s="2028"/>
      <c r="T68" s="2028"/>
      <c r="U68" s="2028"/>
      <c r="V68" s="2028"/>
    </row>
    <row r="69" spans="1:22" ht="12" customHeight="1">
      <c r="A69" s="355"/>
      <c r="B69" s="3434" t="s">
        <v>395</v>
      </c>
      <c r="C69" s="3434"/>
      <c r="D69" s="356"/>
      <c r="E69" s="71"/>
      <c r="F69" s="354"/>
      <c r="G69" s="3420"/>
      <c r="H69" s="309"/>
      <c r="I69" s="1290"/>
      <c r="J69" s="2035"/>
      <c r="K69" s="1292">
        <v>4</v>
      </c>
      <c r="L69" s="3396" t="s">
        <v>2885</v>
      </c>
      <c r="M69" s="3397"/>
      <c r="N69" s="1293" t="str">
        <f>C44</f>
        <v>——</v>
      </c>
      <c r="O69" s="1293"/>
      <c r="P69" s="1293"/>
      <c r="Q69" s="2028"/>
      <c r="R69" s="2028"/>
      <c r="S69" s="2028"/>
      <c r="T69" s="2028"/>
      <c r="U69" s="2028"/>
      <c r="V69" s="2028"/>
    </row>
    <row r="70" spans="1:22" ht="24" customHeight="1">
      <c r="A70" s="357" t="s">
        <v>396</v>
      </c>
      <c r="B70" s="3434" t="s">
        <v>397</v>
      </c>
      <c r="C70" s="3434"/>
      <c r="D70" s="356">
        <f ca="1">ROUND(D63*'数据-取费表'!B41/(1+'数据-取费表'!C42),0)</f>
        <v>1061</v>
      </c>
      <c r="E70" s="16" t="s">
        <v>398</v>
      </c>
      <c r="F70" s="358">
        <f>'数据-取费表'!B41</f>
        <v>5.6000000000000001E-2</v>
      </c>
      <c r="G70" s="359"/>
      <c r="H70" s="309"/>
      <c r="I70" s="1290"/>
      <c r="J70" s="2035"/>
      <c r="K70" s="3084"/>
      <c r="L70" s="3085"/>
      <c r="M70" s="3085"/>
      <c r="N70" s="3086" t="s">
        <v>2890</v>
      </c>
      <c r="O70" s="3085"/>
      <c r="P70" s="3087"/>
      <c r="Q70" s="2028"/>
      <c r="R70" s="2028"/>
      <c r="S70" s="2028"/>
      <c r="T70" s="2028"/>
      <c r="U70" s="2028"/>
      <c r="V70" s="2028"/>
    </row>
    <row r="71" spans="1:22" ht="12" customHeight="1">
      <c r="A71" s="357" t="s">
        <v>404</v>
      </c>
      <c r="B71" s="3433" t="s">
        <v>405</v>
      </c>
      <c r="C71" s="3445"/>
      <c r="D71" s="356">
        <f ca="1">ROUND(D63*'数据-取费表'!B41/(1+'数据-取费表'!C42),0)</f>
        <v>1061</v>
      </c>
      <c r="E71" s="16" t="s">
        <v>398</v>
      </c>
      <c r="F71" s="358">
        <f>'数据-取费表'!B41</f>
        <v>5.6000000000000001E-2</v>
      </c>
      <c r="G71" s="359"/>
      <c r="H71" s="309"/>
      <c r="I71" s="1290"/>
      <c r="J71" s="2035"/>
      <c r="K71" s="3083" t="s">
        <v>399</v>
      </c>
      <c r="L71" s="3398" t="s">
        <v>400</v>
      </c>
      <c r="M71" s="3398"/>
      <c r="N71" s="3083" t="s">
        <v>401</v>
      </c>
      <c r="O71" s="3083" t="s">
        <v>402</v>
      </c>
      <c r="P71" s="3083" t="s">
        <v>403</v>
      </c>
      <c r="Q71" s="2028"/>
      <c r="R71" s="2028"/>
      <c r="S71" s="2028"/>
      <c r="T71" s="2028"/>
      <c r="U71" s="2028"/>
      <c r="V71" s="2028"/>
    </row>
    <row r="72" spans="1:22" ht="12" customHeight="1">
      <c r="A72" s="357" t="s">
        <v>407</v>
      </c>
      <c r="B72" s="3433" t="s">
        <v>408</v>
      </c>
      <c r="C72" s="3445"/>
      <c r="D72" s="356">
        <f ca="1">C86</f>
        <v>949</v>
      </c>
      <c r="E72" s="71" t="s">
        <v>409</v>
      </c>
      <c r="F72" s="358">
        <f>'数据-取费表'!B41</f>
        <v>5.6000000000000001E-2</v>
      </c>
      <c r="G72" s="359"/>
      <c r="H72" s="1296"/>
      <c r="I72" s="1290"/>
      <c r="J72" s="2035"/>
      <c r="K72" s="1976">
        <v>1</v>
      </c>
      <c r="L72" s="3395" t="s">
        <v>406</v>
      </c>
      <c r="M72" s="3395"/>
      <c r="N72" s="1294">
        <f ca="1">D66</f>
        <v>1061</v>
      </c>
      <c r="O72" s="1859" t="str">
        <f>E66</f>
        <v>销售额×税（费）率</v>
      </c>
      <c r="P72" s="1295">
        <f>F66</f>
        <v>5.6000000000000001E-2</v>
      </c>
      <c r="Q72" s="2028"/>
      <c r="R72" s="2028"/>
      <c r="S72" s="2028"/>
      <c r="T72" s="2028"/>
      <c r="U72" s="2028"/>
      <c r="V72" s="2028"/>
    </row>
    <row r="73" spans="1:22" ht="24" customHeight="1">
      <c r="A73" s="3421" t="s">
        <v>411</v>
      </c>
      <c r="B73" s="3422"/>
      <c r="C73" s="3422"/>
      <c r="D73" s="360">
        <f>IF(H73="个人住宅",0,ROUND(D63*I73,0))</f>
        <v>0</v>
      </c>
      <c r="E73" s="16" t="s">
        <v>412</v>
      </c>
      <c r="F73" s="358" t="str">
        <f>IF(H73="正常",I73,"免征")</f>
        <v>免征</v>
      </c>
      <c r="G73" s="359"/>
      <c r="H73" s="189" t="s">
        <v>2459</v>
      </c>
      <c r="I73" s="358">
        <f>'数据-取费表'!B49</f>
        <v>5.0000000000000001E-4</v>
      </c>
      <c r="J73" s="2035"/>
      <c r="K73" s="1976">
        <v>2</v>
      </c>
      <c r="L73" s="3395" t="s">
        <v>410</v>
      </c>
      <c r="M73" s="3395"/>
      <c r="N73" s="1294">
        <f t="shared" ref="N73:P74" si="1">D73</f>
        <v>0</v>
      </c>
      <c r="O73" s="1859" t="str">
        <f t="shared" si="1"/>
        <v>销售额×税（费）率</v>
      </c>
      <c r="P73" s="1295" t="str">
        <f t="shared" si="1"/>
        <v>免征</v>
      </c>
      <c r="Q73" s="2028"/>
      <c r="R73" s="2028"/>
      <c r="S73" s="2028"/>
      <c r="T73" s="2028"/>
      <c r="U73" s="2028"/>
      <c r="V73" s="2028"/>
    </row>
    <row r="74" spans="1:22" ht="24.75">
      <c r="A74" s="3421" t="s">
        <v>415</v>
      </c>
      <c r="B74" s="3422"/>
      <c r="C74" s="3422"/>
      <c r="D74" s="360">
        <f ca="1">IF(H74="个人住宅",D75,D76)</f>
        <v>10600</v>
      </c>
      <c r="E74" s="16" t="s">
        <v>416</v>
      </c>
      <c r="F74" s="358" t="str">
        <f>IF(H74="正常",F76,"免征")</f>
        <v>——</v>
      </c>
      <c r="G74" s="981" t="s">
        <v>417</v>
      </c>
      <c r="H74" s="361" t="s">
        <v>413</v>
      </c>
      <c r="I74" s="40"/>
      <c r="J74" s="2035"/>
      <c r="K74" s="1976">
        <v>3</v>
      </c>
      <c r="L74" s="3395" t="s">
        <v>414</v>
      </c>
      <c r="M74" s="3395"/>
      <c r="N74" s="1294">
        <f t="shared" ca="1" si="1"/>
        <v>10600</v>
      </c>
      <c r="O74" s="1859" t="str">
        <f t="shared" si="1"/>
        <v>增值额×税（费）率</v>
      </c>
      <c r="P74" s="1297" t="str">
        <f t="shared" si="1"/>
        <v>——</v>
      </c>
      <c r="Q74" s="2028"/>
      <c r="R74" s="2028"/>
      <c r="S74" s="2028"/>
      <c r="T74" s="2028"/>
      <c r="U74" s="2028"/>
      <c r="V74" s="2028"/>
    </row>
    <row r="75" spans="1:22" ht="24">
      <c r="A75" s="357" t="s">
        <v>418</v>
      </c>
      <c r="B75" s="3402" t="s">
        <v>419</v>
      </c>
      <c r="C75" s="3403"/>
      <c r="D75" s="362">
        <v>0</v>
      </c>
      <c r="E75" s="39" t="s">
        <v>420</v>
      </c>
      <c r="F75" s="363"/>
      <c r="G75" s="359"/>
      <c r="H75" s="40"/>
      <c r="I75" s="40"/>
      <c r="J75" s="2035"/>
      <c r="K75" s="3076">
        <f>IF(H77="非个人房产","",4)</f>
        <v>4</v>
      </c>
      <c r="L75" s="3395" t="str">
        <f>IF(H77="非个人房产","——","个人所得税")</f>
        <v>个人所得税</v>
      </c>
      <c r="M75" s="3395"/>
      <c r="N75" s="1298">
        <f ca="1">D77</f>
        <v>199</v>
      </c>
      <c r="O75" s="1872" t="str">
        <f>E77</f>
        <v>销售额×税（费）率</v>
      </c>
      <c r="P75" s="1299">
        <f>F77</f>
        <v>0.01</v>
      </c>
      <c r="Q75" s="2028"/>
      <c r="R75" s="2028"/>
      <c r="S75" s="2028"/>
      <c r="T75" s="2028"/>
      <c r="U75" s="2028"/>
      <c r="V75" s="2028"/>
    </row>
    <row r="76" spans="1:22" ht="24.75">
      <c r="A76" s="357" t="s">
        <v>396</v>
      </c>
      <c r="B76" s="3402" t="s">
        <v>422</v>
      </c>
      <c r="C76" s="3444"/>
      <c r="D76" s="360">
        <f ca="1">IF(H76="转让取得",C99,C115)</f>
        <v>10600</v>
      </c>
      <c r="E76" s="16" t="s">
        <v>423</v>
      </c>
      <c r="F76" s="51" t="s">
        <v>21</v>
      </c>
      <c r="G76" s="359"/>
      <c r="H76" s="361" t="s">
        <v>424</v>
      </c>
      <c r="I76" s="40"/>
      <c r="J76" s="2035"/>
      <c r="K76" s="3076" t="str">
        <f>IF(项目基本情况!K6="上海银行",IF(K75="",4,K75+1),"")</f>
        <v/>
      </c>
      <c r="L76" s="3383" t="str">
        <f>IF(项目基本情况!K6="上海银行","其他处置费用","")</f>
        <v/>
      </c>
      <c r="M76" s="3384"/>
      <c r="N76" s="1294" t="str">
        <f>IF(项目基本情况!K6="上海银行",N89,"")</f>
        <v/>
      </c>
      <c r="O76" s="3385" t="str">
        <f>IF(项目基本情况!K6="上海银行","包含处置中涉及的律师、诉讼、拍卖、评估等费用","")</f>
        <v/>
      </c>
      <c r="P76" s="3386"/>
      <c r="Q76" s="2028"/>
      <c r="R76" s="2028"/>
      <c r="S76" s="2028"/>
      <c r="T76" s="2028"/>
      <c r="U76" s="2028"/>
      <c r="V76" s="2028"/>
    </row>
    <row r="77" spans="1:22" ht="26.25" thickBot="1">
      <c r="A77" s="3413" t="s">
        <v>426</v>
      </c>
      <c r="B77" s="3414"/>
      <c r="C77" s="3414"/>
      <c r="D77" s="364">
        <f ca="1">IF(H77="非个人房产","——",IF(H77="个人住宅",0,ROUND(D63*I77,0)))</f>
        <v>199</v>
      </c>
      <c r="E77" s="365" t="str">
        <f>IF(H77="非个人房产","——","销售额×税（费）率")</f>
        <v>销售额×税（费）率</v>
      </c>
      <c r="F77" s="366">
        <f>IF(H77="非个人房产","——",IF(H77="个人住宅","免征",I77))</f>
        <v>0.01</v>
      </c>
      <c r="G77" s="982" t="s">
        <v>417</v>
      </c>
      <c r="H77" s="361" t="s">
        <v>2886</v>
      </c>
      <c r="I77" s="367">
        <v>0.01</v>
      </c>
      <c r="J77" s="2035"/>
      <c r="K77" s="3409">
        <f>IF(AND(K75="",K76=""),4,IF(项目基本情况!K6="上海银行",K76+1,K75+1))</f>
        <v>5</v>
      </c>
      <c r="L77" s="3395" t="s">
        <v>2887</v>
      </c>
      <c r="M77" s="3082" t="s">
        <v>421</v>
      </c>
      <c r="N77" s="1300"/>
      <c r="O77" s="1301">
        <f ca="1">SUMIF(N72:N76,"&lt;9e307")</f>
        <v>11860</v>
      </c>
      <c r="P77" s="1302"/>
      <c r="Q77" s="3080" t="e">
        <f ca="1">O77/N69</f>
        <v>#VALUE!</v>
      </c>
      <c r="R77" s="2028"/>
      <c r="S77" s="2028"/>
      <c r="T77" s="2028"/>
      <c r="U77" s="2028"/>
      <c r="V77" s="2028"/>
    </row>
    <row r="78" spans="1:22" ht="12" customHeight="1">
      <c r="A78" s="1303"/>
      <c r="B78" s="309"/>
      <c r="C78" s="309"/>
      <c r="D78" s="309"/>
      <c r="E78" s="40"/>
      <c r="F78" s="40"/>
      <c r="G78" s="40"/>
      <c r="H78" s="1001"/>
      <c r="I78" s="309"/>
      <c r="J78" s="2035"/>
      <c r="K78" s="3409"/>
      <c r="L78" s="3395"/>
      <c r="M78" s="3082" t="s">
        <v>425</v>
      </c>
      <c r="N78" s="1300"/>
      <c r="O78" s="1301" t="str">
        <f ca="1">NUMBERSTRING(INT(O77*10000),2)&amp;"元整"</f>
        <v>壹亿壹仟捌佰陆拾万元整</v>
      </c>
      <c r="P78" s="1302"/>
      <c r="Q78" s="2028"/>
      <c r="R78" s="2028"/>
      <c r="S78" s="2028"/>
      <c r="T78" s="2028"/>
      <c r="U78" s="2028"/>
      <c r="V78" s="2028"/>
    </row>
    <row r="79" spans="1:22" ht="13.5" thickBot="1">
      <c r="A79" s="3399" t="s">
        <v>427</v>
      </c>
      <c r="B79" s="3399"/>
      <c r="C79" s="3399"/>
      <c r="D79" s="3399"/>
      <c r="E79" s="3399"/>
      <c r="F79" s="40"/>
      <c r="G79" s="40"/>
      <c r="H79" s="1001"/>
      <c r="I79" s="309"/>
      <c r="J79" s="2035"/>
      <c r="K79" s="3393">
        <f>K77+1</f>
        <v>6</v>
      </c>
      <c r="L79" s="3395" t="s">
        <v>2888</v>
      </c>
      <c r="M79" s="3082" t="s">
        <v>421</v>
      </c>
      <c r="N79" s="1300"/>
      <c r="O79" s="1301" t="e">
        <f ca="1">N69-O77</f>
        <v>#VALUE!</v>
      </c>
      <c r="P79" s="1302"/>
      <c r="Q79" s="2028"/>
      <c r="R79" s="2028"/>
      <c r="S79" s="2028"/>
      <c r="T79" s="2028"/>
      <c r="U79" s="2028"/>
      <c r="V79" s="2028"/>
    </row>
    <row r="80" spans="1:22" ht="12.75">
      <c r="A80" s="3400" t="s">
        <v>428</v>
      </c>
      <c r="B80" s="3401"/>
      <c r="C80" s="992"/>
      <c r="D80" s="992" t="s">
        <v>429</v>
      </c>
      <c r="E80" s="368" t="s">
        <v>430</v>
      </c>
      <c r="F80" s="40"/>
      <c r="G80" s="40"/>
      <c r="H80" s="1001"/>
      <c r="I80" s="309"/>
      <c r="J80" s="2028"/>
      <c r="K80" s="3394"/>
      <c r="L80" s="3395"/>
      <c r="M80" s="3082" t="s">
        <v>425</v>
      </c>
      <c r="N80" s="1300"/>
      <c r="O80" s="1301" t="e">
        <f ca="1">NUMBERSTRING(INT(O79*10000),2)&amp;"元整"</f>
        <v>#VALUE!</v>
      </c>
      <c r="P80" s="1302"/>
      <c r="Q80" s="2028"/>
      <c r="R80" s="2028"/>
      <c r="S80" s="2028"/>
      <c r="T80" s="2028"/>
      <c r="U80" s="2028"/>
      <c r="V80" s="2028"/>
    </row>
    <row r="81" spans="1:26" ht="13.5" thickBot="1">
      <c r="A81" s="379" t="s">
        <v>1824</v>
      </c>
      <c r="B81" s="369" t="s">
        <v>431</v>
      </c>
      <c r="C81" s="370">
        <f ca="1">ROUND((C82+C83)/(1+'数据-取费表'!C42),0)</f>
        <v>18939</v>
      </c>
      <c r="D81" s="371"/>
      <c r="E81" s="372"/>
      <c r="F81" s="40"/>
      <c r="G81" s="40"/>
      <c r="H81" s="1001"/>
      <c r="I81" s="309"/>
      <c r="J81" s="2028"/>
      <c r="K81" s="3076">
        <f>K79+1</f>
        <v>7</v>
      </c>
      <c r="L81" s="3407" t="s">
        <v>2889</v>
      </c>
      <c r="M81" s="3408"/>
      <c r="N81" s="1304"/>
      <c r="O81" s="1305" t="e">
        <f ca="1">ROUND(O79*10000/'数据-汇总表'!E3,0)</f>
        <v>#VALUE!</v>
      </c>
      <c r="P81" s="1306"/>
      <c r="Q81" s="2028"/>
      <c r="R81" s="2028"/>
      <c r="S81" s="2028"/>
      <c r="T81" s="2028"/>
      <c r="U81" s="2028"/>
      <c r="V81" s="2028"/>
    </row>
    <row r="82" spans="1:26" ht="13.5" thickTop="1">
      <c r="A82" s="373" t="s">
        <v>1825</v>
      </c>
      <c r="B82" s="374" t="s">
        <v>432</v>
      </c>
      <c r="C82" s="375">
        <f ca="1">D63</f>
        <v>19886</v>
      </c>
      <c r="D82" s="376" t="s">
        <v>19</v>
      </c>
      <c r="E82" s="377"/>
      <c r="F82" s="40"/>
      <c r="G82" s="40"/>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0"/>
      <c r="G83" s="40"/>
      <c r="H83" s="1001"/>
      <c r="I83" s="309"/>
      <c r="J83" s="2028"/>
      <c r="K83" s="3382" t="s">
        <v>2876</v>
      </c>
      <c r="L83" s="3088" t="s">
        <v>2877</v>
      </c>
      <c r="M83" s="3078" t="e">
        <f>IF(N69&gt;10000,N69*0.5%,IF(AND(N69&gt;1000,N69&lt;=10000),N69*1%,IF(AND(N69&gt;100,N69&lt;=1000),N69*3%,IF(AND(N69&gt;10,N69&lt;=100),N69*5%,N69*8%))))</f>
        <v>#VALUE!</v>
      </c>
      <c r="N83" s="51" t="e">
        <f>ROUND(M83,1)</f>
        <v>#VALUE!</v>
      </c>
      <c r="O83" s="3081"/>
      <c r="P83" s="2028"/>
      <c r="Q83" s="2028"/>
      <c r="R83" s="2028"/>
      <c r="S83" s="2028"/>
      <c r="T83" s="2028"/>
      <c r="U83" s="2028"/>
      <c r="V83" s="2028"/>
    </row>
    <row r="84" spans="1:26" ht="12.75">
      <c r="A84" s="379" t="s">
        <v>1827</v>
      </c>
      <c r="B84" s="380" t="s">
        <v>434</v>
      </c>
      <c r="C84" s="381">
        <v>2000</v>
      </c>
      <c r="D84" s="382" t="s">
        <v>19</v>
      </c>
      <c r="E84" s="3123" t="s">
        <v>2941</v>
      </c>
      <c r="F84" s="40"/>
      <c r="G84" s="40"/>
      <c r="H84" s="1001"/>
      <c r="I84" s="309"/>
      <c r="J84" s="2028"/>
      <c r="K84" s="3382"/>
      <c r="L84" s="3088" t="s">
        <v>2878</v>
      </c>
      <c r="M84" s="3078"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8" t="s">
        <v>2879</v>
      </c>
      <c r="P84" s="2028"/>
      <c r="Q84" s="2028"/>
      <c r="R84" s="2028"/>
      <c r="S84" s="2028"/>
      <c r="T84" s="2028"/>
      <c r="U84" s="2028"/>
      <c r="V84" s="2028"/>
    </row>
    <row r="85" spans="1:26" ht="12.75">
      <c r="A85" s="379" t="s">
        <v>1828</v>
      </c>
      <c r="B85" s="380" t="s">
        <v>435</v>
      </c>
      <c r="C85" s="383">
        <f ca="1">C81-C84</f>
        <v>16939</v>
      </c>
      <c r="D85" s="376" t="s">
        <v>19</v>
      </c>
      <c r="E85" s="377"/>
      <c r="F85" s="40"/>
      <c r="G85" s="40"/>
      <c r="H85" s="1001"/>
      <c r="I85" s="309"/>
      <c r="J85" s="2028"/>
      <c r="K85" s="3382"/>
      <c r="L85" s="3088" t="s">
        <v>2880</v>
      </c>
      <c r="M85" s="3078" t="e">
        <f>IF(N69&gt;1000,N69*0.1%,IF(AND(N69&gt;500,N69&lt;=1000),N69*0.5%,IF(AND(N69&gt;50,N69&lt;=500),N69*1%,IF(AND(N69&gt;1,N69&lt;=50),N69*1.5%))))</f>
        <v>#VALUE!</v>
      </c>
      <c r="N85" s="51" t="e">
        <f t="shared" si="2"/>
        <v>#VALUE!</v>
      </c>
      <c r="O85" s="2028" t="s">
        <v>2879</v>
      </c>
      <c r="P85" s="2028"/>
      <c r="Q85" s="2028"/>
      <c r="R85" s="2028"/>
      <c r="S85" s="2028"/>
      <c r="T85" s="2028"/>
      <c r="U85" s="2028"/>
      <c r="V85" s="2028"/>
    </row>
    <row r="86" spans="1:26" ht="13.5" thickBot="1">
      <c r="A86" s="384" t="s">
        <v>1829</v>
      </c>
      <c r="B86" s="385" t="s">
        <v>436</v>
      </c>
      <c r="C86" s="386">
        <f ca="1">IF(C85&lt;=0,0,ROUND(C85*D86,0))</f>
        <v>949</v>
      </c>
      <c r="D86" s="387">
        <f>'数据-取费表'!B41</f>
        <v>5.6000000000000001E-2</v>
      </c>
      <c r="E86" s="388"/>
      <c r="F86" s="40"/>
      <c r="G86" s="40"/>
      <c r="H86" s="1001"/>
      <c r="I86" s="309"/>
      <c r="J86" s="2028"/>
      <c r="K86" s="3382"/>
      <c r="L86" s="3088" t="s">
        <v>2881</v>
      </c>
      <c r="M86" s="3078" t="e">
        <f>N69*0.5%</f>
        <v>#VALUE!</v>
      </c>
      <c r="N86" s="51"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0"/>
      <c r="G87" s="40"/>
      <c r="H87" s="1001"/>
      <c r="I87" s="309"/>
      <c r="J87" s="2028"/>
      <c r="K87" s="3382"/>
      <c r="L87" s="3088" t="s">
        <v>2883</v>
      </c>
      <c r="M87" s="307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1"/>
      <c r="P87" s="309"/>
      <c r="Q87" s="2028"/>
      <c r="R87" s="2028"/>
      <c r="S87" s="2028"/>
      <c r="T87" s="2028"/>
      <c r="U87" s="2028"/>
      <c r="V87" s="2028"/>
      <c r="W87" s="290"/>
      <c r="X87" s="290"/>
      <c r="Y87" s="290"/>
      <c r="Z87" s="290"/>
    </row>
    <row r="88" spans="1:26" s="1312" customFormat="1" ht="15" thickBot="1">
      <c r="A88" s="3436" t="s">
        <v>437</v>
      </c>
      <c r="B88" s="3437"/>
      <c r="C88" s="3437"/>
      <c r="D88" s="3437"/>
      <c r="E88" s="3437"/>
      <c r="F88" s="3437"/>
      <c r="G88" s="3437"/>
      <c r="H88" s="3437"/>
      <c r="I88" s="1313"/>
      <c r="J88" s="2036"/>
      <c r="K88" s="3382"/>
      <c r="L88" s="3088" t="s">
        <v>2884</v>
      </c>
      <c r="M88" s="3078" t="e">
        <f>IF(N69&gt;10000,N69*0.5%,IF(AND(N69&gt;5000,N69&lt;=10000),N69*1%,IF(AND(N69&gt;1000,N69&lt;=5000),N69*2%,IF(AND(N69&gt;200,N69&lt;=1000),N69*3%,N69*5%))))</f>
        <v>#VALUE!</v>
      </c>
      <c r="N88" s="51" t="e">
        <f>ROUND(M88,1)</f>
        <v>#VALUE!</v>
      </c>
      <c r="O88" s="3081"/>
      <c r="P88" s="11"/>
      <c r="Q88" s="2033"/>
      <c r="R88" s="2033"/>
      <c r="S88" s="2033"/>
      <c r="T88" s="2033"/>
      <c r="U88" s="2033"/>
      <c r="V88" s="2033"/>
      <c r="W88" s="2037"/>
      <c r="X88" s="2037"/>
      <c r="Y88" s="2037"/>
      <c r="Z88" s="2037"/>
    </row>
    <row r="89" spans="1:26" s="1312" customFormat="1" ht="14.25">
      <c r="A89" s="3400" t="s">
        <v>428</v>
      </c>
      <c r="B89" s="3401"/>
      <c r="C89" s="992"/>
      <c r="D89" s="992" t="s">
        <v>429</v>
      </c>
      <c r="E89" s="389" t="s">
        <v>438</v>
      </c>
      <c r="F89" s="390"/>
      <c r="G89" s="390"/>
      <c r="H89" s="391"/>
      <c r="I89" s="1314"/>
      <c r="J89" s="2038"/>
      <c r="K89" s="3382"/>
      <c r="L89" s="3088" t="s">
        <v>27</v>
      </c>
      <c r="M89" s="3079"/>
      <c r="N89" s="51" t="e">
        <f>ROUND(SUM(N83:N88),0)</f>
        <v>#VALUE!</v>
      </c>
      <c r="O89" s="3089" t="e">
        <f>N89/N69</f>
        <v>#VALUE!</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18939</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2675</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433" t="s">
        <v>447</v>
      </c>
      <c r="F94" s="3434"/>
      <c r="G94" s="3434"/>
      <c r="H94" s="3435"/>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114</v>
      </c>
      <c r="D96" s="404">
        <f>'数据-取费表'!B43</f>
        <v>6.000000000000001E-3</v>
      </c>
      <c r="E96" s="3423" t="s">
        <v>2432</v>
      </c>
      <c r="F96" s="3424"/>
      <c r="G96" s="3424"/>
      <c r="H96" s="3425"/>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16264</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6.08</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8822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436" t="s">
        <v>454</v>
      </c>
      <c r="B101" s="3437"/>
      <c r="C101" s="3437"/>
      <c r="D101" s="3437"/>
      <c r="E101" s="3437"/>
      <c r="F101" s="3437"/>
      <c r="G101" s="3437"/>
      <c r="H101" s="3437"/>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400" t="s">
        <v>428</v>
      </c>
      <c r="B102" s="3401"/>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18939</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804</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426" t="s">
        <v>462</v>
      </c>
      <c r="F109" s="3424"/>
      <c r="G109" s="3424"/>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426" t="s">
        <v>464</v>
      </c>
      <c r="F110" s="3424"/>
      <c r="G110" s="3424"/>
      <c r="H110" s="3425"/>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114</v>
      </c>
      <c r="D111" s="404">
        <f>'数据-取费表'!B43</f>
        <v>6.000000000000001E-3</v>
      </c>
      <c r="E111" s="3423" t="s">
        <v>2432</v>
      </c>
      <c r="F111" s="3424"/>
      <c r="G111" s="3424"/>
      <c r="H111" s="3425"/>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426" t="s">
        <v>2457</v>
      </c>
      <c r="F112" s="3424"/>
      <c r="G112" s="3424"/>
      <c r="H112" s="3425"/>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18135</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22.555970149253731</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10600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L21" sqref="L2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1" t="s">
        <v>1678</v>
      </c>
      <c r="C1" s="2104"/>
      <c r="D1" s="2104"/>
      <c r="E1" s="2104"/>
      <c r="F1" s="2104"/>
      <c r="G1" s="2104"/>
      <c r="H1" s="2104"/>
      <c r="I1" s="2104"/>
      <c r="J1" s="2104"/>
      <c r="K1" s="420">
        <f>MATCH(B1,'数据-取费表'!A6:A16,0)+5</f>
        <v>6</v>
      </c>
    </row>
    <row r="2" spans="1:31" s="2041" customFormat="1" ht="18" customHeight="1">
      <c r="A2" s="2101" t="s">
        <v>467</v>
      </c>
      <c r="B2" s="2105">
        <f ca="1">C36</f>
        <v>29004</v>
      </c>
      <c r="C2" s="2104"/>
      <c r="D2" s="2104"/>
      <c r="E2" s="2104"/>
      <c r="F2" s="2104"/>
      <c r="G2" s="2104"/>
      <c r="H2" s="2104"/>
      <c r="I2" s="2104"/>
      <c r="J2" s="2104"/>
      <c r="K2" s="2104"/>
    </row>
    <row r="3" spans="1:31" s="2041" customFormat="1" ht="18" customHeight="1">
      <c r="A3" s="2106" t="s">
        <v>1685</v>
      </c>
      <c r="B3" s="2107">
        <f ca="1">ROUND(B2*10000/IF(B1="",'数据-汇总表'!E3,INDIRECT("'数据-取费表'!K"&amp;$K$1)),0)</f>
        <v>29004</v>
      </c>
      <c r="C3" s="2104"/>
      <c r="D3" s="2104"/>
      <c r="E3" s="2104"/>
      <c r="F3" s="2104"/>
      <c r="G3" s="2104"/>
      <c r="H3" s="2104"/>
      <c r="I3" s="2104"/>
      <c r="J3" s="2104"/>
      <c r="K3" s="2104"/>
    </row>
    <row r="4" spans="1:31" s="2041" customFormat="1" ht="18" customHeight="1">
      <c r="A4" s="424" t="s">
        <v>468</v>
      </c>
      <c r="B4" s="425">
        <f ca="1">ROUND(B2*10000/IF(B1="",'数据-汇总表'!D3,INDIRECT("'数据-取费表'!R"&amp;$K$1)),0)</f>
        <v>139505</v>
      </c>
      <c r="C4" s="426"/>
      <c r="D4" s="420"/>
      <c r="E4" s="420"/>
      <c r="F4" s="420"/>
      <c r="G4" s="420"/>
      <c r="H4" s="420"/>
      <c r="I4" s="420"/>
      <c r="J4" s="420"/>
      <c r="K4" s="420"/>
    </row>
    <row r="5" spans="1:31" s="2041" customFormat="1" ht="18" customHeight="1" thickBot="1">
      <c r="A5" s="427"/>
      <c r="B5" s="428">
        <f ca="1">ROUND(B2/(IF(B1="",'数据-汇总表'!D3,INDIRECT("'数据-取费表'!R"&amp;$K$1))/666.67),0)</f>
        <v>9300</v>
      </c>
      <c r="C5" s="429" t="s">
        <v>469</v>
      </c>
      <c r="D5" s="420"/>
      <c r="E5" s="420"/>
      <c r="F5" s="420"/>
      <c r="G5" s="420"/>
      <c r="H5" s="420"/>
      <c r="I5" s="420"/>
      <c r="J5" s="420"/>
      <c r="K5" s="420"/>
    </row>
    <row r="6" spans="1:31" s="2111" customFormat="1" ht="16.5" customHeight="1">
      <c r="A6" s="2850" t="s">
        <v>1843</v>
      </c>
      <c r="B6" s="2851"/>
      <c r="C6" s="2852">
        <f>SUM(C10:K10)</f>
        <v>47136</v>
      </c>
      <c r="D6" s="2851"/>
      <c r="E6" s="2851"/>
      <c r="F6" s="2851"/>
      <c r="G6" s="2851"/>
      <c r="H6" s="2851"/>
      <c r="I6" s="2851"/>
      <c r="J6" s="2851"/>
      <c r="K6" s="2853"/>
    </row>
    <row r="7" spans="1:31" s="2113" customFormat="1" ht="15">
      <c r="A7" s="2854" t="s">
        <v>470</v>
      </c>
      <c r="B7" s="2855"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56">
        <f>'不动产比较法-办公'!C50</f>
        <v>47136</v>
      </c>
      <c r="D8" s="2856"/>
      <c r="E8" s="2856"/>
      <c r="F8" s="2856"/>
      <c r="G8" s="2856"/>
      <c r="H8" s="2856"/>
      <c r="I8" s="2856"/>
      <c r="J8" s="2856"/>
      <c r="K8" s="2857"/>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8" t="s">
        <v>1848</v>
      </c>
      <c r="B10" s="2844" t="s">
        <v>474</v>
      </c>
      <c r="C10" s="3051">
        <f>C8</f>
        <v>47136</v>
      </c>
      <c r="D10" s="3051"/>
      <c r="E10" s="3051"/>
      <c r="F10" s="2859"/>
      <c r="G10" s="2859"/>
      <c r="H10" s="2859"/>
      <c r="I10" s="2859"/>
      <c r="J10" s="2859"/>
      <c r="K10" s="2860"/>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1" t="s">
        <v>1844</v>
      </c>
      <c r="B11" s="2851"/>
      <c r="C11" s="2851"/>
      <c r="D11" s="2851"/>
      <c r="E11" s="2851"/>
      <c r="F11" s="2851"/>
      <c r="G11" s="2851"/>
      <c r="H11" s="2851"/>
      <c r="I11" s="2851"/>
      <c r="J11" s="2851"/>
      <c r="K11" s="2853"/>
    </row>
    <row r="12" spans="1:31" s="2085" customFormat="1" ht="13.5" customHeight="1">
      <c r="A12" s="2862" t="s">
        <v>470</v>
      </c>
      <c r="B12" s="2834" t="s">
        <v>471</v>
      </c>
      <c r="C12" s="2863" t="s">
        <v>475</v>
      </c>
      <c r="D12" s="2830" t="s">
        <v>476</v>
      </c>
      <c r="E12" s="2830" t="s">
        <v>477</v>
      </c>
      <c r="F12" s="2830" t="s">
        <v>478</v>
      </c>
      <c r="G12" s="2834"/>
      <c r="H12" s="2835"/>
      <c r="I12" s="2835"/>
      <c r="J12" s="2835"/>
      <c r="K12" s="2836"/>
    </row>
    <row r="13" spans="1:31" s="2116" customFormat="1" ht="13.5" customHeight="1">
      <c r="A13" s="2864" t="s">
        <v>1849</v>
      </c>
      <c r="B13" s="2865" t="s">
        <v>479</v>
      </c>
      <c r="C13" s="448">
        <f ca="1">IF(B1="",'数据-取费表'!P16,INDIRECT("'数据-取费表'!p"&amp;$K$1)+INDIRECT("'数据-取费表'!t"&amp;$K$1))</f>
        <v>2500</v>
      </c>
      <c r="D13" s="2866"/>
      <c r="E13" s="2867"/>
      <c r="F13" s="2868"/>
      <c r="G13" s="2834"/>
      <c r="H13" s="2835"/>
      <c r="I13" s="2835"/>
      <c r="J13" s="2835"/>
      <c r="K13" s="2836"/>
    </row>
    <row r="14" spans="1:31" s="2116" customFormat="1" ht="13.5" customHeight="1">
      <c r="A14" s="2864" t="s">
        <v>1850</v>
      </c>
      <c r="B14" s="2865" t="s">
        <v>480</v>
      </c>
      <c r="C14" s="51">
        <f ca="1">ROUND(C13*F14,0)</f>
        <v>75</v>
      </c>
      <c r="D14" s="2866"/>
      <c r="E14" s="2867"/>
      <c r="F14" s="2869">
        <f>'数据-取费表'!B33</f>
        <v>0.03</v>
      </c>
      <c r="G14" s="2834" t="s">
        <v>481</v>
      </c>
      <c r="H14" s="2835"/>
      <c r="I14" s="2835"/>
      <c r="J14" s="2835"/>
      <c r="K14" s="2836"/>
    </row>
    <row r="15" spans="1:31" s="2116" customFormat="1" ht="13.5" customHeight="1">
      <c r="A15" s="2864" t="s">
        <v>1851</v>
      </c>
      <c r="B15" s="2865" t="s">
        <v>482</v>
      </c>
      <c r="C15" s="51">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7" customFormat="1" ht="13.5" customHeight="1">
      <c r="A16" s="2864" t="s">
        <v>1852</v>
      </c>
      <c r="B16" s="2865" t="s">
        <v>484</v>
      </c>
      <c r="C16" s="51">
        <f ca="1">ROUND(D16*E16/10000,0)</f>
        <v>200</v>
      </c>
      <c r="D16" s="2866">
        <f ca="1">IF(B1="",'数据-汇总表'!E3,INDIRECT("'数据-取费表'!K"&amp;$K$1)+INDIRECT("'数据-取费表'!S"&amp;$K$1))</f>
        <v>10000</v>
      </c>
      <c r="E16" s="51">
        <f>'数据-取费表'!B35</f>
        <v>200</v>
      </c>
      <c r="F16" s="2869"/>
      <c r="G16" s="2834"/>
      <c r="H16" s="2835"/>
      <c r="I16" s="2835"/>
      <c r="J16" s="2835"/>
      <c r="K16" s="2836"/>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4" t="s">
        <v>1853</v>
      </c>
      <c r="B17" s="2865" t="s">
        <v>485</v>
      </c>
      <c r="C17" s="2870">
        <f ca="1">ROUND(C13*F17,0)</f>
        <v>38</v>
      </c>
      <c r="D17" s="473"/>
      <c r="E17" s="2870"/>
      <c r="F17" s="2871">
        <f>'数据-取费表'!B36</f>
        <v>1.4999999999999999E-2</v>
      </c>
      <c r="G17" s="259" t="s">
        <v>486</v>
      </c>
      <c r="H17" s="2837"/>
      <c r="I17" s="2837"/>
      <c r="J17" s="2837"/>
      <c r="K17" s="277"/>
    </row>
    <row r="18" spans="1:14" s="2116" customFormat="1" ht="13.5" customHeight="1">
      <c r="A18" s="2872" t="s">
        <v>1854</v>
      </c>
      <c r="B18" s="2873" t="s">
        <v>487</v>
      </c>
      <c r="C18" s="2874">
        <f ca="1">SUM(C13:C17)</f>
        <v>2813</v>
      </c>
      <c r="D18" s="2875"/>
      <c r="E18" s="466"/>
      <c r="F18" s="466"/>
      <c r="G18" s="2838" t="s">
        <v>2434</v>
      </c>
      <c r="H18" s="2839"/>
      <c r="I18" s="2839"/>
      <c r="J18" s="2839"/>
      <c r="K18" s="2840"/>
    </row>
    <row r="19" spans="1:14" s="2116" customFormat="1" ht="13.5" customHeight="1">
      <c r="A19" s="2872" t="s">
        <v>1855</v>
      </c>
      <c r="B19" s="2873" t="s">
        <v>488</v>
      </c>
      <c r="C19" s="2830">
        <f ca="1">ROUND(D19*E19/10000,0)</f>
        <v>0</v>
      </c>
      <c r="D19" s="2876">
        <f ca="1">D16</f>
        <v>10000</v>
      </c>
      <c r="E19" s="2830">
        <f>'数据-取费表'!B32</f>
        <v>0</v>
      </c>
      <c r="F19" s="466"/>
      <c r="G19" s="2834" t="s">
        <v>489</v>
      </c>
      <c r="H19" s="2835"/>
      <c r="I19" s="2839"/>
      <c r="J19" s="2839"/>
      <c r="K19" s="2840"/>
    </row>
    <row r="20" spans="1:14" s="2116" customFormat="1" ht="13.5" customHeight="1">
      <c r="A20" s="2872" t="s">
        <v>1856</v>
      </c>
      <c r="B20" s="2873" t="s">
        <v>490</v>
      </c>
      <c r="C20" s="2830">
        <f ca="1">C21+C22-IF(B1="",'数据-取费表'!B29,IF(G20="已全部缴纳",C21+C22,H20))</f>
        <v>200</v>
      </c>
      <c r="D20" s="2876"/>
      <c r="E20" s="2830"/>
      <c r="F20" s="2877"/>
      <c r="G20" s="3111" t="s">
        <v>3148</v>
      </c>
      <c r="H20" s="2832"/>
      <c r="I20" s="2833" t="s">
        <v>2655</v>
      </c>
      <c r="J20" s="2839"/>
      <c r="K20" s="2840"/>
    </row>
    <row r="21" spans="1:14" s="2116" customFormat="1" ht="13.5" customHeight="1">
      <c r="A21" s="2864" t="s">
        <v>1857</v>
      </c>
      <c r="B21" s="2865" t="s">
        <v>491</v>
      </c>
      <c r="C21" s="51">
        <f ca="1">ROUND(D21*E21/10000,0)</f>
        <v>0</v>
      </c>
      <c r="D21" s="2866">
        <f ca="1">IF(B1="",'数据-汇总表'!E5,IF(INDIRECT("'数据-取费表'!c"&amp;$K$1)="住宅",INDIRECT("'数据-取费表'!k"&amp;$K$1),0))</f>
        <v>0</v>
      </c>
      <c r="E21" s="51">
        <f>'数据-取费表'!B27</f>
        <v>0</v>
      </c>
      <c r="F21" s="2869"/>
      <c r="G21" s="24"/>
      <c r="H21" s="49"/>
      <c r="I21" s="49"/>
      <c r="J21" s="49"/>
      <c r="K21" s="2841"/>
    </row>
    <row r="22" spans="1:14" s="2116" customFormat="1" ht="13.5" customHeight="1">
      <c r="A22" s="2864" t="s">
        <v>1858</v>
      </c>
      <c r="B22" s="2865" t="s">
        <v>492</v>
      </c>
      <c r="C22" s="51">
        <f ca="1">ROUND(D22*E22/10000,0)</f>
        <v>200</v>
      </c>
      <c r="D22" s="2866">
        <f ca="1">IF(B1="",'数据-汇总表'!E6,IF(INDIRECT("'数据-取费表'!c"&amp;$K$1)="住宅",INDIRECT("'数据-取费表'!s"&amp;$K$1),INDIRECT("'数据-取费表'!k"&amp;$K$1)+INDIRECT("'数据-取费表'!s"&amp;$K$1)))</f>
        <v>10000</v>
      </c>
      <c r="E22" s="51">
        <f>'数据-取费表'!B28</f>
        <v>200</v>
      </c>
      <c r="F22" s="2869"/>
      <c r="G22" s="24"/>
      <c r="H22" s="49"/>
      <c r="I22" s="49"/>
      <c r="J22" s="49"/>
      <c r="K22" s="2841"/>
    </row>
    <row r="23" spans="1:14" s="2116" customFormat="1" ht="13.5" customHeight="1">
      <c r="A23" s="2872" t="s">
        <v>1859</v>
      </c>
      <c r="B23" s="3057" t="s">
        <v>2836</v>
      </c>
      <c r="C23" s="2874">
        <f ca="1">ROUND((C18+C19+C20)*F23,0)</f>
        <v>60</v>
      </c>
      <c r="D23" s="466"/>
      <c r="E23" s="466"/>
      <c r="F23" s="2878">
        <f>'数据-取费表'!B37</f>
        <v>0.02</v>
      </c>
      <c r="G23" s="2834" t="s">
        <v>2435</v>
      </c>
      <c r="H23" s="2835"/>
      <c r="I23" s="2835"/>
      <c r="J23" s="2835"/>
      <c r="K23" s="2836"/>
      <c r="L23" s="2118"/>
      <c r="M23" s="2118"/>
      <c r="N23" s="2118"/>
    </row>
    <row r="24" spans="1:14" s="2116" customFormat="1" ht="13.5" customHeight="1">
      <c r="A24" s="2872" t="s">
        <v>1860</v>
      </c>
      <c r="B24" s="3057" t="s">
        <v>2839</v>
      </c>
      <c r="C24" s="2874">
        <f>ROUND(C6*F24,0)</f>
        <v>943</v>
      </c>
      <c r="D24" s="473"/>
      <c r="E24" s="471"/>
      <c r="F24" s="2878">
        <f>'数据-取费表'!B38</f>
        <v>0.02</v>
      </c>
      <c r="G24" s="2843" t="s">
        <v>499</v>
      </c>
      <c r="H24" s="2837"/>
      <c r="I24" s="2837"/>
      <c r="J24" s="2837"/>
      <c r="K24" s="277"/>
      <c r="L24" s="2118"/>
      <c r="M24" s="2118"/>
      <c r="N24" s="2118"/>
    </row>
    <row r="25" spans="1:14" s="2119" customFormat="1" ht="13.5" customHeight="1">
      <c r="A25" s="2872" t="s">
        <v>1861</v>
      </c>
      <c r="B25" s="3057" t="s">
        <v>2837</v>
      </c>
      <c r="C25" s="465">
        <f>ROUND(F25/(1+'数据-取费表'!C42),4)</f>
        <v>2.9000000000000001E-2</v>
      </c>
      <c r="D25" s="460" t="s">
        <v>2831</v>
      </c>
      <c r="E25" s="467"/>
      <c r="F25" s="2878">
        <f>'数据-取费表'!B48+'数据-取费表'!B49</f>
        <v>3.0499999999999999E-2</v>
      </c>
      <c r="G25" s="2842" t="s">
        <v>2292</v>
      </c>
      <c r="H25" s="2835"/>
      <c r="I25" s="2835"/>
      <c r="J25" s="2835"/>
      <c r="K25" s="2836"/>
    </row>
    <row r="26" spans="1:14" s="2118" customFormat="1" ht="13.5" customHeight="1">
      <c r="A26" s="2872" t="s">
        <v>1862</v>
      </c>
      <c r="B26" s="3058" t="s">
        <v>2838</v>
      </c>
      <c r="C26" s="2879">
        <f ca="1">C28</f>
        <v>142</v>
      </c>
      <c r="D26" s="465">
        <f ca="1">C27</f>
        <v>7.4200000000000002E-2</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20" customFormat="1" ht="13.5" customHeight="1">
      <c r="A27" s="801" t="s">
        <v>1857</v>
      </c>
      <c r="B27" s="2880" t="s">
        <v>496</v>
      </c>
      <c r="C27" s="2881">
        <f ca="1">ROUND(IF('数据-取费表'!B22&lt;=1,(1+C25)*F26*'数据-取费表'!B24,(1+C25)*(POWER((1+F26),'数据-取费表'!B24)-1)),4)</f>
        <v>7.4200000000000002E-2</v>
      </c>
      <c r="D27" s="470"/>
      <c r="E27" s="471"/>
      <c r="F27" s="472"/>
      <c r="G27" s="2594" t="str">
        <f>IF('数据-取费表'!B22&lt;=1,"（1+取得税费率/(1+5%)）×年利率×建设期","（1+取得税费率）/(1+5%)×((1+年利率)^建设期-1)")</f>
        <v>（1+取得税费率）/(1+5%)×((1+年利率)^建设期-1)</v>
      </c>
      <c r="H27" s="2837"/>
      <c r="I27" s="2837"/>
      <c r="J27" s="2837"/>
      <c r="K27" s="277"/>
    </row>
    <row r="28" spans="1:14" s="2120" customFormat="1" ht="13.5" customHeight="1">
      <c r="A28" s="801" t="s">
        <v>1858</v>
      </c>
      <c r="B28" s="2880" t="s">
        <v>2840</v>
      </c>
      <c r="C28" s="2882">
        <f ca="1">ROUND(IF('数据-取费表'!B22&lt;=1,(C18+C19+C20+C23+C24)*F26*'数据-取费表'!B24/2,(C18+C19+C20+C23+C24)*(POWER((1+F26),'数据-取费表'!B24/2)-1)),0)</f>
        <v>142</v>
      </c>
      <c r="D28" s="470"/>
      <c r="E28" s="471"/>
      <c r="F28" s="472"/>
      <c r="G28" s="2594" t="str">
        <f>IF('数据-取费表'!B22&lt;=1,"（1）-（4）项×年利率×建设期÷2","（1）-（4）项×((1+年利率)^(建设期÷2)-1)")</f>
        <v>（1）-（4）项×((1+年利率)^(建设期÷2)-1)</v>
      </c>
      <c r="H28" s="2837"/>
      <c r="I28" s="2837"/>
      <c r="J28" s="2837"/>
      <c r="K28" s="277"/>
    </row>
    <row r="29" spans="1:14" s="2120" customFormat="1" ht="13.5" customHeight="1">
      <c r="A29" s="2883" t="s">
        <v>1863</v>
      </c>
      <c r="B29" s="2873" t="s">
        <v>497</v>
      </c>
      <c r="C29" s="2874">
        <f>ROUND(C6*F29/(1+'数据-取费表'!C42),0)</f>
        <v>2514</v>
      </c>
      <c r="D29" s="466"/>
      <c r="E29" s="466"/>
      <c r="F29" s="3059">
        <f>'数据-取费表'!B41</f>
        <v>5.6000000000000001E-2</v>
      </c>
      <c r="G29" s="2843" t="s">
        <v>498</v>
      </c>
      <c r="H29" s="2835"/>
      <c r="I29" s="2835"/>
      <c r="J29" s="2835"/>
      <c r="K29" s="2836"/>
    </row>
    <row r="30" spans="1:14" s="2121" customFormat="1" ht="13.5" customHeight="1">
      <c r="A30" s="1634" t="s">
        <v>1864</v>
      </c>
      <c r="B30" s="2884" t="s">
        <v>500</v>
      </c>
      <c r="C30" s="2879">
        <f ca="1">C31</f>
        <v>6672</v>
      </c>
      <c r="D30" s="475">
        <f ca="1">C32</f>
        <v>0.1032</v>
      </c>
      <c r="E30" s="467" t="s">
        <v>495</v>
      </c>
      <c r="F30" s="469"/>
      <c r="G30" s="2842" t="s">
        <v>2974</v>
      </c>
      <c r="H30" s="2835"/>
      <c r="I30" s="2835"/>
      <c r="J30" s="2835"/>
      <c r="K30" s="2836"/>
    </row>
    <row r="31" spans="1:14" s="2120" customFormat="1" ht="13.5" customHeight="1">
      <c r="A31" s="801" t="s">
        <v>1857</v>
      </c>
      <c r="B31" s="2880"/>
      <c r="C31" s="448">
        <f ca="1">C18+C19+C20+C23+C24+C26+C29</f>
        <v>6672</v>
      </c>
      <c r="D31" s="470"/>
      <c r="E31" s="471"/>
      <c r="F31" s="472"/>
      <c r="G31" s="259"/>
      <c r="H31" s="2837"/>
      <c r="I31" s="2837"/>
      <c r="J31" s="2837"/>
      <c r="K31" s="277"/>
    </row>
    <row r="32" spans="1:14" s="2120" customFormat="1" ht="13.5" customHeight="1">
      <c r="A32" s="801" t="s">
        <v>1858</v>
      </c>
      <c r="B32" s="2880"/>
      <c r="C32" s="51">
        <f ca="1">ROUND(C25+D26,4)</f>
        <v>0.1032</v>
      </c>
      <c r="D32" s="470"/>
      <c r="E32" s="471"/>
      <c r="F32" s="472"/>
      <c r="G32" s="259"/>
      <c r="H32" s="2837"/>
      <c r="I32" s="2837"/>
      <c r="J32" s="2837"/>
      <c r="K32" s="277"/>
    </row>
    <row r="33" spans="1:11" s="2122" customFormat="1" ht="13.5" customHeight="1">
      <c r="A33" s="3056" t="s">
        <v>2835</v>
      </c>
      <c r="B33" s="3054" t="s">
        <v>2833</v>
      </c>
      <c r="C33" s="476">
        <f ca="1">C35</f>
        <v>1004</v>
      </c>
      <c r="D33" s="465">
        <f ca="1">C34</f>
        <v>0.25729999999999997</v>
      </c>
      <c r="E33" s="467" t="s">
        <v>495</v>
      </c>
      <c r="F33" s="477">
        <f ca="1">IF(B1="",'数据-取费表'!Q16,INDIRECT("'数据-取费表'!q"&amp;$K$1))</f>
        <v>0.25</v>
      </c>
      <c r="G33" s="2838"/>
      <c r="H33" s="2839"/>
      <c r="I33" s="2839"/>
      <c r="J33" s="2839"/>
      <c r="K33" s="2840"/>
    </row>
    <row r="34" spans="1:11" s="2123" customFormat="1" ht="13.5" customHeight="1">
      <c r="A34" s="373" t="s">
        <v>1857</v>
      </c>
      <c r="B34" s="2885" t="s">
        <v>501</v>
      </c>
      <c r="C34" s="470">
        <f ca="1">ROUND((1+C25)*F33,4)</f>
        <v>0.25729999999999997</v>
      </c>
      <c r="D34" s="470"/>
      <c r="E34" s="471"/>
      <c r="F34" s="478"/>
      <c r="G34" s="259" t="s">
        <v>2293</v>
      </c>
      <c r="H34" s="2837"/>
      <c r="I34" s="2837"/>
      <c r="J34" s="2837"/>
      <c r="K34" s="277"/>
    </row>
    <row r="35" spans="1:11" s="2123" customFormat="1" ht="13.5" customHeight="1" thickBot="1">
      <c r="A35" s="1635" t="s">
        <v>1858</v>
      </c>
      <c r="B35" s="3055" t="s">
        <v>2841</v>
      </c>
      <c r="C35" s="1627">
        <f ca="1">ROUND((C18+C19+C20+C23+C24)*F33,0)</f>
        <v>1004</v>
      </c>
      <c r="D35" s="1628"/>
      <c r="E35" s="2886"/>
      <c r="F35" s="1629"/>
      <c r="G35" s="2844"/>
      <c r="H35" s="2845"/>
      <c r="I35" s="2845"/>
      <c r="J35" s="2845"/>
      <c r="K35" s="2846"/>
    </row>
    <row r="36" spans="1:11" s="2085" customFormat="1" ht="13.5" customHeight="1" thickBot="1">
      <c r="A36" s="282" t="s">
        <v>1845</v>
      </c>
      <c r="B36" s="2848"/>
      <c r="C36" s="2887">
        <f ca="1">ROUND((C6-C30-C33)/(1+D30+D33),0)</f>
        <v>29004</v>
      </c>
      <c r="D36" s="2848"/>
      <c r="E36" s="2848"/>
      <c r="F36" s="2848"/>
      <c r="G36" s="2847" t="s">
        <v>2842</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sheetPr>
    <tabColor rgb="FFFF0000"/>
  </sheetPr>
  <dimension ref="A1:U60"/>
  <sheetViews>
    <sheetView tabSelected="1" topLeftCell="E22" workbookViewId="0">
      <selection activeCell="E15" sqref="E15:E16"/>
    </sheetView>
  </sheetViews>
  <sheetFormatPr defaultRowHeight="13.5"/>
  <cols>
    <col min="1" max="1" width="13.125" customWidth="1"/>
    <col min="2" max="2" width="13.375" customWidth="1"/>
    <col min="3" max="4" width="12.625" customWidth="1"/>
    <col min="5" max="5" width="12.25" customWidth="1"/>
    <col min="6" max="6" width="10.5" customWidth="1"/>
    <col min="7" max="7" width="7.5" customWidth="1"/>
    <col min="8" max="8" width="11.625" customWidth="1"/>
    <col min="9" max="9" width="11.125" customWidth="1"/>
    <col min="11" max="11" width="9.875" customWidth="1"/>
    <col min="12" max="12" width="12.625" bestFit="1" customWidth="1"/>
    <col min="19" max="19" width="11.375" bestFit="1" customWidth="1"/>
  </cols>
  <sheetData>
    <row r="1" spans="1:16" s="3182" customFormat="1">
      <c r="A1" s="3185" t="s">
        <v>2994</v>
      </c>
      <c r="B1" s="3185" t="s">
        <v>2992</v>
      </c>
      <c r="C1" s="3185" t="s">
        <v>2993</v>
      </c>
      <c r="D1" s="3185" t="s">
        <v>3122</v>
      </c>
      <c r="E1" s="3185" t="s">
        <v>3123</v>
      </c>
    </row>
    <row r="2" spans="1:16" s="3182" customFormat="1">
      <c r="A2" s="3187" t="s">
        <v>2995</v>
      </c>
      <c r="B2" s="3183">
        <v>1280</v>
      </c>
      <c r="C2" s="3183">
        <v>0</v>
      </c>
      <c r="D2" s="3183">
        <f>C2-B2</f>
        <v>-1280</v>
      </c>
      <c r="E2" s="3183"/>
    </row>
    <row r="3" spans="1:16" s="3182" customFormat="1">
      <c r="A3" s="3187" t="s">
        <v>3119</v>
      </c>
      <c r="B3" s="3183">
        <v>0</v>
      </c>
      <c r="C3" s="3183">
        <v>1291.48</v>
      </c>
      <c r="D3" s="3183">
        <v>1280</v>
      </c>
      <c r="E3" s="3183">
        <f>C3-B2</f>
        <v>11.480000000000018</v>
      </c>
    </row>
    <row r="4" spans="1:16" s="3182" customFormat="1">
      <c r="A4" s="3187" t="s">
        <v>3120</v>
      </c>
      <c r="B4" s="3183">
        <v>415</v>
      </c>
      <c r="C4" s="3183">
        <v>0</v>
      </c>
      <c r="D4" s="3183">
        <f>C4-B4</f>
        <v>-415</v>
      </c>
      <c r="E4" s="3183"/>
    </row>
    <row r="5" spans="1:16" s="3182" customFormat="1">
      <c r="A5" s="3187" t="s">
        <v>3121</v>
      </c>
      <c r="B5" s="3183">
        <v>0</v>
      </c>
      <c r="C5" s="3183">
        <v>415</v>
      </c>
      <c r="D5" s="3183">
        <f>C5-B5</f>
        <v>415</v>
      </c>
      <c r="E5" s="3183"/>
    </row>
    <row r="6" spans="1:16" s="3182" customFormat="1" hidden="1">
      <c r="A6" s="3186" t="s">
        <v>2996</v>
      </c>
      <c r="B6" s="3184">
        <v>1313</v>
      </c>
      <c r="C6" s="3184">
        <v>1176.78</v>
      </c>
      <c r="D6" s="3184">
        <f>C6</f>
        <v>1176.78</v>
      </c>
      <c r="E6" s="3257">
        <f>C6-B6</f>
        <v>-136.22000000000003</v>
      </c>
      <c r="F6" s="3182">
        <v>136.22</v>
      </c>
    </row>
    <row r="7" spans="1:16" s="3182" customFormat="1">
      <c r="A7" s="3202"/>
      <c r="B7" s="3203"/>
      <c r="C7" s="3203"/>
      <c r="D7" s="3203"/>
      <c r="E7" s="3256"/>
    </row>
    <row r="8" spans="1:16" ht="15" customHeight="1"/>
    <row r="9" spans="1:16" ht="15" customHeight="1"/>
    <row r="11" spans="1:16" ht="38.25" customHeight="1">
      <c r="A11" s="3485" t="s">
        <v>3007</v>
      </c>
      <c r="B11" s="3485"/>
      <c r="C11" s="3485"/>
      <c r="D11" s="3485"/>
      <c r="E11" s="3485"/>
      <c r="F11" s="3485"/>
      <c r="G11" s="3485"/>
      <c r="H11" s="3485"/>
      <c r="I11" s="3485"/>
      <c r="J11" s="3485"/>
      <c r="K11" s="3227"/>
    </row>
    <row r="12" spans="1:16" ht="57">
      <c r="A12" s="3190" t="s">
        <v>2997</v>
      </c>
      <c r="B12" s="3190" t="s">
        <v>2998</v>
      </c>
      <c r="C12" s="3190" t="s">
        <v>2999</v>
      </c>
      <c r="D12" s="3190" t="s">
        <v>3000</v>
      </c>
      <c r="E12" s="3190" t="s">
        <v>3001</v>
      </c>
      <c r="F12" s="3190" t="s">
        <v>3086</v>
      </c>
      <c r="G12" s="3190" t="s">
        <v>3002</v>
      </c>
      <c r="H12" s="3190" t="s">
        <v>3003</v>
      </c>
      <c r="I12" s="3190" t="s">
        <v>3004</v>
      </c>
      <c r="J12" s="3190"/>
      <c r="K12" s="3190" t="s">
        <v>3002</v>
      </c>
      <c r="L12" s="2"/>
      <c r="M12" s="2"/>
      <c r="N12" s="2"/>
      <c r="O12" s="2"/>
      <c r="P12" s="2"/>
    </row>
    <row r="13" spans="1:16" s="2" customFormat="1" ht="54" customHeight="1">
      <c r="A13" s="3474" t="s">
        <v>3112</v>
      </c>
      <c r="B13" s="3188" t="s">
        <v>3005</v>
      </c>
      <c r="C13" s="3189">
        <f ca="1">结果表!D20</f>
        <v>35903</v>
      </c>
      <c r="D13" s="3189">
        <f>结果表!D18</f>
        <v>0.6</v>
      </c>
      <c r="E13" s="3486">
        <f ca="1">ROUND(C13*D13+C14*D14,0)</f>
        <v>33143</v>
      </c>
      <c r="F13" s="3486">
        <f ca="1">ROUND(E13*B2/10000,2)</f>
        <v>4242.3</v>
      </c>
      <c r="G13" s="3486">
        <f ca="1">ROUND(E13*0.25,)</f>
        <v>8286</v>
      </c>
      <c r="H13" s="3486">
        <f ca="1">ROUND(G13*B2/10000,2)</f>
        <v>1060.6099999999999</v>
      </c>
      <c r="I13" s="3189"/>
      <c r="J13" s="3189"/>
      <c r="K13" s="3225"/>
    </row>
    <row r="14" spans="1:16" s="2" customFormat="1" ht="45.75" customHeight="1">
      <c r="A14" s="3475"/>
      <c r="B14" s="3188" t="s">
        <v>3006</v>
      </c>
      <c r="C14" s="3189">
        <f ca="1">结果表!C20</f>
        <v>29004</v>
      </c>
      <c r="D14" s="3189">
        <f>结果表!C18</f>
        <v>0.4</v>
      </c>
      <c r="E14" s="3487"/>
      <c r="F14" s="3487"/>
      <c r="G14" s="3487"/>
      <c r="H14" s="3487"/>
      <c r="I14" s="3189"/>
      <c r="J14" s="3189"/>
      <c r="K14" s="3225"/>
    </row>
    <row r="15" spans="1:16" s="2" customFormat="1" ht="45.75" customHeight="1">
      <c r="A15" s="3474" t="s">
        <v>3115</v>
      </c>
      <c r="B15" s="3188" t="s">
        <v>3005</v>
      </c>
      <c r="C15" s="3189">
        <f ca="1">[1]结果表!$D$20</f>
        <v>42180</v>
      </c>
      <c r="D15" s="3189">
        <f>[2]结果表!$D$18</f>
        <v>0.6</v>
      </c>
      <c r="E15" s="3486">
        <f ca="1">ROUND(C15*D15+C16*D16,0)</f>
        <v>41438</v>
      </c>
      <c r="F15" s="3254">
        <f ca="1">ROUND(E15*D3/10000,2)</f>
        <v>5304.06</v>
      </c>
      <c r="G15" s="3486">
        <f ca="1">ROUND(E15*0.25,)</f>
        <v>10360</v>
      </c>
      <c r="H15" s="3486">
        <f ca="1">ROUND(G15*B2/10000,2)</f>
        <v>1326.08</v>
      </c>
      <c r="I15" s="3189"/>
      <c r="J15" s="3189"/>
      <c r="K15" s="3225"/>
    </row>
    <row r="16" spans="1:16" s="2" customFormat="1" ht="45.75" customHeight="1">
      <c r="A16" s="3475"/>
      <c r="B16" s="3188" t="s">
        <v>3006</v>
      </c>
      <c r="C16" s="3189">
        <f ca="1">[1]结果表!$C$20</f>
        <v>40324</v>
      </c>
      <c r="D16" s="3189">
        <f>[2]结果表!$C$18</f>
        <v>0.4</v>
      </c>
      <c r="E16" s="3487"/>
      <c r="F16" s="3252"/>
      <c r="G16" s="3487"/>
      <c r="H16" s="3487"/>
      <c r="I16" s="3189"/>
      <c r="J16" s="3189"/>
      <c r="K16" s="3225"/>
    </row>
    <row r="17" spans="1:20" s="2" customFormat="1" ht="45.75" customHeight="1">
      <c r="A17" s="3474" t="s">
        <v>3146</v>
      </c>
      <c r="B17" s="3188" t="s">
        <v>3005</v>
      </c>
      <c r="C17" s="3189">
        <f ca="1">基准地价!C37</f>
        <v>10771</v>
      </c>
      <c r="D17" s="3189">
        <f>D13</f>
        <v>0.6</v>
      </c>
      <c r="E17" s="3486">
        <f ca="1">ROUND(C17*D17+C18*D18,0)</f>
        <v>9943</v>
      </c>
      <c r="F17" s="3254">
        <f ca="1">ROUND(E17*B4/10000,2)</f>
        <v>412.63</v>
      </c>
      <c r="G17" s="3486">
        <f ca="1">ROUND(E17*0.25,)</f>
        <v>2486</v>
      </c>
      <c r="H17" s="3486">
        <f ca="1">ROUND(G17*B4/10000,2)</f>
        <v>103.17</v>
      </c>
      <c r="I17" s="3189"/>
      <c r="J17" s="3189"/>
      <c r="K17" s="3225"/>
    </row>
    <row r="18" spans="1:20" s="2" customFormat="1" ht="45.75" customHeight="1">
      <c r="A18" s="3475"/>
      <c r="B18" s="3188" t="s">
        <v>3006</v>
      </c>
      <c r="C18" s="3189">
        <f ca="1">ROUND(C14*0.3,0)</f>
        <v>8701</v>
      </c>
      <c r="D18" s="3189">
        <f>D14</f>
        <v>0.4</v>
      </c>
      <c r="E18" s="3487"/>
      <c r="F18" s="3254"/>
      <c r="G18" s="3487"/>
      <c r="H18" s="3487"/>
      <c r="I18" s="3189"/>
      <c r="J18" s="3189"/>
      <c r="K18" s="3225"/>
    </row>
    <row r="19" spans="1:20" s="2" customFormat="1" ht="45.75" customHeight="1">
      <c r="A19" s="3474" t="s">
        <v>3139</v>
      </c>
      <c r="B19" s="3188" t="s">
        <v>3005</v>
      </c>
      <c r="C19" s="3189">
        <f>[2]基准地价!$C$33</f>
        <v>30676</v>
      </c>
      <c r="D19" s="3189">
        <f>D13</f>
        <v>0.6</v>
      </c>
      <c r="E19" s="3486">
        <f ca="1">ROUND(C19*D19+C20*D20,0)</f>
        <v>31309</v>
      </c>
      <c r="F19" s="3254">
        <f ca="1">ROUND(E19*D5/10000,2)</f>
        <v>1299.32</v>
      </c>
      <c r="G19" s="3486">
        <f ca="1">ROUND(E19*0.25,)</f>
        <v>7827</v>
      </c>
      <c r="H19" s="3486">
        <f ca="1">ROUND(G19*B4/10000,2)</f>
        <v>324.82</v>
      </c>
      <c r="I19" s="3189"/>
      <c r="J19" s="3189"/>
      <c r="K19" s="3225"/>
    </row>
    <row r="20" spans="1:20" s="2" customFormat="1" ht="45.75" customHeight="1">
      <c r="A20" s="3475"/>
      <c r="B20" s="3188" t="s">
        <v>3006</v>
      </c>
      <c r="C20" s="3189">
        <f ca="1">ROUND(C16*0.8,0)</f>
        <v>32259</v>
      </c>
      <c r="D20" s="3189">
        <f>D14</f>
        <v>0.4</v>
      </c>
      <c r="E20" s="3487"/>
      <c r="F20" s="3254"/>
      <c r="G20" s="3487"/>
      <c r="H20" s="3487"/>
      <c r="I20" s="3189"/>
      <c r="J20" s="3189"/>
      <c r="K20" s="3225"/>
    </row>
    <row r="21" spans="1:20" ht="45.75" customHeight="1">
      <c r="A21" s="3474" t="s">
        <v>3151</v>
      </c>
      <c r="B21" s="3188" t="s">
        <v>3005</v>
      </c>
      <c r="C21" s="3189">
        <f>[3]结果表!$D$20</f>
        <v>38156</v>
      </c>
      <c r="D21" s="3189">
        <f>[1]结果表!$D$18</f>
        <v>0.6</v>
      </c>
      <c r="E21" s="3486">
        <f ca="1">ROUND(C21*D21+C22*D22,0)</f>
        <v>37484</v>
      </c>
      <c r="F21" s="3189"/>
      <c r="G21" s="3486">
        <f ca="1">E21*0.25</f>
        <v>9371</v>
      </c>
      <c r="H21" s="3486">
        <f ca="1">ROUND(G21*E3/10000,2)</f>
        <v>10.76</v>
      </c>
      <c r="I21" s="3189"/>
      <c r="J21" s="3189"/>
      <c r="K21" s="3225"/>
    </row>
    <row r="22" spans="1:20" ht="45.75" customHeight="1">
      <c r="A22" s="3475"/>
      <c r="B22" s="3188" t="s">
        <v>3006</v>
      </c>
      <c r="C22" s="3189">
        <f ca="1">ROUND(C16*C23,0)</f>
        <v>36477</v>
      </c>
      <c r="D22" s="3189">
        <f>[1]结果表!$C$18</f>
        <v>0.4</v>
      </c>
      <c r="E22" s="3487"/>
      <c r="F22" s="3189"/>
      <c r="G22" s="3487"/>
      <c r="H22" s="3487"/>
      <c r="I22" s="3189"/>
      <c r="J22" s="3189"/>
      <c r="K22" s="3225"/>
    </row>
    <row r="23" spans="1:20">
      <c r="C23">
        <f>[3]基准地价!$C$20</f>
        <v>0.90459999999999996</v>
      </c>
    </row>
    <row r="26" spans="1:20" ht="19.5" hidden="1" thickBot="1">
      <c r="A26" s="3215" t="s">
        <v>3076</v>
      </c>
      <c r="H26" s="2897" t="s">
        <v>3075</v>
      </c>
      <c r="N26" s="3220" t="s">
        <v>3078</v>
      </c>
    </row>
    <row r="27" spans="1:20" ht="42" hidden="1" customHeight="1" thickBot="1">
      <c r="A27" s="3514" t="s">
        <v>3057</v>
      </c>
      <c r="B27" s="3514" t="s">
        <v>3058</v>
      </c>
      <c r="C27" s="3204" t="s">
        <v>3059</v>
      </c>
      <c r="D27" s="3204" t="s">
        <v>3062</v>
      </c>
      <c r="E27" s="3204" t="s">
        <v>3065</v>
      </c>
      <c r="F27" s="3204" t="s">
        <v>3067</v>
      </c>
      <c r="H27" s="3514" t="s">
        <v>3057</v>
      </c>
      <c r="I27" s="3514" t="s">
        <v>3058</v>
      </c>
      <c r="J27" s="3204" t="s">
        <v>3070</v>
      </c>
      <c r="K27" s="3204" t="s">
        <v>3071</v>
      </c>
      <c r="L27" s="3514" t="s">
        <v>3072</v>
      </c>
      <c r="M27" s="3213"/>
      <c r="N27" s="3501" t="s">
        <v>3057</v>
      </c>
      <c r="O27" s="3527" t="s">
        <v>3058</v>
      </c>
      <c r="P27" s="3528"/>
      <c r="Q27" s="3216" t="s">
        <v>3070</v>
      </c>
      <c r="R27" s="3217" t="s">
        <v>3077</v>
      </c>
      <c r="S27" s="3217" t="s">
        <v>3078</v>
      </c>
      <c r="T27" s="3217" t="s">
        <v>3067</v>
      </c>
    </row>
    <row r="28" spans="1:20" ht="15" hidden="1" customHeight="1" thickBot="1">
      <c r="A28" s="3515"/>
      <c r="B28" s="3515"/>
      <c r="C28" s="3205" t="s">
        <v>3060</v>
      </c>
      <c r="D28" s="3205" t="s">
        <v>3063</v>
      </c>
      <c r="E28" s="3205" t="s">
        <v>3066</v>
      </c>
      <c r="F28" s="3205" t="s">
        <v>3064</v>
      </c>
      <c r="H28" s="3516"/>
      <c r="I28" s="3519"/>
      <c r="J28" s="3206" t="s">
        <v>3073</v>
      </c>
      <c r="K28" s="3206" t="s">
        <v>3074</v>
      </c>
      <c r="L28" s="3519"/>
      <c r="M28" s="3213"/>
      <c r="N28" s="3526"/>
      <c r="O28" s="3529"/>
      <c r="P28" s="3530"/>
      <c r="Q28" s="3517" t="s">
        <v>3079</v>
      </c>
      <c r="R28" s="3517" t="s">
        <v>3080</v>
      </c>
      <c r="S28" s="3218" t="s">
        <v>3065</v>
      </c>
      <c r="T28" s="3517" t="s">
        <v>3080</v>
      </c>
    </row>
    <row r="29" spans="1:20" ht="16.5" hidden="1" customHeight="1" thickBot="1">
      <c r="A29" s="3516"/>
      <c r="B29" s="3516"/>
      <c r="C29" s="3206" t="s">
        <v>3061</v>
      </c>
      <c r="D29" s="3206" t="s">
        <v>3064</v>
      </c>
      <c r="E29" s="3207"/>
      <c r="F29" s="3207"/>
      <c r="H29" s="3510" t="s">
        <v>2990</v>
      </c>
      <c r="I29" s="3520" t="s">
        <v>3084</v>
      </c>
      <c r="J29" s="3209">
        <v>11.48</v>
      </c>
      <c r="K29" s="3522">
        <f ca="1">G13</f>
        <v>8286</v>
      </c>
      <c r="L29" s="3524">
        <f ca="1">ROUND(K29*J29/10000,2)</f>
        <v>9.51</v>
      </c>
      <c r="M29" s="3509"/>
      <c r="N29" s="3502"/>
      <c r="O29" s="3531"/>
      <c r="P29" s="3532"/>
      <c r="Q29" s="3518"/>
      <c r="R29" s="3518"/>
      <c r="S29" s="3219" t="s">
        <v>3066</v>
      </c>
      <c r="T29" s="3518"/>
    </row>
    <row r="30" spans="1:20" ht="19.5" hidden="1" customHeight="1" thickBot="1">
      <c r="A30" s="3510" t="s">
        <v>2990</v>
      </c>
      <c r="B30" s="3510" t="s">
        <v>3084</v>
      </c>
      <c r="C30" s="3488">
        <v>11.48</v>
      </c>
      <c r="D30" s="3522">
        <f ca="1">E13</f>
        <v>33143</v>
      </c>
      <c r="E30" s="3522">
        <f ca="1">ROUND(D30*D2/10000,2)</f>
        <v>-4242.3</v>
      </c>
      <c r="F30" s="3488" t="s">
        <v>2821</v>
      </c>
      <c r="H30" s="3511"/>
      <c r="I30" s="3521"/>
      <c r="J30" s="3210" t="s">
        <v>3068</v>
      </c>
      <c r="K30" s="3523"/>
      <c r="L30" s="3523"/>
      <c r="M30" s="3509"/>
      <c r="N30" s="3212" t="s">
        <v>2990</v>
      </c>
      <c r="O30" s="3210" t="s">
        <v>3083</v>
      </c>
      <c r="P30" s="3210" t="s">
        <v>3084</v>
      </c>
      <c r="Q30" s="3211">
        <v>11.48</v>
      </c>
      <c r="R30" s="3222">
        <f ca="1">E13</f>
        <v>33143</v>
      </c>
      <c r="S30" s="3222">
        <f ca="1">E30</f>
        <v>-4242.3</v>
      </c>
      <c r="T30" s="3211" t="s">
        <v>2821</v>
      </c>
    </row>
    <row r="31" spans="1:20" ht="22.5" hidden="1" customHeight="1" thickBot="1">
      <c r="A31" s="3511"/>
      <c r="B31" s="3511"/>
      <c r="C31" s="3489"/>
      <c r="D31" s="3533"/>
      <c r="E31" s="3533"/>
      <c r="F31" s="3489"/>
      <c r="H31" s="3510" t="s">
        <v>3069</v>
      </c>
      <c r="I31" s="3520" t="s">
        <v>2988</v>
      </c>
      <c r="J31" s="3209">
        <v>136.22</v>
      </c>
      <c r="K31" s="3229" t="e">
        <f>#REF!</f>
        <v>#REF!</v>
      </c>
      <c r="L31" s="3229" t="e">
        <f>ROUND(K31*J31/10000,2)</f>
        <v>#REF!</v>
      </c>
      <c r="M31" s="3213"/>
      <c r="N31" s="3498" t="s">
        <v>27</v>
      </c>
      <c r="O31" s="3499"/>
      <c r="P31" s="3500"/>
      <c r="Q31" s="3214">
        <v>11.48</v>
      </c>
      <c r="R31" s="3211" t="s">
        <v>2821</v>
      </c>
      <c r="S31" s="3223">
        <f ca="1">S30</f>
        <v>-4242.3</v>
      </c>
      <c r="T31" s="3211" t="s">
        <v>2821</v>
      </c>
    </row>
    <row r="32" spans="1:20" ht="36" hidden="1" customHeight="1" thickBot="1">
      <c r="A32" s="3510" t="s">
        <v>3069</v>
      </c>
      <c r="B32" s="3510" t="s">
        <v>2988</v>
      </c>
      <c r="C32" s="3488">
        <v>136.22</v>
      </c>
      <c r="D32" s="3522" t="e">
        <f>#REF!</f>
        <v>#REF!</v>
      </c>
      <c r="E32" s="3522" t="e">
        <f>ROUND(#REF!*E6/10000,2)</f>
        <v>#REF!</v>
      </c>
      <c r="F32" s="3488" t="s">
        <v>2821</v>
      </c>
      <c r="H32" s="3525"/>
      <c r="I32" s="3525"/>
      <c r="J32" s="3208" t="s">
        <v>3085</v>
      </c>
      <c r="K32" s="3232" t="s">
        <v>3089</v>
      </c>
      <c r="L32" s="3230"/>
      <c r="M32" s="3213"/>
      <c r="N32" s="3501" t="s">
        <v>3057</v>
      </c>
      <c r="O32" s="3503" t="s">
        <v>3058</v>
      </c>
      <c r="P32" s="3504"/>
      <c r="Q32" s="3206" t="s">
        <v>3070</v>
      </c>
      <c r="R32" s="3206" t="s">
        <v>3081</v>
      </c>
      <c r="S32" s="3206" t="s">
        <v>3078</v>
      </c>
      <c r="T32" s="3206" t="s">
        <v>3082</v>
      </c>
    </row>
    <row r="33" spans="1:21" ht="19.5" hidden="1" customHeight="1" thickBot="1">
      <c r="A33" s="3511"/>
      <c r="B33" s="3511"/>
      <c r="C33" s="3489"/>
      <c r="D33" s="3533"/>
      <c r="E33" s="3533"/>
      <c r="F33" s="3489"/>
      <c r="H33" s="3511"/>
      <c r="I33" s="3521"/>
      <c r="J33" s="3221"/>
      <c r="K33" s="3231"/>
      <c r="L33" s="3231"/>
      <c r="M33" s="3213"/>
      <c r="N33" s="3502"/>
      <c r="O33" s="3505"/>
      <c r="P33" s="3506"/>
      <c r="Q33" s="3206" t="s">
        <v>3073</v>
      </c>
      <c r="R33" s="3206" t="s">
        <v>3074</v>
      </c>
      <c r="S33" s="3206" t="s">
        <v>3072</v>
      </c>
      <c r="T33" s="3206" t="s">
        <v>3074</v>
      </c>
    </row>
    <row r="34" spans="1:21" ht="24.75" hidden="1" customHeight="1" thickBot="1">
      <c r="A34" s="3512" t="s">
        <v>24</v>
      </c>
      <c r="B34" s="3513"/>
      <c r="C34" s="3211">
        <f>C30+C32</f>
        <v>147.69999999999999</v>
      </c>
      <c r="D34" s="3211" t="s">
        <v>2821</v>
      </c>
      <c r="E34" s="3211" t="e">
        <f ca="1">E30+E32</f>
        <v>#REF!</v>
      </c>
      <c r="F34" s="3211" t="s">
        <v>2821</v>
      </c>
      <c r="H34" s="3560" t="s">
        <v>24</v>
      </c>
      <c r="I34" s="3561"/>
      <c r="J34" s="3490">
        <v>124.74</v>
      </c>
      <c r="K34" s="3524"/>
      <c r="L34" s="3507" t="e">
        <f ca="1">L31-L29</f>
        <v>#REF!</v>
      </c>
      <c r="M34" s="3509"/>
      <c r="N34" s="3496" t="s">
        <v>3069</v>
      </c>
      <c r="O34" s="3494" t="s">
        <v>3083</v>
      </c>
      <c r="P34" s="3492" t="s">
        <v>2988</v>
      </c>
      <c r="Q34" s="3488">
        <f>E6</f>
        <v>-136.22000000000003</v>
      </c>
      <c r="R34" s="3488" t="e">
        <f>D32</f>
        <v>#REF!</v>
      </c>
      <c r="S34" s="3222" t="e">
        <f>L31</f>
        <v>#REF!</v>
      </c>
      <c r="T34" s="3211" t="s">
        <v>2821</v>
      </c>
    </row>
    <row r="35" spans="1:21" ht="24" hidden="1" customHeight="1" thickBot="1">
      <c r="A35" s="3234"/>
      <c r="B35" s="3234"/>
      <c r="C35" s="3235"/>
      <c r="D35" s="3235"/>
      <c r="E35" s="3235"/>
      <c r="F35" s="3235"/>
      <c r="H35" s="3560"/>
      <c r="I35" s="3561"/>
      <c r="J35" s="3491"/>
      <c r="K35" s="3563"/>
      <c r="L35" s="3508"/>
      <c r="M35" s="3509"/>
      <c r="N35" s="3497"/>
      <c r="O35" s="3495"/>
      <c r="P35" s="3493"/>
      <c r="Q35" s="3489"/>
      <c r="R35" s="3489"/>
      <c r="S35" s="3236" t="s">
        <v>3088</v>
      </c>
      <c r="T35" s="3211"/>
    </row>
    <row r="36" spans="1:21" ht="25.5" hidden="1" customHeight="1" thickBot="1">
      <c r="H36" s="3497"/>
      <c r="I36" s="3562"/>
      <c r="J36" s="3210" t="s">
        <v>3085</v>
      </c>
      <c r="K36" s="3228"/>
      <c r="L36" s="3233" t="s">
        <v>3087</v>
      </c>
      <c r="M36" s="3509"/>
      <c r="N36" s="3498" t="s">
        <v>27</v>
      </c>
      <c r="O36" s="3499"/>
      <c r="P36" s="3500"/>
      <c r="Q36" s="3214">
        <v>136.22</v>
      </c>
      <c r="R36" s="3214" t="s">
        <v>2821</v>
      </c>
      <c r="S36" s="3223" t="e">
        <f ca="1">S30-S34</f>
        <v>#REF!</v>
      </c>
      <c r="T36" s="3211" t="s">
        <v>2821</v>
      </c>
      <c r="U36" s="3237" t="s">
        <v>3090</v>
      </c>
    </row>
    <row r="37" spans="1:21" ht="31.5" hidden="1" customHeight="1">
      <c r="N37" s="3503" t="s">
        <v>24</v>
      </c>
      <c r="O37" s="3558"/>
      <c r="P37" s="3504"/>
      <c r="Q37" s="3224">
        <v>124.74</v>
      </c>
      <c r="R37" s="3488" t="s">
        <v>2821</v>
      </c>
      <c r="S37" s="3238" t="e">
        <f ca="1">S36</f>
        <v>#REF!</v>
      </c>
      <c r="T37" s="3488" t="s">
        <v>2821</v>
      </c>
    </row>
    <row r="38" spans="1:21" ht="22.5" hidden="1" customHeight="1" thickBot="1">
      <c r="N38" s="3505"/>
      <c r="O38" s="3559"/>
      <c r="P38" s="3506"/>
      <c r="Q38" s="3206" t="s">
        <v>3085</v>
      </c>
      <c r="R38" s="3489"/>
      <c r="S38" s="3239" t="s">
        <v>3068</v>
      </c>
      <c r="T38" s="3489"/>
    </row>
    <row r="39" spans="1:21" ht="16.5" hidden="1" customHeight="1" thickBot="1"/>
    <row r="40" spans="1:21" ht="23.25" hidden="1" customHeight="1"/>
    <row r="41" spans="1:21" hidden="1"/>
    <row r="42" spans="1:21" hidden="1"/>
    <row r="44" spans="1:21" ht="19.5" thickBot="1">
      <c r="A44" s="3215" t="s">
        <v>3076</v>
      </c>
      <c r="H44" s="3258" t="s">
        <v>3075</v>
      </c>
      <c r="I44" s="3226"/>
      <c r="N44" s="3220" t="s">
        <v>3078</v>
      </c>
    </row>
    <row r="45" spans="1:21" ht="43.5" thickBot="1">
      <c r="A45" s="3549" t="s">
        <v>3057</v>
      </c>
      <c r="B45" s="3549" t="s">
        <v>3058</v>
      </c>
      <c r="C45" s="3260" t="s">
        <v>3059</v>
      </c>
      <c r="D45" s="3260" t="s">
        <v>3062</v>
      </c>
      <c r="E45" s="3260" t="s">
        <v>3065</v>
      </c>
      <c r="F45" s="3260" t="s">
        <v>3067</v>
      </c>
      <c r="H45" s="3284" t="s">
        <v>3057</v>
      </c>
      <c r="I45" s="3284" t="s">
        <v>3058</v>
      </c>
      <c r="J45" s="3260" t="s">
        <v>3070</v>
      </c>
      <c r="K45" s="3286" t="s">
        <v>3071</v>
      </c>
      <c r="L45" s="3534" t="s">
        <v>3072</v>
      </c>
      <c r="N45" s="3552" t="s">
        <v>3057</v>
      </c>
      <c r="O45" s="3554" t="s">
        <v>3058</v>
      </c>
      <c r="P45" s="3555"/>
      <c r="Q45" s="3274" t="s">
        <v>3070</v>
      </c>
      <c r="R45" s="3275" t="s">
        <v>3077</v>
      </c>
      <c r="S45" s="3275" t="s">
        <v>3116</v>
      </c>
      <c r="T45" s="3275" t="s">
        <v>3067</v>
      </c>
    </row>
    <row r="46" spans="1:21" ht="31.5">
      <c r="A46" s="3550"/>
      <c r="B46" s="3550"/>
      <c r="C46" s="3261" t="s">
        <v>3060</v>
      </c>
      <c r="D46" s="3261" t="s">
        <v>3063</v>
      </c>
      <c r="E46" s="3261" t="s">
        <v>3066</v>
      </c>
      <c r="F46" s="3261" t="s">
        <v>3064</v>
      </c>
      <c r="H46" s="3285"/>
      <c r="I46" s="3285"/>
      <c r="J46" s="3287" t="s">
        <v>3079</v>
      </c>
      <c r="K46" s="3287" t="s">
        <v>3080</v>
      </c>
      <c r="L46" s="3535"/>
      <c r="N46" s="3553"/>
      <c r="O46" s="3556"/>
      <c r="P46" s="3557"/>
      <c r="Q46" s="3534" t="s">
        <v>3079</v>
      </c>
      <c r="R46" s="3534" t="s">
        <v>3080</v>
      </c>
      <c r="S46" s="3269" t="s">
        <v>3065</v>
      </c>
      <c r="T46" s="3534" t="s">
        <v>3080</v>
      </c>
    </row>
    <row r="47" spans="1:21" ht="18" customHeight="1" thickBot="1">
      <c r="A47" s="3551"/>
      <c r="B47" s="3551"/>
      <c r="C47" s="3262" t="s">
        <v>3061</v>
      </c>
      <c r="D47" s="3262" t="s">
        <v>3064</v>
      </c>
      <c r="E47" s="3263"/>
      <c r="F47" s="3264"/>
      <c r="H47" s="3706" t="s">
        <v>3131</v>
      </c>
      <c r="I47" s="3476" t="s">
        <v>3134</v>
      </c>
      <c r="J47" s="3477" t="s">
        <v>2821</v>
      </c>
      <c r="K47" s="3707">
        <f ca="1">G15</f>
        <v>10360</v>
      </c>
      <c r="L47" s="3708">
        <f ca="1">H15</f>
        <v>1326.08</v>
      </c>
      <c r="N47" s="3553"/>
      <c r="O47" s="3556"/>
      <c r="P47" s="3557"/>
      <c r="Q47" s="3535"/>
      <c r="R47" s="3535"/>
      <c r="S47" s="3282" t="s">
        <v>3066</v>
      </c>
      <c r="T47" s="3535"/>
    </row>
    <row r="48" spans="1:21" ht="25.5" customHeight="1" thickBot="1">
      <c r="A48" s="3536" t="s">
        <v>3131</v>
      </c>
      <c r="B48" s="3265" t="s">
        <v>3124</v>
      </c>
      <c r="C48" s="3255" t="s">
        <v>2821</v>
      </c>
      <c r="D48" s="3255">
        <f ca="1">E15</f>
        <v>41438</v>
      </c>
      <c r="E48" s="3255">
        <f ca="1">F15</f>
        <v>5304.06</v>
      </c>
      <c r="F48" s="3255" t="s">
        <v>2821</v>
      </c>
      <c r="H48" s="3709"/>
      <c r="I48" s="3476"/>
      <c r="J48" s="3477"/>
      <c r="K48" s="3707"/>
      <c r="L48" s="3708"/>
      <c r="N48" s="3539" t="s">
        <v>2990</v>
      </c>
      <c r="O48" s="3461" t="s">
        <v>3117</v>
      </c>
      <c r="P48" s="3541" t="s">
        <v>3124</v>
      </c>
      <c r="Q48" s="3543">
        <f>D3</f>
        <v>1280</v>
      </c>
      <c r="R48" s="3543">
        <f ca="1">D51</f>
        <v>8295</v>
      </c>
      <c r="S48" s="3543">
        <f ca="1">E51</f>
        <v>1061.76</v>
      </c>
      <c r="T48" s="3544">
        <f>V17-V15</f>
        <v>0</v>
      </c>
    </row>
    <row r="49" spans="1:20" ht="15.75" customHeight="1">
      <c r="A49" s="3537"/>
      <c r="B49" s="3536" t="s">
        <v>3127</v>
      </c>
      <c r="C49" s="3564" t="s">
        <v>2821</v>
      </c>
      <c r="D49" s="3564">
        <f ca="1">E13</f>
        <v>33143</v>
      </c>
      <c r="E49" s="3564">
        <f ca="1">F13</f>
        <v>4242.3</v>
      </c>
      <c r="F49" s="3564" t="s">
        <v>2821</v>
      </c>
      <c r="H49" s="3709"/>
      <c r="I49" s="3476" t="s">
        <v>3125</v>
      </c>
      <c r="J49" s="3477" t="s">
        <v>2821</v>
      </c>
      <c r="K49" s="3707">
        <f ca="1">G13</f>
        <v>8286</v>
      </c>
      <c r="L49" s="3708">
        <f ca="1">H13</f>
        <v>1060.6099999999999</v>
      </c>
      <c r="N49" s="3540"/>
      <c r="O49" s="3462"/>
      <c r="P49" s="3542"/>
      <c r="Q49" s="3477"/>
      <c r="R49" s="3477"/>
      <c r="S49" s="3477"/>
      <c r="T49" s="3545"/>
    </row>
    <row r="50" spans="1:20" ht="29.25" thickBot="1">
      <c r="A50" s="3537"/>
      <c r="B50" s="3538"/>
      <c r="C50" s="3565"/>
      <c r="D50" s="3565"/>
      <c r="E50" s="3565"/>
      <c r="F50" s="3565"/>
      <c r="H50" s="3709"/>
      <c r="I50" s="3476"/>
      <c r="J50" s="3477"/>
      <c r="K50" s="3707"/>
      <c r="L50" s="3708"/>
      <c r="N50" s="3290" t="s">
        <v>3069</v>
      </c>
      <c r="O50" s="3291" t="s">
        <v>3143</v>
      </c>
      <c r="P50" s="3291" t="s">
        <v>3129</v>
      </c>
      <c r="Q50" s="3292">
        <v>415</v>
      </c>
      <c r="R50" s="3292">
        <f ca="1">D54</f>
        <v>21366</v>
      </c>
      <c r="S50" s="3292">
        <f ca="1">E54</f>
        <v>886.68999999999994</v>
      </c>
      <c r="T50" s="3293" t="s">
        <v>2821</v>
      </c>
    </row>
    <row r="51" spans="1:20" ht="29.25" thickBot="1">
      <c r="A51" s="3538"/>
      <c r="B51" s="3265" t="s">
        <v>3126</v>
      </c>
      <c r="C51" s="3255">
        <v>1280</v>
      </c>
      <c r="D51" s="3255">
        <f ca="1">D48-D49</f>
        <v>8295</v>
      </c>
      <c r="E51" s="3255">
        <f ca="1">ROUND(D51*C51/10000,2)</f>
        <v>1061.76</v>
      </c>
      <c r="F51" s="3259" t="s">
        <v>3144</v>
      </c>
      <c r="H51" s="3709"/>
      <c r="I51" s="3476"/>
      <c r="J51" s="3477"/>
      <c r="K51" s="3707"/>
      <c r="L51" s="3708"/>
      <c r="N51" s="3546" t="s">
        <v>27</v>
      </c>
      <c r="O51" s="3547"/>
      <c r="P51" s="3548"/>
      <c r="Q51" s="3277">
        <f>Q50+Q48</f>
        <v>1695</v>
      </c>
      <c r="R51" s="3255" t="s">
        <v>2821</v>
      </c>
      <c r="S51" s="3278">
        <f ca="1">S50+S48</f>
        <v>1948.4499999999998</v>
      </c>
      <c r="T51" s="3255" t="s">
        <v>2821</v>
      </c>
    </row>
    <row r="52" spans="1:20" ht="57.75" thickBot="1">
      <c r="A52" s="3570" t="s">
        <v>3132</v>
      </c>
      <c r="B52" s="3265" t="s">
        <v>3141</v>
      </c>
      <c r="C52" s="3255" t="s">
        <v>2821</v>
      </c>
      <c r="D52" s="3255">
        <f ca="1">E19</f>
        <v>31309</v>
      </c>
      <c r="E52" s="3255">
        <f ca="1">ROUND(D52*C54/10000,2)</f>
        <v>1299.32</v>
      </c>
      <c r="F52" s="3255" t="s">
        <v>2821</v>
      </c>
      <c r="H52" s="3710"/>
      <c r="I52" s="3283" t="s">
        <v>3126</v>
      </c>
      <c r="J52" s="3288">
        <v>1280</v>
      </c>
      <c r="K52" s="3283">
        <f ca="1">K47-K49</f>
        <v>2074</v>
      </c>
      <c r="L52" s="3711">
        <f ca="1">L47-L49</f>
        <v>265.47000000000003</v>
      </c>
      <c r="N52" s="3552" t="s">
        <v>3057</v>
      </c>
      <c r="O52" s="3554" t="s">
        <v>3058</v>
      </c>
      <c r="P52" s="3555"/>
      <c r="Q52" s="3262" t="s">
        <v>3070</v>
      </c>
      <c r="R52" s="3276" t="s">
        <v>3081</v>
      </c>
      <c r="S52" s="3276" t="s">
        <v>3078</v>
      </c>
      <c r="T52" s="3276" t="s">
        <v>3082</v>
      </c>
    </row>
    <row r="53" spans="1:20" ht="45.75" customHeight="1" thickBot="1">
      <c r="A53" s="3571"/>
      <c r="B53" s="3265" t="s">
        <v>3142</v>
      </c>
      <c r="C53" s="3255" t="s">
        <v>2821</v>
      </c>
      <c r="D53" s="3255">
        <f ca="1">E17</f>
        <v>9943</v>
      </c>
      <c r="E53" s="3255">
        <f ca="1">ROUND(D53*C54/10000,2)</f>
        <v>412.63</v>
      </c>
      <c r="F53" s="3255" t="s">
        <v>2821</v>
      </c>
      <c r="H53" s="3706" t="s">
        <v>3145</v>
      </c>
      <c r="I53" s="3283" t="s">
        <v>3128</v>
      </c>
      <c r="J53" s="3288" t="s">
        <v>2821</v>
      </c>
      <c r="K53" s="3270">
        <f ca="1">G19</f>
        <v>7827</v>
      </c>
      <c r="L53" s="3271">
        <f ca="1">H19</f>
        <v>324.82</v>
      </c>
      <c r="N53" s="3553"/>
      <c r="O53" s="3556"/>
      <c r="P53" s="3557"/>
      <c r="Q53" s="3282" t="s">
        <v>3079</v>
      </c>
      <c r="R53" s="3282" t="s">
        <v>3080</v>
      </c>
      <c r="S53" s="3282" t="s">
        <v>3072</v>
      </c>
      <c r="T53" s="3282" t="s">
        <v>3080</v>
      </c>
    </row>
    <row r="54" spans="1:20" ht="43.5" thickBot="1">
      <c r="A54" s="3572"/>
      <c r="B54" s="3265" t="s">
        <v>3140</v>
      </c>
      <c r="C54" s="3255">
        <v>415</v>
      </c>
      <c r="D54" s="3255">
        <f ca="1">D52-D53</f>
        <v>21366</v>
      </c>
      <c r="E54" s="3255">
        <f ca="1">E52-E53</f>
        <v>886.68999999999994</v>
      </c>
      <c r="F54" s="3255" t="s">
        <v>2821</v>
      </c>
      <c r="H54" s="3709"/>
      <c r="I54" s="3283" t="s">
        <v>3130</v>
      </c>
      <c r="J54" s="3288" t="s">
        <v>2821</v>
      </c>
      <c r="K54" s="3270">
        <f ca="1">G17</f>
        <v>2486</v>
      </c>
      <c r="L54" s="3271">
        <f ca="1">H17</f>
        <v>103.17</v>
      </c>
      <c r="N54" s="3470" t="s">
        <v>3152</v>
      </c>
      <c r="O54" s="3461" t="s">
        <v>3153</v>
      </c>
      <c r="P54" s="3461" t="s">
        <v>3154</v>
      </c>
      <c r="Q54" s="3472">
        <f>E3</f>
        <v>11.480000000000018</v>
      </c>
      <c r="R54" s="3472">
        <f ca="1">K57</f>
        <v>9371</v>
      </c>
      <c r="S54" s="3472">
        <f ca="1">ROUND(R54*Q54/10000,2)</f>
        <v>10.76</v>
      </c>
      <c r="T54" s="3459" t="s">
        <v>2821</v>
      </c>
    </row>
    <row r="55" spans="1:20" ht="43.5" thickBot="1">
      <c r="A55" s="3570" t="s">
        <v>3133</v>
      </c>
      <c r="B55" s="3573"/>
      <c r="C55" s="3266">
        <f>C51+C54</f>
        <v>1695</v>
      </c>
      <c r="D55" s="3266" t="s">
        <v>2821</v>
      </c>
      <c r="E55" s="3266">
        <f ca="1">E51+E54</f>
        <v>1948.4499999999998</v>
      </c>
      <c r="F55" s="3266" t="s">
        <v>2821</v>
      </c>
      <c r="H55" s="3710"/>
      <c r="I55" s="3283" t="s">
        <v>3140</v>
      </c>
      <c r="J55" s="3288">
        <v>415</v>
      </c>
      <c r="K55" s="3270">
        <f ca="1">K53-K54</f>
        <v>5341</v>
      </c>
      <c r="L55" s="3271">
        <f ca="1">ROUND(K55*J55/10000,2)</f>
        <v>221.65</v>
      </c>
      <c r="N55" s="3471"/>
      <c r="O55" s="3469"/>
      <c r="P55" s="3469"/>
      <c r="Q55" s="3473"/>
      <c r="R55" s="3473"/>
      <c r="S55" s="3473"/>
      <c r="T55" s="3460"/>
    </row>
    <row r="56" spans="1:20" ht="30.75" customHeight="1" thickBot="1">
      <c r="A56" s="3476" t="s">
        <v>3155</v>
      </c>
      <c r="B56" s="3477" t="s">
        <v>3136</v>
      </c>
      <c r="C56" s="3478">
        <f>E3</f>
        <v>11.480000000000018</v>
      </c>
      <c r="D56" s="3478">
        <f ca="1">E15</f>
        <v>41438</v>
      </c>
      <c r="E56" s="3478">
        <f ca="1">ROUND(D56*C56/10000,2)</f>
        <v>47.57</v>
      </c>
      <c r="F56" s="3478"/>
      <c r="H56" s="3540" t="s">
        <v>3133</v>
      </c>
      <c r="I56" s="3476"/>
      <c r="J56" s="3288" t="s">
        <v>3118</v>
      </c>
      <c r="K56" s="3270">
        <f ca="1">K52+K55</f>
        <v>7415</v>
      </c>
      <c r="L56" s="3271">
        <f ca="1">L52+L55</f>
        <v>487.12</v>
      </c>
      <c r="N56" s="3546" t="s">
        <v>27</v>
      </c>
      <c r="O56" s="3547"/>
      <c r="P56" s="3548"/>
      <c r="Q56" s="3255">
        <f>Q54+Q55</f>
        <v>11.480000000000018</v>
      </c>
      <c r="R56" s="3277" t="s">
        <v>2821</v>
      </c>
      <c r="S56" s="3277">
        <f ca="1">S54+S55</f>
        <v>10.76</v>
      </c>
      <c r="T56" s="3279"/>
    </row>
    <row r="57" spans="1:20" ht="27" customHeight="1" thickBot="1">
      <c r="A57" s="3477"/>
      <c r="B57" s="3477"/>
      <c r="C57" s="3478"/>
      <c r="D57" s="3478"/>
      <c r="E57" s="3478"/>
      <c r="F57" s="3478"/>
      <c r="H57" s="3479" t="s">
        <v>3137</v>
      </c>
      <c r="I57" s="3481" t="s">
        <v>3136</v>
      </c>
      <c r="J57" s="3463">
        <v>11.48</v>
      </c>
      <c r="K57" s="3465">
        <f ca="1">G21</f>
        <v>9371</v>
      </c>
      <c r="L57" s="3467">
        <f ca="1">ROUND(K57*J57/10000,2)</f>
        <v>10.76</v>
      </c>
      <c r="N57" s="3567" t="s">
        <v>24</v>
      </c>
      <c r="O57" s="3568"/>
      <c r="P57" s="3569"/>
      <c r="Q57" s="3255">
        <f>Q51+Q56</f>
        <v>1706.48</v>
      </c>
      <c r="R57" s="3280" t="s">
        <v>2821</v>
      </c>
      <c r="S57" s="3281">
        <f ca="1">S51+S56</f>
        <v>1959.2099999999998</v>
      </c>
      <c r="T57" s="3279" t="s">
        <v>2821</v>
      </c>
    </row>
    <row r="58" spans="1:20" ht="15.75" thickBot="1">
      <c r="A58" s="3464" t="s">
        <v>3135</v>
      </c>
      <c r="B58" s="3464"/>
      <c r="C58" s="3255">
        <f>C57+C56</f>
        <v>11.480000000000018</v>
      </c>
      <c r="D58" s="3255" t="s">
        <v>2821</v>
      </c>
      <c r="E58" s="3289">
        <f ca="1">E56+E57</f>
        <v>47.57</v>
      </c>
      <c r="F58" s="3289" t="s">
        <v>2821</v>
      </c>
      <c r="H58" s="3480"/>
      <c r="I58" s="3482"/>
      <c r="J58" s="3464"/>
      <c r="K58" s="3466"/>
      <c r="L58" s="3468"/>
    </row>
    <row r="59" spans="1:20" ht="15.75" thickBot="1">
      <c r="A59" s="3566" t="s">
        <v>3138</v>
      </c>
      <c r="B59" s="3566"/>
      <c r="C59" s="3255">
        <f>C55+C58</f>
        <v>1706.48</v>
      </c>
      <c r="D59" s="3255" t="s">
        <v>2821</v>
      </c>
      <c r="E59" s="3267">
        <f ca="1">E55+E58</f>
        <v>1996.0199999999998</v>
      </c>
      <c r="F59" s="3268"/>
      <c r="H59" s="3483" t="s">
        <v>3147</v>
      </c>
      <c r="I59" s="3484"/>
      <c r="J59" s="3272">
        <f>J57+J58</f>
        <v>11.48</v>
      </c>
      <c r="K59" s="3288" t="s">
        <v>2821</v>
      </c>
      <c r="L59" s="3273">
        <f ca="1">L57+L58</f>
        <v>10.76</v>
      </c>
    </row>
    <row r="60" spans="1:20" ht="15.75" thickBot="1">
      <c r="H60" s="3483" t="s">
        <v>24</v>
      </c>
      <c r="I60" s="3484"/>
      <c r="J60" s="3272">
        <f>J52+J55+J59</f>
        <v>1706.48</v>
      </c>
      <c r="K60" s="3288" t="s">
        <v>2821</v>
      </c>
      <c r="L60" s="3273">
        <f ca="1">L56+L59</f>
        <v>497.88</v>
      </c>
    </row>
  </sheetData>
  <mergeCells count="130">
    <mergeCell ref="R46:R47"/>
    <mergeCell ref="N37:P38"/>
    <mergeCell ref="E30:E31"/>
    <mergeCell ref="F30:F31"/>
    <mergeCell ref="B32:B33"/>
    <mergeCell ref="H56:I56"/>
    <mergeCell ref="H34:I36"/>
    <mergeCell ref="K34:K35"/>
    <mergeCell ref="H59:I59"/>
    <mergeCell ref="B49:B50"/>
    <mergeCell ref="C49:C50"/>
    <mergeCell ref="D49:D50"/>
    <mergeCell ref="E49:E50"/>
    <mergeCell ref="F49:F50"/>
    <mergeCell ref="A59:B59"/>
    <mergeCell ref="B30:B31"/>
    <mergeCell ref="D30:D31"/>
    <mergeCell ref="N57:P57"/>
    <mergeCell ref="A52:A54"/>
    <mergeCell ref="A58:B58"/>
    <mergeCell ref="N56:P56"/>
    <mergeCell ref="N52:N53"/>
    <mergeCell ref="O52:P53"/>
    <mergeCell ref="A55:B55"/>
    <mergeCell ref="N45:N47"/>
    <mergeCell ref="O45:P47"/>
    <mergeCell ref="J47:J48"/>
    <mergeCell ref="I47:I48"/>
    <mergeCell ref="K47:K48"/>
    <mergeCell ref="I49:I51"/>
    <mergeCell ref="J49:J51"/>
    <mergeCell ref="K49:K51"/>
    <mergeCell ref="Q46:Q47"/>
    <mergeCell ref="T28:T29"/>
    <mergeCell ref="H27:H28"/>
    <mergeCell ref="I27:I28"/>
    <mergeCell ref="L27:L28"/>
    <mergeCell ref="I29:I30"/>
    <mergeCell ref="K29:K30"/>
    <mergeCell ref="L29:L30"/>
    <mergeCell ref="H29:H30"/>
    <mergeCell ref="M29:M30"/>
    <mergeCell ref="N27:N29"/>
    <mergeCell ref="O27:P29"/>
    <mergeCell ref="Q28:Q29"/>
    <mergeCell ref="R28:R29"/>
    <mergeCell ref="T37:T38"/>
    <mergeCell ref="J34:J35"/>
    <mergeCell ref="R34:R35"/>
    <mergeCell ref="Q34:Q35"/>
    <mergeCell ref="P34:P35"/>
    <mergeCell ref="O34:O35"/>
    <mergeCell ref="N34:N35"/>
    <mergeCell ref="N31:P31"/>
    <mergeCell ref="N32:N33"/>
    <mergeCell ref="O32:P33"/>
    <mergeCell ref="L34:L35"/>
    <mergeCell ref="M34:M36"/>
    <mergeCell ref="N36:P36"/>
    <mergeCell ref="R37:R38"/>
    <mergeCell ref="H60:I60"/>
    <mergeCell ref="A13:A14"/>
    <mergeCell ref="A11:J11"/>
    <mergeCell ref="E13:E14"/>
    <mergeCell ref="E21:E22"/>
    <mergeCell ref="A15:A16"/>
    <mergeCell ref="E15:E16"/>
    <mergeCell ref="A17:A18"/>
    <mergeCell ref="G15:G16"/>
    <mergeCell ref="H15:H16"/>
    <mergeCell ref="F13:F14"/>
    <mergeCell ref="G13:G14"/>
    <mergeCell ref="H13:H14"/>
    <mergeCell ref="A19:A20"/>
    <mergeCell ref="E19:E20"/>
    <mergeCell ref="E17:E18"/>
    <mergeCell ref="G17:G18"/>
    <mergeCell ref="H17:H18"/>
    <mergeCell ref="G19:G20"/>
    <mergeCell ref="H19:H20"/>
    <mergeCell ref="A30:A31"/>
    <mergeCell ref="A32:A33"/>
    <mergeCell ref="A34:B34"/>
    <mergeCell ref="C30:C31"/>
    <mergeCell ref="A21:A22"/>
    <mergeCell ref="A56:A57"/>
    <mergeCell ref="B56:B57"/>
    <mergeCell ref="C56:C57"/>
    <mergeCell ref="D56:D57"/>
    <mergeCell ref="E56:E57"/>
    <mergeCell ref="F56:F57"/>
    <mergeCell ref="H57:H58"/>
    <mergeCell ref="I57:I58"/>
    <mergeCell ref="A27:A29"/>
    <mergeCell ref="B27:B29"/>
    <mergeCell ref="H31:H33"/>
    <mergeCell ref="I31:I33"/>
    <mergeCell ref="D32:D33"/>
    <mergeCell ref="E32:E33"/>
    <mergeCell ref="F32:F33"/>
    <mergeCell ref="C32:C33"/>
    <mergeCell ref="A48:A51"/>
    <mergeCell ref="A45:A47"/>
    <mergeCell ref="B45:B47"/>
    <mergeCell ref="G21:G22"/>
    <mergeCell ref="H21:H22"/>
    <mergeCell ref="T54:T55"/>
    <mergeCell ref="H47:H52"/>
    <mergeCell ref="H53:H55"/>
    <mergeCell ref="O48:O49"/>
    <mergeCell ref="J57:J58"/>
    <mergeCell ref="K57:K58"/>
    <mergeCell ref="L57:L58"/>
    <mergeCell ref="O54:O55"/>
    <mergeCell ref="P54:P55"/>
    <mergeCell ref="N54:N55"/>
    <mergeCell ref="Q54:Q55"/>
    <mergeCell ref="R54:R55"/>
    <mergeCell ref="S54:S55"/>
    <mergeCell ref="T46:T47"/>
    <mergeCell ref="L47:L48"/>
    <mergeCell ref="N48:N49"/>
    <mergeCell ref="P48:P49"/>
    <mergeCell ref="Q48:Q49"/>
    <mergeCell ref="R48:R49"/>
    <mergeCell ref="S48:S49"/>
    <mergeCell ref="T48:T49"/>
    <mergeCell ref="L49:L51"/>
    <mergeCell ref="N51:P51"/>
    <mergeCell ref="L45:L46"/>
  </mergeCells>
  <phoneticPr fontId="233"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94" t="str">
        <f>项目基本情况!B1</f>
        <v>北京市出让国有建设用地使用权市场价格预评估</v>
      </c>
      <c r="C37" s="3294"/>
      <c r="D37" s="3294"/>
      <c r="E37" s="3294"/>
      <c r="F37" s="3294"/>
      <c r="G37" s="3294"/>
      <c r="H37" s="3294"/>
      <c r="I37" s="3294"/>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陈颖、杨红英</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B19" sqref="B19"/>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31" t="s">
        <v>1678</v>
      </c>
      <c r="C1" s="2104"/>
      <c r="D1" s="2104"/>
      <c r="E1" s="2104"/>
      <c r="F1" s="2104"/>
      <c r="G1" s="2104"/>
      <c r="H1" s="2104"/>
      <c r="I1" s="2104"/>
      <c r="J1" s="2104"/>
      <c r="K1" s="420">
        <f>MATCH(B1,'数据-取费表'!A6:A16,0)+5</f>
        <v>6</v>
      </c>
    </row>
    <row r="2" spans="1:41" s="2041" customFormat="1" ht="18" customHeight="1">
      <c r="A2" s="421" t="s">
        <v>467</v>
      </c>
      <c r="B2" s="422">
        <f ca="1">C32</f>
        <v>32264.099864035543</v>
      </c>
      <c r="C2" s="2104"/>
      <c r="D2" s="2104"/>
      <c r="E2" s="2104"/>
      <c r="F2" s="2104"/>
      <c r="G2" s="2104"/>
      <c r="H2" s="2104"/>
      <c r="I2" s="2104"/>
      <c r="J2" s="2104"/>
      <c r="K2" s="2104"/>
    </row>
    <row r="3" spans="1:41" s="2041" customFormat="1" ht="18" customHeight="1">
      <c r="A3" s="1378" t="s">
        <v>1685</v>
      </c>
      <c r="B3" s="423">
        <f ca="1">ROUND(B2*10000/IF(B1="",'数据-汇总表'!E3,INDIRECT("'数据-取费表'!K"&amp;$K$1)),0)</f>
        <v>32264</v>
      </c>
      <c r="C3" s="2104"/>
      <c r="D3" s="2104"/>
      <c r="E3" s="2104"/>
      <c r="F3" s="2104"/>
      <c r="G3" s="2104"/>
      <c r="H3" s="2104"/>
      <c r="I3" s="2104"/>
      <c r="J3" s="2104"/>
      <c r="K3" s="2104"/>
    </row>
    <row r="4" spans="1:41" s="2041" customFormat="1" ht="18" customHeight="1">
      <c r="A4" s="424" t="s">
        <v>468</v>
      </c>
      <c r="B4" s="425">
        <f ca="1">ROUND(B2*10000/IF(B1="",'数据-汇总表'!D3,INDIRECT("'数据-取费表'!R"&amp;$K$1)),0)</f>
        <v>155185</v>
      </c>
      <c r="C4" s="2061"/>
      <c r="D4" s="2104"/>
      <c r="E4" s="2104"/>
      <c r="F4" s="2104"/>
      <c r="G4" s="2104"/>
      <c r="H4" s="2104"/>
      <c r="I4" s="2104"/>
      <c r="J4" s="2104"/>
      <c r="K4" s="2104"/>
    </row>
    <row r="5" spans="1:41" s="2041" customFormat="1" ht="18" customHeight="1" thickBot="1">
      <c r="A5" s="427"/>
      <c r="B5" s="428">
        <f ca="1">ROUND(B2/(IF(B1="",'数据-汇总表'!D3,INDIRECT("'数据-取费表'!R"&amp;$K$1))/666.67),0)</f>
        <v>10346</v>
      </c>
      <c r="C5" s="429" t="s">
        <v>469</v>
      </c>
      <c r="D5" s="2104"/>
      <c r="E5" s="2104"/>
      <c r="F5" s="2104"/>
      <c r="G5" s="2104"/>
      <c r="H5" s="2104"/>
      <c r="I5" s="2104"/>
      <c r="J5" s="2104"/>
      <c r="K5" s="2104"/>
    </row>
    <row r="6" spans="1:41" s="2111" customFormat="1" ht="16.5" customHeight="1">
      <c r="A6" s="430" t="s">
        <v>2656</v>
      </c>
      <c r="B6" s="431"/>
      <c r="C6" s="1622">
        <f>SUM(C10:K10)</f>
        <v>47136</v>
      </c>
      <c r="D6" s="2109"/>
      <c r="E6" s="2109"/>
      <c r="F6" s="2109"/>
      <c r="G6" s="2109"/>
      <c r="H6" s="2109"/>
      <c r="I6" s="2109"/>
      <c r="J6" s="2109"/>
      <c r="K6" s="2110"/>
    </row>
    <row r="7" spans="1:41" s="2113" customFormat="1" ht="15">
      <c r="A7" s="432" t="s">
        <v>470</v>
      </c>
      <c r="B7" s="433"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f>'不动产比较法-办公'!C50</f>
        <v>47136</v>
      </c>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f>
        <v>47136</v>
      </c>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2500</v>
      </c>
      <c r="D13" s="449"/>
      <c r="E13" s="363"/>
      <c r="F13" s="450"/>
      <c r="G13" s="442"/>
      <c r="H13" s="445"/>
      <c r="I13" s="445"/>
      <c r="J13" s="445"/>
      <c r="K13" s="446"/>
    </row>
    <row r="14" spans="1:41" s="2116" customFormat="1" ht="13.5" customHeight="1">
      <c r="A14" s="1632" t="s">
        <v>1850</v>
      </c>
      <c r="B14" s="447" t="s">
        <v>480</v>
      </c>
      <c r="C14" s="51">
        <f ca="1">ROUND(C13*F14,0)</f>
        <v>75</v>
      </c>
      <c r="D14" s="449"/>
      <c r="E14" s="363"/>
      <c r="F14" s="451">
        <f>'数据-取费表'!B33</f>
        <v>0.03</v>
      </c>
      <c r="G14" s="442" t="s">
        <v>502</v>
      </c>
      <c r="H14" s="445"/>
      <c r="I14" s="445"/>
      <c r="J14" s="445"/>
      <c r="K14" s="446"/>
    </row>
    <row r="15" spans="1:41" s="2116" customFormat="1" ht="13.5" customHeight="1">
      <c r="A15" s="1632"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7" customFormat="1" ht="13.5" customHeight="1">
      <c r="A16" s="1632"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38</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2813</v>
      </c>
      <c r="D18" s="459"/>
      <c r="E18" s="460"/>
      <c r="F18" s="460"/>
      <c r="G18" s="1325" t="s">
        <v>2436</v>
      </c>
      <c r="H18" s="445"/>
      <c r="I18" s="445"/>
      <c r="J18" s="445"/>
      <c r="K18" s="446"/>
    </row>
    <row r="19" spans="1:14" s="2119" customFormat="1" ht="13.5" customHeight="1">
      <c r="A19" s="1633" t="s">
        <v>1855</v>
      </c>
      <c r="B19" s="457" t="s">
        <v>493</v>
      </c>
      <c r="C19" s="458">
        <f ca="1">ROUND(C18*F19,0)</f>
        <v>56</v>
      </c>
      <c r="D19" s="460"/>
      <c r="E19" s="460"/>
      <c r="F19" s="464">
        <f>'数据-取费表'!B37</f>
        <v>0.02</v>
      </c>
      <c r="G19" s="442" t="s">
        <v>503</v>
      </c>
      <c r="H19" s="445"/>
      <c r="I19" s="445"/>
      <c r="J19" s="445"/>
      <c r="K19" s="446"/>
      <c r="L19" s="2121"/>
      <c r="M19" s="2121"/>
      <c r="N19" s="2121"/>
    </row>
    <row r="20" spans="1:14" s="2119" customFormat="1" ht="13.5" customHeight="1">
      <c r="A20" s="1633" t="s">
        <v>1856</v>
      </c>
      <c r="B20" s="457" t="s">
        <v>504</v>
      </c>
      <c r="C20" s="3052">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102</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2458</v>
      </c>
    </row>
    <row r="22" spans="1:14" s="2120" customFormat="1" ht="13.5" customHeight="1">
      <c r="A22" s="1632" t="s">
        <v>1849</v>
      </c>
      <c r="B22" s="1326" t="s">
        <v>2439</v>
      </c>
      <c r="C22" s="485">
        <f ca="1">ROUND(IF('数据-取费表'!B22&lt;=1,(C18+C19)*F21*'数据-取费表'!B20/2,(C18+C19)*(POWER((1+F21),'数据-取费表'!B20/2)-1)),0)</f>
        <v>102</v>
      </c>
      <c r="D22" s="470"/>
      <c r="E22" s="471"/>
      <c r="F22" s="472"/>
      <c r="G22" s="2589"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6.9999999999999999E-4</v>
      </c>
      <c r="D23" s="470"/>
      <c r="E23" s="471"/>
      <c r="F23" s="472"/>
      <c r="G23" s="2589"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54" t="s">
        <v>2834</v>
      </c>
      <c r="C24" s="476">
        <f ca="1">C25</f>
        <v>717</v>
      </c>
      <c r="D24" s="487">
        <f ca="1">C26</f>
        <v>5.0000000000000001E-3</v>
      </c>
      <c r="E24" s="467" t="s">
        <v>507</v>
      </c>
      <c r="F24" s="477">
        <f ca="1">IF(B1="",'数据-取费表'!Q16,INDIRECT("'数据-取费表'!q"&amp;$K$1))</f>
        <v>0.25</v>
      </c>
      <c r="G24" s="442"/>
      <c r="H24" s="445"/>
      <c r="I24" s="445"/>
      <c r="J24" s="445"/>
      <c r="K24" s="446"/>
    </row>
    <row r="25" spans="1:14" s="2120" customFormat="1" ht="13.5" customHeight="1">
      <c r="A25" s="1632" t="s">
        <v>1849</v>
      </c>
      <c r="B25" s="1326" t="s">
        <v>2440</v>
      </c>
      <c r="C25" s="488">
        <f ca="1">ROUND((C18+C19)*F24,0)</f>
        <v>717</v>
      </c>
      <c r="D25" s="470"/>
      <c r="E25" s="471"/>
      <c r="F25" s="478"/>
      <c r="G25" s="1324" t="s">
        <v>2437</v>
      </c>
      <c r="H25" s="455"/>
      <c r="I25" s="455"/>
      <c r="J25" s="455"/>
      <c r="K25" s="456"/>
    </row>
    <row r="26" spans="1:14" s="2120" customFormat="1" ht="13.5" customHeight="1">
      <c r="A26" s="1632" t="s">
        <v>1850</v>
      </c>
      <c r="B26" s="1326" t="s">
        <v>509</v>
      </c>
      <c r="C26" s="489">
        <f ca="1">ROUND(F20*F24,4)</f>
        <v>5.0000000000000001E-3</v>
      </c>
      <c r="D26" s="470"/>
      <c r="E26" s="479"/>
      <c r="F26" s="478"/>
      <c r="G26" s="1324" t="s">
        <v>510</v>
      </c>
      <c r="H26" s="455"/>
      <c r="I26" s="455"/>
      <c r="J26" s="455"/>
      <c r="K26" s="456"/>
    </row>
    <row r="27" spans="1:14" s="2120" customFormat="1" ht="13.5" customHeight="1">
      <c r="A27" s="1636" t="s">
        <v>1868</v>
      </c>
      <c r="B27" s="457" t="s">
        <v>511</v>
      </c>
      <c r="C27" s="3053">
        <f>ROUND(F27/(1+'数据-取费表'!C42),4)</f>
        <v>5.33E-2</v>
      </c>
      <c r="D27" s="460" t="s">
        <v>2832</v>
      </c>
      <c r="E27" s="460"/>
      <c r="F27" s="464">
        <f>'数据-取费表'!B41</f>
        <v>5.6000000000000001E-2</v>
      </c>
      <c r="G27" s="1960" t="s">
        <v>2294</v>
      </c>
      <c r="H27" s="445"/>
      <c r="I27" s="445"/>
      <c r="J27" s="445"/>
      <c r="K27" s="446"/>
    </row>
    <row r="28" spans="1:14" s="2121" customFormat="1" ht="13.5" customHeight="1">
      <c r="A28" s="1636" t="s">
        <v>1869</v>
      </c>
      <c r="B28" s="474" t="s">
        <v>512</v>
      </c>
      <c r="C28" s="468">
        <f ca="1">ROUND((C18+C19+C21+C24)/(1-C20-D21-D24-C27),0)</f>
        <v>4004</v>
      </c>
      <c r="D28" s="475"/>
      <c r="E28" s="467"/>
      <c r="F28" s="469"/>
      <c r="G28" s="1325" t="s">
        <v>2438</v>
      </c>
      <c r="H28" s="445"/>
      <c r="I28" s="445"/>
      <c r="J28" s="445"/>
      <c r="K28" s="446"/>
    </row>
    <row r="29" spans="1:14" s="2121" customFormat="1" ht="13.5" customHeight="1">
      <c r="A29" s="1636" t="s">
        <v>1870</v>
      </c>
      <c r="B29" s="474" t="s">
        <v>513</v>
      </c>
      <c r="C29" s="490">
        <f ca="1">IF(B1="",'数据-取费表'!N16,INDIRECT("'数据-取费表'!N"&amp;$K$1))</f>
        <v>0</v>
      </c>
      <c r="D29" s="491"/>
      <c r="E29" s="492"/>
      <c r="F29" s="493"/>
      <c r="G29" s="442"/>
      <c r="H29" s="445"/>
      <c r="I29" s="445"/>
      <c r="J29" s="445"/>
      <c r="K29" s="446"/>
    </row>
    <row r="30" spans="1:14" s="2121" customFormat="1" ht="13.5" customHeight="1">
      <c r="A30" s="441">
        <v>2</v>
      </c>
      <c r="B30" s="474" t="s">
        <v>514</v>
      </c>
      <c r="C30" s="495">
        <f ca="1">ROUND(C28*C29,0)</f>
        <v>0</v>
      </c>
      <c r="D30" s="491"/>
      <c r="E30" s="496"/>
      <c r="F30" s="497"/>
      <c r="G30" s="1327" t="s">
        <v>515</v>
      </c>
      <c r="H30" s="494"/>
      <c r="I30" s="494"/>
      <c r="J30" s="445"/>
      <c r="K30" s="446"/>
    </row>
    <row r="31" spans="1:14" s="2126" customFormat="1" ht="13.5" customHeight="1">
      <c r="A31" s="2504" t="s">
        <v>1866</v>
      </c>
      <c r="B31" s="1328"/>
      <c r="C31" s="498">
        <f>ROUND(C6*F31/(1+'数据-取费表'!C42),0)</f>
        <v>2514</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IF('数据-取费表'!B20&lt;=1,(C6-C30-C31)/(1+F21*'数据-取费表'!B20+F19+F24)/(1+'数据-取费表'!B48+'数据-取费表'!B49),(C6-C30-C31)/(1+(POWER((1+F21),'数据-取费表'!B20)-1)+F19+F24)/(1+'数据-取费表'!B48+'数据-取费表'!B49))</f>
        <v>32264.099864035543</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t="e">
        <f>ROUND(B2*10000/'数据-汇总表'!E3,0)</f>
        <v>#DIV/0!</v>
      </c>
      <c r="C3" s="2061"/>
      <c r="D3" s="2592"/>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t="e">
        <f>IF(B48="单位面积地价",C50,ROUND(B2*10000/'数据-汇总表'!D3,0))</f>
        <v>#DIV/0!</v>
      </c>
      <c r="C4" s="2061"/>
      <c r="D4" s="2592"/>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596" t="s">
        <v>522</v>
      </c>
      <c r="D6" s="3597"/>
      <c r="E6" s="3596" t="s">
        <v>523</v>
      </c>
      <c r="F6" s="3597"/>
      <c r="G6" s="3596" t="s">
        <v>524</v>
      </c>
      <c r="H6" s="3597"/>
      <c r="I6" s="3596" t="s">
        <v>525</v>
      </c>
      <c r="J6" s="3597"/>
      <c r="K6" s="512" t="s">
        <v>526</v>
      </c>
      <c r="L6" s="2133"/>
      <c r="M6" s="2132"/>
      <c r="N6" s="2132"/>
      <c r="O6" s="2134"/>
      <c r="P6" s="3598" t="s">
        <v>527</v>
      </c>
      <c r="Q6" s="3599"/>
      <c r="R6" s="3584" t="s">
        <v>523</v>
      </c>
      <c r="S6" s="3585"/>
      <c r="T6" s="3584" t="s">
        <v>524</v>
      </c>
      <c r="U6" s="3585"/>
      <c r="V6" s="3604" t="s">
        <v>525</v>
      </c>
      <c r="W6" s="3604"/>
      <c r="X6" s="1566"/>
      <c r="Y6" s="3584" t="s">
        <v>527</v>
      </c>
      <c r="Z6" s="3585"/>
      <c r="AA6" s="3579" t="s">
        <v>523</v>
      </c>
      <c r="AB6" s="3580" t="s">
        <v>524</v>
      </c>
      <c r="AC6" s="3579" t="s">
        <v>525</v>
      </c>
    </row>
    <row r="7" spans="1:30" ht="20.25">
      <c r="A7" s="513"/>
      <c r="B7" s="514"/>
      <c r="C7" s="3607" t="s">
        <v>2930</v>
      </c>
      <c r="D7" s="3608"/>
      <c r="E7" s="3607" t="s">
        <v>2931</v>
      </c>
      <c r="F7" s="3608"/>
      <c r="G7" s="3607" t="s">
        <v>2932</v>
      </c>
      <c r="H7" s="3608"/>
      <c r="I7" s="3607" t="s">
        <v>2933</v>
      </c>
      <c r="J7" s="3608"/>
      <c r="K7" s="512"/>
      <c r="L7" s="2133"/>
      <c r="M7" s="2132"/>
      <c r="N7" s="2132"/>
      <c r="O7" s="2134"/>
      <c r="P7" s="3600"/>
      <c r="Q7" s="3601"/>
      <c r="R7" s="3586"/>
      <c r="S7" s="3587"/>
      <c r="T7" s="3586"/>
      <c r="U7" s="3587"/>
      <c r="V7" s="3604"/>
      <c r="W7" s="3604"/>
      <c r="X7" s="1566"/>
      <c r="Y7" s="3586"/>
      <c r="Z7" s="3587"/>
      <c r="AA7" s="3580"/>
      <c r="AB7" s="3580"/>
      <c r="AC7" s="3580"/>
    </row>
    <row r="8" spans="1:30" ht="21" thickBot="1">
      <c r="A8" s="513"/>
      <c r="B8" s="514"/>
      <c r="C8" s="3609" t="s">
        <v>2934</v>
      </c>
      <c r="D8" s="3610"/>
      <c r="E8" s="3609" t="s">
        <v>2934</v>
      </c>
      <c r="F8" s="3610"/>
      <c r="G8" s="3605" t="s">
        <v>2934</v>
      </c>
      <c r="H8" s="3606"/>
      <c r="I8" s="3605" t="s">
        <v>2934</v>
      </c>
      <c r="J8" s="3606"/>
      <c r="K8" s="512" t="s">
        <v>528</v>
      </c>
      <c r="L8" s="2133"/>
      <c r="M8" s="2132"/>
      <c r="N8" s="2132"/>
      <c r="O8" s="2134"/>
      <c r="P8" s="3602"/>
      <c r="Q8" s="3603"/>
      <c r="R8" s="3586"/>
      <c r="S8" s="3587"/>
      <c r="T8" s="3588"/>
      <c r="U8" s="3589"/>
      <c r="V8" s="3604"/>
      <c r="W8" s="3604"/>
      <c r="X8" s="1566"/>
      <c r="Y8" s="3588"/>
      <c r="Z8" s="3589"/>
      <c r="AA8" s="3581"/>
      <c r="AB8" s="3581"/>
      <c r="AC8" s="3581"/>
    </row>
    <row r="9" spans="1:30" s="1218" customFormat="1" ht="21" thickBot="1">
      <c r="A9" s="2934"/>
      <c r="B9" s="2941" t="s">
        <v>529</v>
      </c>
      <c r="C9" s="2933">
        <f>'数据-取费表'!B2</f>
        <v>43230</v>
      </c>
      <c r="D9" s="518">
        <v>100</v>
      </c>
      <c r="E9" s="519"/>
      <c r="F9" s="520">
        <f>SUMIF(72:72,YEAR(E9)&amp;"-"&amp;INT((MONTH(E9)+2)/3),73:73)</f>
        <v>0</v>
      </c>
      <c r="G9" s="521"/>
      <c r="H9" s="518">
        <f>SUMIF(72:72,YEAR(G9)&amp;"-"&amp;INT((MONTH(G9)+2)/3),73:73)</f>
        <v>0</v>
      </c>
      <c r="I9" s="521"/>
      <c r="J9" s="518">
        <f>SUMIF(72:72,YEAR(I9)&amp;"-"&amp;INT((MONTH(I9)+2)/3),73:73)</f>
        <v>0</v>
      </c>
      <c r="K9" s="522"/>
      <c r="L9" s="2135"/>
      <c r="M9" s="2132"/>
      <c r="N9" s="2132"/>
      <c r="O9" s="2136"/>
      <c r="P9" s="3582" t="s">
        <v>530</v>
      </c>
      <c r="Q9" s="3591"/>
      <c r="R9" s="1567" t="s">
        <v>8</v>
      </c>
      <c r="S9" s="1568">
        <f t="shared" ref="S9:S17" si="0">F9</f>
        <v>0</v>
      </c>
      <c r="T9" s="1567" t="s">
        <v>8</v>
      </c>
      <c r="U9" s="1568">
        <f t="shared" ref="U9:U17" si="1">H9</f>
        <v>0</v>
      </c>
      <c r="V9" s="1567" t="s">
        <v>8</v>
      </c>
      <c r="W9" s="1568">
        <f t="shared" ref="W9:W17" si="2">J9</f>
        <v>0</v>
      </c>
      <c r="X9" s="1569"/>
      <c r="Y9" s="3582" t="s">
        <v>530</v>
      </c>
      <c r="Z9" s="3583"/>
      <c r="AA9" s="1570" t="e">
        <f>D9/F9</f>
        <v>#DIV/0!</v>
      </c>
      <c r="AB9" s="1570" t="e">
        <f>D9/H9</f>
        <v>#DIV/0!</v>
      </c>
      <c r="AC9" s="1570" t="e">
        <f>D9/J9</f>
        <v>#DIV/0!</v>
      </c>
    </row>
    <row r="10" spans="1:30" s="1218" customFormat="1" ht="21" thickBot="1">
      <c r="A10" s="2935"/>
      <c r="B10" s="2942"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5"/>
      <c r="M10" s="2132"/>
      <c r="N10" s="2132"/>
      <c r="O10" s="2136"/>
      <c r="P10" s="3582" t="s">
        <v>533</v>
      </c>
      <c r="Q10" s="3583"/>
      <c r="R10" s="1567" t="s">
        <v>8</v>
      </c>
      <c r="S10" s="1568">
        <f t="shared" si="0"/>
        <v>0</v>
      </c>
      <c r="T10" s="1567" t="s">
        <v>8</v>
      </c>
      <c r="U10" s="1568">
        <f t="shared" si="1"/>
        <v>0</v>
      </c>
      <c r="V10" s="1567" t="s">
        <v>8</v>
      </c>
      <c r="W10" s="1568">
        <f t="shared" si="2"/>
        <v>0</v>
      </c>
      <c r="X10" s="1569"/>
      <c r="Y10" s="3582" t="s">
        <v>533</v>
      </c>
      <c r="Z10" s="3583"/>
      <c r="AA10" s="1570" t="e">
        <f t="shared" ref="AA10:AA47" si="3">D10/F10</f>
        <v>#DIV/0!</v>
      </c>
      <c r="AB10" s="1570" t="e">
        <f t="shared" ref="AB10:AB47" si="4">D10/H10</f>
        <v>#DIV/0!</v>
      </c>
      <c r="AC10" s="1570" t="e">
        <f t="shared" ref="AC10:AC47" si="5">D10/J10</f>
        <v>#DIV/0!</v>
      </c>
    </row>
    <row r="11" spans="1:30" s="1218" customFormat="1" ht="20.25">
      <c r="A11" s="2936"/>
      <c r="B11" s="2943" t="s">
        <v>2760</v>
      </c>
      <c r="C11" s="2930"/>
      <c r="D11" s="252">
        <v>100</v>
      </c>
      <c r="E11" s="524"/>
      <c r="F11" s="252">
        <f>SUMIF(77:77,E11,78:78)-SUMIF(77:77,C11,78:78)+100</f>
        <v>100</v>
      </c>
      <c r="G11" s="524"/>
      <c r="H11" s="252">
        <f>SUMIF(77:77,G11,78:78)-SUMIF(77:77,C11,78:78)+100</f>
        <v>100</v>
      </c>
      <c r="I11" s="524"/>
      <c r="J11" s="252">
        <f>SUMIF(77:77,I11,78:78)-SUMIF(77:77,C11,78:78)+100</f>
        <v>100</v>
      </c>
      <c r="K11" s="522"/>
      <c r="L11" s="2135"/>
      <c r="M11" s="2132"/>
      <c r="N11" s="2132"/>
      <c r="O11" s="2137"/>
      <c r="P11" s="3590" t="s">
        <v>535</v>
      </c>
      <c r="Q11" s="1149" t="str">
        <f t="shared" ref="Q11:Q17" si="6">B11</f>
        <v>用途</v>
      </c>
      <c r="R11" s="1567" t="s">
        <v>8</v>
      </c>
      <c r="S11" s="1568">
        <f t="shared" si="0"/>
        <v>100</v>
      </c>
      <c r="T11" s="1567" t="s">
        <v>8</v>
      </c>
      <c r="U11" s="1568">
        <f t="shared" si="1"/>
        <v>100</v>
      </c>
      <c r="V11" s="1567" t="s">
        <v>8</v>
      </c>
      <c r="W11" s="1568">
        <f t="shared" si="2"/>
        <v>100</v>
      </c>
      <c r="X11" s="1569"/>
      <c r="Y11" s="3432" t="s">
        <v>536</v>
      </c>
      <c r="Z11" s="1148" t="str">
        <f t="shared" ref="Z11:Z17" si="7">Q11</f>
        <v>用途</v>
      </c>
      <c r="AA11" s="1570">
        <f t="shared" si="3"/>
        <v>1</v>
      </c>
      <c r="AB11" s="1570">
        <f t="shared" si="4"/>
        <v>1</v>
      </c>
      <c r="AC11" s="1570">
        <f t="shared" si="5"/>
        <v>1</v>
      </c>
    </row>
    <row r="12" spans="1:30" s="1336" customFormat="1" ht="27">
      <c r="A12" s="2937"/>
      <c r="B12" s="2942" t="s">
        <v>2761</v>
      </c>
      <c r="C12" s="908"/>
      <c r="D12" s="253">
        <v>100</v>
      </c>
      <c r="E12" s="527"/>
      <c r="F12" s="253">
        <f>ROUND(100/'数据-取费表'!G16,0)</f>
        <v>100</v>
      </c>
      <c r="G12" s="528"/>
      <c r="H12" s="253">
        <f>ROUND(100/'数据-取费表'!G16,0)</f>
        <v>100</v>
      </c>
      <c r="I12" s="528"/>
      <c r="J12" s="253">
        <f>ROUND(100/'数据-取费表'!G16,0)</f>
        <v>100</v>
      </c>
      <c r="K12" s="529"/>
      <c r="L12" s="2138"/>
      <c r="M12" s="2132"/>
      <c r="N12" s="2132"/>
      <c r="O12" s="2139"/>
      <c r="P12" s="3590"/>
      <c r="Q12" s="1149" t="str">
        <f t="shared" si="6"/>
        <v>土地使用年限（年）</v>
      </c>
      <c r="R12" s="1567" t="s">
        <v>8</v>
      </c>
      <c r="S12" s="1568">
        <f t="shared" si="0"/>
        <v>100</v>
      </c>
      <c r="T12" s="1567" t="s">
        <v>8</v>
      </c>
      <c r="U12" s="1568">
        <f t="shared" si="1"/>
        <v>100</v>
      </c>
      <c r="V12" s="1567" t="s">
        <v>8</v>
      </c>
      <c r="W12" s="1568">
        <f t="shared" si="2"/>
        <v>100</v>
      </c>
      <c r="X12" s="1569"/>
      <c r="Y12" s="3432"/>
      <c r="Z12" s="1148" t="str">
        <f t="shared" si="7"/>
        <v>土地使用年限（年）</v>
      </c>
      <c r="AA12" s="1570">
        <f t="shared" si="3"/>
        <v>1</v>
      </c>
      <c r="AB12" s="1570">
        <f t="shared" si="4"/>
        <v>1</v>
      </c>
      <c r="AC12" s="1570">
        <f t="shared" si="5"/>
        <v>1</v>
      </c>
    </row>
    <row r="13" spans="1:30" ht="20.25">
      <c r="A13" s="2938"/>
      <c r="B13" s="2942"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40"/>
      <c r="M13" s="2132"/>
      <c r="N13" s="2132"/>
      <c r="O13" s="2141"/>
      <c r="P13" s="3590"/>
      <c r="Q13" s="1149" t="str">
        <f t="shared" si="6"/>
        <v>容积率</v>
      </c>
      <c r="R13" s="1567" t="s">
        <v>8</v>
      </c>
      <c r="S13" s="1568" t="e">
        <f t="shared" si="0"/>
        <v>#N/A</v>
      </c>
      <c r="T13" s="1567" t="s">
        <v>8</v>
      </c>
      <c r="U13" s="1568" t="e">
        <f t="shared" si="1"/>
        <v>#N/A</v>
      </c>
      <c r="V13" s="1567" t="s">
        <v>8</v>
      </c>
      <c r="W13" s="1568" t="e">
        <f t="shared" si="2"/>
        <v>#N/A</v>
      </c>
      <c r="X13" s="1569"/>
      <c r="Y13" s="3432"/>
      <c r="Z13" s="1148" t="str">
        <f t="shared" si="7"/>
        <v>容积率</v>
      </c>
      <c r="AA13" s="1570" t="e">
        <f t="shared" si="3"/>
        <v>#N/A</v>
      </c>
      <c r="AB13" s="1570" t="e">
        <f t="shared" si="4"/>
        <v>#N/A</v>
      </c>
      <c r="AC13" s="1570" t="e">
        <f t="shared" si="5"/>
        <v>#N/A</v>
      </c>
    </row>
    <row r="14" spans="1:30" s="1218" customFormat="1" ht="20.25">
      <c r="A14" s="2935"/>
      <c r="B14" s="2944" t="s">
        <v>2763</v>
      </c>
      <c r="C14" s="2931"/>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590"/>
      <c r="Q14" s="1149" t="str">
        <f t="shared" si="6"/>
        <v>配建</v>
      </c>
      <c r="R14" s="1567" t="s">
        <v>8</v>
      </c>
      <c r="S14" s="1568">
        <f t="shared" si="0"/>
        <v>100</v>
      </c>
      <c r="T14" s="1567" t="s">
        <v>8</v>
      </c>
      <c r="U14" s="1568">
        <f t="shared" si="1"/>
        <v>100</v>
      </c>
      <c r="V14" s="1567" t="s">
        <v>8</v>
      </c>
      <c r="W14" s="1568">
        <f t="shared" si="2"/>
        <v>100</v>
      </c>
      <c r="X14" s="1569"/>
      <c r="Y14" s="3432"/>
      <c r="Z14" s="1148" t="str">
        <f t="shared" si="7"/>
        <v>配建</v>
      </c>
      <c r="AA14" s="1570">
        <f>D14/F14</f>
        <v>1</v>
      </c>
      <c r="AB14" s="1570">
        <f>D14/H14</f>
        <v>1</v>
      </c>
      <c r="AC14" s="1570">
        <f>D14/J14</f>
        <v>1</v>
      </c>
    </row>
    <row r="15" spans="1:30" ht="20.25">
      <c r="A15" s="2939"/>
      <c r="B15" s="2945">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590"/>
      <c r="Q15" s="1149">
        <f t="shared" si="6"/>
        <v>111</v>
      </c>
      <c r="R15" s="1567" t="s">
        <v>8</v>
      </c>
      <c r="S15" s="1568">
        <f t="shared" si="0"/>
        <v>100</v>
      </c>
      <c r="T15" s="1567" t="s">
        <v>8</v>
      </c>
      <c r="U15" s="1568">
        <f t="shared" si="1"/>
        <v>100</v>
      </c>
      <c r="V15" s="1567" t="s">
        <v>8</v>
      </c>
      <c r="W15" s="1568">
        <f t="shared" si="2"/>
        <v>100</v>
      </c>
      <c r="X15" s="1569"/>
      <c r="Y15" s="3432"/>
      <c r="Z15" s="1148">
        <f t="shared" si="7"/>
        <v>111</v>
      </c>
      <c r="AA15" s="1570">
        <f>D15/F15</f>
        <v>1</v>
      </c>
      <c r="AB15" s="1570">
        <f>D15/H15</f>
        <v>1</v>
      </c>
      <c r="AC15" s="1570">
        <f>D15/J15</f>
        <v>1</v>
      </c>
    </row>
    <row r="16" spans="1:30" ht="2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590"/>
      <c r="Q16" s="1149">
        <f t="shared" si="6"/>
        <v>111</v>
      </c>
      <c r="R16" s="1567" t="s">
        <v>8</v>
      </c>
      <c r="S16" s="1568">
        <f t="shared" si="0"/>
        <v>100</v>
      </c>
      <c r="T16" s="1567" t="s">
        <v>8</v>
      </c>
      <c r="U16" s="1568">
        <f t="shared" si="1"/>
        <v>100</v>
      </c>
      <c r="V16" s="1567" t="s">
        <v>8</v>
      </c>
      <c r="W16" s="1568">
        <f t="shared" si="2"/>
        <v>100</v>
      </c>
      <c r="X16" s="1569"/>
      <c r="Y16" s="3432"/>
      <c r="Z16" s="1148">
        <f t="shared" si="7"/>
        <v>111</v>
      </c>
      <c r="AA16" s="1570">
        <f>D16/F16</f>
        <v>1</v>
      </c>
      <c r="AB16" s="1570">
        <f>D16/H16</f>
        <v>1</v>
      </c>
      <c r="AC16" s="1570">
        <f>D16/J16</f>
        <v>1</v>
      </c>
    </row>
    <row r="17" spans="1:29" ht="99.75">
      <c r="A17" s="2932"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2"/>
      <c r="M17" s="2132"/>
      <c r="N17" s="2132"/>
      <c r="O17" s="2141"/>
      <c r="P17" s="3592" t="s">
        <v>540</v>
      </c>
      <c r="Q17" s="1571" t="str">
        <f t="shared" si="6"/>
        <v>居住社区成熟度</v>
      </c>
      <c r="R17" s="1572" t="s">
        <v>8</v>
      </c>
      <c r="S17" s="1573">
        <f t="shared" si="0"/>
        <v>100</v>
      </c>
      <c r="T17" s="1572" t="s">
        <v>8</v>
      </c>
      <c r="U17" s="1573">
        <f t="shared" si="1"/>
        <v>100</v>
      </c>
      <c r="V17" s="1572" t="s">
        <v>8</v>
      </c>
      <c r="W17" s="1573">
        <f t="shared" si="2"/>
        <v>100</v>
      </c>
      <c r="X17" s="1566"/>
      <c r="Y17" s="3592" t="s">
        <v>540</v>
      </c>
      <c r="Z17" s="1574" t="str">
        <f t="shared" si="7"/>
        <v>居住社区成熟度</v>
      </c>
      <c r="AA17" s="1575">
        <f t="shared" si="3"/>
        <v>1</v>
      </c>
      <c r="AB17" s="1575">
        <f t="shared" si="4"/>
        <v>1</v>
      </c>
      <c r="AC17" s="1575">
        <f t="shared" si="5"/>
        <v>1</v>
      </c>
    </row>
    <row r="18" spans="1:29" ht="20.25">
      <c r="A18" s="530"/>
      <c r="B18" s="551"/>
      <c r="C18" s="552"/>
      <c r="D18" s="555"/>
      <c r="E18" s="556"/>
      <c r="F18" s="553"/>
      <c r="G18" s="554"/>
      <c r="H18" s="557"/>
      <c r="I18" s="556"/>
      <c r="J18" s="553"/>
      <c r="K18" s="529"/>
      <c r="L18" s="2142"/>
      <c r="M18" s="2132"/>
      <c r="N18" s="2132"/>
      <c r="O18" s="2141"/>
      <c r="P18" s="3593"/>
      <c r="Q18" s="1571"/>
      <c r="R18" s="1572"/>
      <c r="S18" s="1573"/>
      <c r="T18" s="1572"/>
      <c r="U18" s="1573"/>
      <c r="V18" s="1572"/>
      <c r="W18" s="1573"/>
      <c r="X18" s="1566"/>
      <c r="Y18" s="3593"/>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593"/>
      <c r="Q19" s="1571" t="str">
        <f>B19</f>
        <v>商业繁华度</v>
      </c>
      <c r="R19" s="1572" t="s">
        <v>8</v>
      </c>
      <c r="S19" s="1573">
        <f>F19</f>
        <v>100</v>
      </c>
      <c r="T19" s="1572" t="s">
        <v>8</v>
      </c>
      <c r="U19" s="1573">
        <f>H19</f>
        <v>100</v>
      </c>
      <c r="V19" s="1572" t="s">
        <v>8</v>
      </c>
      <c r="W19" s="1573">
        <f>J19</f>
        <v>100</v>
      </c>
      <c r="X19" s="1566"/>
      <c r="Y19" s="3593"/>
      <c r="Z19" s="1574" t="str">
        <f>Q19</f>
        <v>商业繁华度</v>
      </c>
      <c r="AA19" s="1575">
        <f t="shared" si="3"/>
        <v>1</v>
      </c>
      <c r="AB19" s="1575">
        <f t="shared" si="4"/>
        <v>1</v>
      </c>
      <c r="AC19" s="1575">
        <f t="shared" si="5"/>
        <v>1</v>
      </c>
    </row>
    <row r="20" spans="1:29" ht="20.25">
      <c r="A20" s="530"/>
      <c r="B20" s="564"/>
      <c r="C20" s="565"/>
      <c r="D20" s="561"/>
      <c r="E20" s="567"/>
      <c r="F20" s="557"/>
      <c r="G20" s="566"/>
      <c r="H20" s="553"/>
      <c r="I20" s="567"/>
      <c r="J20" s="553"/>
      <c r="K20" s="529"/>
      <c r="L20" s="2142"/>
      <c r="M20" s="2132"/>
      <c r="N20" s="2132"/>
      <c r="O20" s="2141"/>
      <c r="P20" s="3593"/>
      <c r="Q20" s="1571"/>
      <c r="R20" s="1572"/>
      <c r="S20" s="1573"/>
      <c r="T20" s="1572"/>
      <c r="U20" s="1573"/>
      <c r="V20" s="1572"/>
      <c r="W20" s="1573"/>
      <c r="X20" s="1566"/>
      <c r="Y20" s="3593"/>
      <c r="Z20" s="1574"/>
      <c r="AA20" s="1575">
        <v>1</v>
      </c>
      <c r="AB20" s="1575">
        <v>1</v>
      </c>
      <c r="AC20" s="1575">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593"/>
      <c r="Q21" s="1571" t="str">
        <f>B21</f>
        <v>办公集聚程度</v>
      </c>
      <c r="R21" s="1572" t="s">
        <v>8</v>
      </c>
      <c r="S21" s="1573">
        <f>F21</f>
        <v>100</v>
      </c>
      <c r="T21" s="1572" t="s">
        <v>8</v>
      </c>
      <c r="U21" s="1573">
        <f>H21</f>
        <v>100</v>
      </c>
      <c r="V21" s="1572" t="s">
        <v>8</v>
      </c>
      <c r="W21" s="1573">
        <f>J21</f>
        <v>100</v>
      </c>
      <c r="X21" s="1566"/>
      <c r="Y21" s="3593"/>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2"/>
      <c r="M22" s="2132"/>
      <c r="N22" s="2132"/>
      <c r="O22" s="2141"/>
      <c r="P22" s="3593"/>
      <c r="Q22" s="1571"/>
      <c r="R22" s="1572"/>
      <c r="S22" s="1573"/>
      <c r="T22" s="1572"/>
      <c r="U22" s="1573"/>
      <c r="V22" s="1572"/>
      <c r="W22" s="1573"/>
      <c r="X22" s="1566"/>
      <c r="Y22" s="3593"/>
      <c r="Z22" s="1574"/>
      <c r="AA22" s="1575">
        <v>1</v>
      </c>
      <c r="AB22" s="1575">
        <v>1</v>
      </c>
      <c r="AC22" s="1575">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2"/>
      <c r="M23" s="2132"/>
      <c r="N23" s="2132"/>
      <c r="O23" s="2141"/>
      <c r="P23" s="3593"/>
      <c r="Q23" s="1571" t="str">
        <f>B23</f>
        <v>交通便捷度</v>
      </c>
      <c r="R23" s="1572" t="s">
        <v>8</v>
      </c>
      <c r="S23" s="1573">
        <f>F23</f>
        <v>100</v>
      </c>
      <c r="T23" s="1572" t="s">
        <v>8</v>
      </c>
      <c r="U23" s="1573">
        <f>H23</f>
        <v>100</v>
      </c>
      <c r="V23" s="1572" t="s">
        <v>8</v>
      </c>
      <c r="W23" s="1573">
        <f>J23</f>
        <v>100</v>
      </c>
      <c r="X23" s="1566"/>
      <c r="Y23" s="3593"/>
      <c r="Z23" s="1574" t="str">
        <f>Q23</f>
        <v>交通便捷度</v>
      </c>
      <c r="AA23" s="1575">
        <f t="shared" si="3"/>
        <v>1</v>
      </c>
      <c r="AB23" s="1575">
        <f t="shared" si="4"/>
        <v>1</v>
      </c>
      <c r="AC23" s="1575">
        <f t="shared" si="5"/>
        <v>1</v>
      </c>
    </row>
    <row r="24" spans="1:29" ht="20.25">
      <c r="A24" s="530"/>
      <c r="B24" s="576"/>
      <c r="C24" s="552"/>
      <c r="D24" s="555"/>
      <c r="E24" s="556"/>
      <c r="F24" s="553"/>
      <c r="G24" s="554"/>
      <c r="H24" s="553"/>
      <c r="I24" s="556"/>
      <c r="J24" s="553"/>
      <c r="K24" s="529"/>
      <c r="L24" s="2142"/>
      <c r="M24" s="2132"/>
      <c r="N24" s="2132"/>
      <c r="O24" s="2141"/>
      <c r="P24" s="3593"/>
      <c r="Q24" s="1571"/>
      <c r="R24" s="1572"/>
      <c r="S24" s="1573"/>
      <c r="T24" s="1572"/>
      <c r="U24" s="1573"/>
      <c r="V24" s="1572"/>
      <c r="W24" s="1573"/>
      <c r="X24" s="1566"/>
      <c r="Y24" s="3593"/>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2"/>
      <c r="M25" s="2132"/>
      <c r="N25" s="2132"/>
      <c r="O25" s="2141"/>
      <c r="P25" s="3593"/>
      <c r="Q25" s="1571" t="str">
        <f t="shared" ref="Q25:Q39" si="8">B25</f>
        <v>区域土地利用方向</v>
      </c>
      <c r="R25" s="1572" t="s">
        <v>8</v>
      </c>
      <c r="S25" s="1573">
        <f>F25</f>
        <v>100</v>
      </c>
      <c r="T25" s="1572" t="s">
        <v>8</v>
      </c>
      <c r="U25" s="1573">
        <f>H25</f>
        <v>100</v>
      </c>
      <c r="V25" s="1572" t="s">
        <v>8</v>
      </c>
      <c r="W25" s="1573">
        <f>J25</f>
        <v>100</v>
      </c>
      <c r="X25" s="1566"/>
      <c r="Y25" s="3593"/>
      <c r="Z25" s="1574" t="str">
        <f>Q25</f>
        <v>区域土地利用方向</v>
      </c>
      <c r="AA25" s="1575">
        <f t="shared" si="3"/>
        <v>1</v>
      </c>
      <c r="AB25" s="1575">
        <f t="shared" si="4"/>
        <v>1</v>
      </c>
      <c r="AC25" s="1575">
        <f t="shared" si="5"/>
        <v>1</v>
      </c>
    </row>
    <row r="26" spans="1:29" ht="20.25">
      <c r="A26" s="513"/>
      <c r="B26" s="1005"/>
      <c r="C26" s="552"/>
      <c r="D26" s="555"/>
      <c r="E26" s="556"/>
      <c r="F26" s="553"/>
      <c r="G26" s="554"/>
      <c r="H26" s="553"/>
      <c r="I26" s="556"/>
      <c r="J26" s="553"/>
      <c r="K26" s="529"/>
      <c r="L26" s="2142"/>
      <c r="M26" s="2132"/>
      <c r="N26" s="2132"/>
      <c r="O26" s="2141"/>
      <c r="P26" s="3593"/>
      <c r="Q26" s="1571"/>
      <c r="R26" s="1572"/>
      <c r="S26" s="1573"/>
      <c r="T26" s="1572"/>
      <c r="U26" s="1573"/>
      <c r="V26" s="1572"/>
      <c r="W26" s="1573"/>
      <c r="X26" s="1566"/>
      <c r="Y26" s="3593"/>
      <c r="Z26" s="1574"/>
      <c r="AA26" s="1575"/>
      <c r="AB26" s="1575"/>
      <c r="AC26" s="1575"/>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2"/>
      <c r="M27" s="2132"/>
      <c r="N27" s="2132"/>
      <c r="O27" s="2141"/>
      <c r="P27" s="3593"/>
      <c r="Q27" s="1571" t="str">
        <f t="shared" si="8"/>
        <v>自然及人文环境状况</v>
      </c>
      <c r="R27" s="1572" t="s">
        <v>8</v>
      </c>
      <c r="S27" s="1573">
        <f>F27</f>
        <v>100</v>
      </c>
      <c r="T27" s="1572" t="s">
        <v>8</v>
      </c>
      <c r="U27" s="1573">
        <f>H27</f>
        <v>100</v>
      </c>
      <c r="V27" s="1572" t="s">
        <v>8</v>
      </c>
      <c r="W27" s="1573">
        <f>J27</f>
        <v>100</v>
      </c>
      <c r="X27" s="1566"/>
      <c r="Y27" s="3593"/>
      <c r="Z27" s="1574" t="str">
        <f>Q27</f>
        <v>自然及人文环境状况</v>
      </c>
      <c r="AA27" s="1575">
        <f t="shared" si="3"/>
        <v>1</v>
      </c>
      <c r="AB27" s="1575">
        <f t="shared" si="4"/>
        <v>1</v>
      </c>
      <c r="AC27" s="1575">
        <f t="shared" si="5"/>
        <v>1</v>
      </c>
    </row>
    <row r="28" spans="1:29" ht="20.25">
      <c r="A28" s="513"/>
      <c r="B28" s="564"/>
      <c r="C28" s="552"/>
      <c r="D28" s="555"/>
      <c r="E28" s="574"/>
      <c r="F28" s="553"/>
      <c r="G28" s="552"/>
      <c r="H28" s="553"/>
      <c r="I28" s="574"/>
      <c r="J28" s="553"/>
      <c r="K28" s="529"/>
      <c r="L28" s="2142"/>
      <c r="M28" s="2132"/>
      <c r="N28" s="2132"/>
      <c r="O28" s="2141"/>
      <c r="P28" s="3593"/>
      <c r="Q28" s="1571"/>
      <c r="R28" s="1572"/>
      <c r="S28" s="1573"/>
      <c r="T28" s="1572"/>
      <c r="U28" s="1573"/>
      <c r="V28" s="1572"/>
      <c r="W28" s="1573"/>
      <c r="X28" s="1566"/>
      <c r="Y28" s="3593"/>
      <c r="Z28" s="1574"/>
      <c r="AA28" s="1575">
        <v>1</v>
      </c>
      <c r="AB28" s="1575">
        <v>1</v>
      </c>
      <c r="AC28" s="1575">
        <v>1</v>
      </c>
    </row>
    <row r="29" spans="1:29" s="1218" customFormat="1" ht="42.75">
      <c r="A29" s="575"/>
      <c r="B29" s="2613"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5"/>
      <c r="M29" s="2132"/>
      <c r="N29" s="2132"/>
      <c r="O29" s="2137"/>
      <c r="P29" s="3593"/>
      <c r="Q29" s="1149" t="str">
        <f t="shared" si="8"/>
        <v>公共配套设施</v>
      </c>
      <c r="R29" s="1567" t="s">
        <v>8</v>
      </c>
      <c r="S29" s="1568">
        <f>F29</f>
        <v>100</v>
      </c>
      <c r="T29" s="1567" t="s">
        <v>8</v>
      </c>
      <c r="U29" s="1568">
        <f>H29</f>
        <v>100</v>
      </c>
      <c r="V29" s="1567" t="s">
        <v>8</v>
      </c>
      <c r="W29" s="1568">
        <f>J29</f>
        <v>100</v>
      </c>
      <c r="X29" s="1569"/>
      <c r="Y29" s="3593"/>
      <c r="Z29" s="1148" t="str">
        <f>Q29</f>
        <v>公共配套设施</v>
      </c>
      <c r="AA29" s="1575">
        <f>D29/F29</f>
        <v>1</v>
      </c>
      <c r="AB29" s="1575">
        <f>D29/H29</f>
        <v>1</v>
      </c>
      <c r="AC29" s="1575">
        <f>D29/J29</f>
        <v>1</v>
      </c>
    </row>
    <row r="30" spans="1:29" s="1218" customFormat="1" ht="20.25">
      <c r="A30" s="575"/>
      <c r="B30" s="564"/>
      <c r="C30" s="577"/>
      <c r="D30" s="555"/>
      <c r="E30" s="574"/>
      <c r="F30" s="553"/>
      <c r="G30" s="552"/>
      <c r="H30" s="553"/>
      <c r="I30" s="574"/>
      <c r="J30" s="553"/>
      <c r="K30" s="529"/>
      <c r="L30" s="2135"/>
      <c r="M30" s="2132"/>
      <c r="N30" s="2132"/>
      <c r="O30" s="2137"/>
      <c r="P30" s="3593"/>
      <c r="Q30" s="1149"/>
      <c r="R30" s="1567"/>
      <c r="S30" s="1568"/>
      <c r="T30" s="1567"/>
      <c r="U30" s="1568"/>
      <c r="V30" s="1567"/>
      <c r="W30" s="1568"/>
      <c r="X30" s="1569"/>
      <c r="Y30" s="3593"/>
      <c r="Z30" s="1148"/>
      <c r="AA30" s="1575">
        <v>1</v>
      </c>
      <c r="AB30" s="1575">
        <v>1</v>
      </c>
      <c r="AC30" s="1575">
        <v>1</v>
      </c>
    </row>
    <row r="31" spans="1:29" s="1218" customFormat="1" ht="42.75">
      <c r="A31" s="575"/>
      <c r="B31" s="2613"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5"/>
      <c r="M31" s="2132"/>
      <c r="N31" s="2132"/>
      <c r="O31" s="2137"/>
      <c r="P31" s="3593"/>
      <c r="Q31" s="2600" t="str">
        <f t="shared" ref="Q31" si="9">B31</f>
        <v>基础设施水平</v>
      </c>
      <c r="R31" s="1567" t="s">
        <v>8</v>
      </c>
      <c r="S31" s="1568">
        <f>F31</f>
        <v>100</v>
      </c>
      <c r="T31" s="1567" t="s">
        <v>8</v>
      </c>
      <c r="U31" s="1568">
        <f>H31</f>
        <v>100</v>
      </c>
      <c r="V31" s="1567" t="s">
        <v>8</v>
      </c>
      <c r="W31" s="1568">
        <f>J31</f>
        <v>100</v>
      </c>
      <c r="X31" s="1569"/>
      <c r="Y31" s="3593"/>
      <c r="Z31" s="2597" t="str">
        <f>Q31</f>
        <v>基础设施水平</v>
      </c>
      <c r="AA31" s="1575">
        <f>D31/F31</f>
        <v>1</v>
      </c>
      <c r="AB31" s="1575">
        <f>D31/H31</f>
        <v>1</v>
      </c>
      <c r="AC31" s="1575">
        <f>D31/J31</f>
        <v>1</v>
      </c>
    </row>
    <row r="32" spans="1:29" s="1218" customFormat="1" ht="20.25">
      <c r="A32" s="575"/>
      <c r="B32" s="564"/>
      <c r="C32" s="577"/>
      <c r="D32" s="555"/>
      <c r="E32" s="2614"/>
      <c r="F32" s="553"/>
      <c r="G32" s="577"/>
      <c r="H32" s="553"/>
      <c r="I32" s="577"/>
      <c r="J32" s="553"/>
      <c r="K32" s="529"/>
      <c r="L32" s="2135"/>
      <c r="M32" s="2132"/>
      <c r="N32" s="2132"/>
      <c r="O32" s="2137"/>
      <c r="P32" s="3593"/>
      <c r="Q32" s="2600"/>
      <c r="R32" s="1567"/>
      <c r="S32" s="1568"/>
      <c r="T32" s="1567"/>
      <c r="U32" s="1568"/>
      <c r="V32" s="1567"/>
      <c r="W32" s="1568"/>
      <c r="X32" s="1569"/>
      <c r="Y32" s="3593"/>
      <c r="Z32" s="2597"/>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59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93"/>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593"/>
      <c r="Q34" s="1571" t="str">
        <f t="shared" si="8"/>
        <v>毗邻道路的类型与等级</v>
      </c>
      <c r="R34" s="1572" t="s">
        <v>8</v>
      </c>
      <c r="S34" s="1573">
        <f t="shared" si="10"/>
        <v>100</v>
      </c>
      <c r="T34" s="1572" t="s">
        <v>8</v>
      </c>
      <c r="U34" s="1573">
        <f t="shared" si="11"/>
        <v>100</v>
      </c>
      <c r="V34" s="1572" t="s">
        <v>8</v>
      </c>
      <c r="W34" s="1573">
        <f t="shared" si="12"/>
        <v>100</v>
      </c>
      <c r="X34" s="1566"/>
      <c r="Y34" s="3593"/>
      <c r="Z34" s="1574" t="str">
        <f t="shared" si="13"/>
        <v>毗邻道路的类型与等级</v>
      </c>
      <c r="AA34" s="1575">
        <f t="shared" si="3"/>
        <v>1</v>
      </c>
      <c r="AB34" s="1575">
        <f t="shared" si="4"/>
        <v>1</v>
      </c>
      <c r="AC34" s="1575">
        <f t="shared" si="5"/>
        <v>1</v>
      </c>
    </row>
    <row r="35" spans="1:29" ht="20.25">
      <c r="A35" s="530"/>
      <c r="B35" s="564"/>
      <c r="C35" s="552"/>
      <c r="D35" s="555"/>
      <c r="E35" s="574"/>
      <c r="F35" s="553"/>
      <c r="G35" s="552"/>
      <c r="H35" s="553"/>
      <c r="I35" s="574"/>
      <c r="J35" s="553"/>
      <c r="K35" s="579"/>
      <c r="L35" s="2142"/>
      <c r="M35" s="2132"/>
      <c r="N35" s="2132"/>
      <c r="O35" s="2141"/>
      <c r="P35" s="3593"/>
      <c r="Q35" s="1571"/>
      <c r="R35" s="1572"/>
      <c r="S35" s="1573"/>
      <c r="T35" s="1572"/>
      <c r="U35" s="1573"/>
      <c r="V35" s="1572"/>
      <c r="W35" s="1573"/>
      <c r="X35" s="1566"/>
      <c r="Y35" s="3593"/>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593"/>
      <c r="Q36" s="1571" t="str">
        <f t="shared" si="8"/>
        <v>土地级别</v>
      </c>
      <c r="R36" s="1572" t="s">
        <v>8</v>
      </c>
      <c r="S36" s="1573">
        <f t="shared" si="10"/>
        <v>100</v>
      </c>
      <c r="T36" s="1572" t="s">
        <v>8</v>
      </c>
      <c r="U36" s="1573">
        <f t="shared" si="11"/>
        <v>100</v>
      </c>
      <c r="V36" s="1572" t="s">
        <v>8</v>
      </c>
      <c r="W36" s="1573">
        <f t="shared" si="12"/>
        <v>100</v>
      </c>
      <c r="X36" s="1566"/>
      <c r="Y36" s="3593"/>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593"/>
      <c r="Q37" s="1571">
        <f t="shared" si="8"/>
        <v>111</v>
      </c>
      <c r="R37" s="1572" t="s">
        <v>8</v>
      </c>
      <c r="S37" s="1573">
        <f t="shared" si="10"/>
        <v>100</v>
      </c>
      <c r="T37" s="1572" t="s">
        <v>8</v>
      </c>
      <c r="U37" s="1573">
        <f t="shared" si="11"/>
        <v>100</v>
      </c>
      <c r="V37" s="1572" t="s">
        <v>8</v>
      </c>
      <c r="W37" s="1573">
        <f t="shared" si="12"/>
        <v>100</v>
      </c>
      <c r="X37" s="1566"/>
      <c r="Y37" s="3593"/>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594" t="s">
        <v>550</v>
      </c>
      <c r="Q38" s="1571">
        <f t="shared" si="8"/>
        <v>111</v>
      </c>
      <c r="R38" s="1572" t="s">
        <v>8</v>
      </c>
      <c r="S38" s="1573">
        <f t="shared" si="10"/>
        <v>100</v>
      </c>
      <c r="T38" s="1572" t="s">
        <v>8</v>
      </c>
      <c r="U38" s="1573">
        <f t="shared" si="11"/>
        <v>100</v>
      </c>
      <c r="V38" s="1572" t="s">
        <v>8</v>
      </c>
      <c r="W38" s="1573">
        <f t="shared" si="12"/>
        <v>100</v>
      </c>
      <c r="X38" s="1566"/>
      <c r="Y38" s="3595" t="s">
        <v>550</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595"/>
      <c r="Q39" s="1571">
        <f t="shared" si="8"/>
        <v>111</v>
      </c>
      <c r="R39" s="1576" t="s">
        <v>8</v>
      </c>
      <c r="S39" s="1577">
        <f t="shared" si="10"/>
        <v>100</v>
      </c>
      <c r="T39" s="1576" t="s">
        <v>8</v>
      </c>
      <c r="U39" s="1577">
        <f t="shared" si="11"/>
        <v>100</v>
      </c>
      <c r="V39" s="1576" t="s">
        <v>8</v>
      </c>
      <c r="W39" s="1577">
        <f t="shared" si="12"/>
        <v>100</v>
      </c>
      <c r="X39" s="1578"/>
      <c r="Y39" s="3595"/>
      <c r="Z39" s="1579">
        <f t="shared" si="13"/>
        <v>111</v>
      </c>
      <c r="AA39" s="1575">
        <f t="shared" si="3"/>
        <v>1</v>
      </c>
      <c r="AB39" s="1575">
        <f t="shared" si="4"/>
        <v>1</v>
      </c>
      <c r="AC39" s="1575">
        <f t="shared" si="5"/>
        <v>1</v>
      </c>
    </row>
    <row r="40" spans="1:29" ht="20.25">
      <c r="A40" s="2929"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2"/>
      <c r="M40" s="2132"/>
      <c r="N40" s="2132"/>
      <c r="O40" s="2141"/>
      <c r="P40" s="3595"/>
      <c r="Q40" s="1571" t="str">
        <f>B40</f>
        <v>宗地面积</v>
      </c>
      <c r="R40" s="1572" t="s">
        <v>8</v>
      </c>
      <c r="S40" s="1573" t="e">
        <f t="shared" si="10"/>
        <v>#N/A</v>
      </c>
      <c r="T40" s="1572" t="s">
        <v>8</v>
      </c>
      <c r="U40" s="1573" t="e">
        <f t="shared" si="11"/>
        <v>#N/A</v>
      </c>
      <c r="V40" s="1572" t="s">
        <v>8</v>
      </c>
      <c r="W40" s="1573" t="e">
        <f t="shared" si="12"/>
        <v>#N/A</v>
      </c>
      <c r="X40" s="1566"/>
      <c r="Y40" s="3595"/>
      <c r="Z40" s="1574" t="str">
        <f t="shared" si="13"/>
        <v>宗地面积</v>
      </c>
      <c r="AA40" s="1575" t="e">
        <f t="shared" si="3"/>
        <v>#N/A</v>
      </c>
      <c r="AB40" s="1575" t="e">
        <f t="shared" si="4"/>
        <v>#N/A</v>
      </c>
      <c r="AC40" s="1575"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2"/>
      <c r="M41" s="2132"/>
      <c r="N41" s="2132"/>
      <c r="O41" s="2141"/>
      <c r="P41" s="3595"/>
      <c r="Q41" s="1571" t="str">
        <f t="shared" ref="Q41:Q47" si="14">B41</f>
        <v>宗地形状</v>
      </c>
      <c r="R41" s="1572" t="s">
        <v>8</v>
      </c>
      <c r="S41" s="1573">
        <f t="shared" si="10"/>
        <v>100</v>
      </c>
      <c r="T41" s="1572" t="s">
        <v>8</v>
      </c>
      <c r="U41" s="1573">
        <f t="shared" si="11"/>
        <v>100</v>
      </c>
      <c r="V41" s="1572" t="s">
        <v>8</v>
      </c>
      <c r="W41" s="1573">
        <f t="shared" si="12"/>
        <v>100</v>
      </c>
      <c r="X41" s="1566"/>
      <c r="Y41" s="3595"/>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2"/>
      <c r="M42" s="2132"/>
      <c r="N42" s="2132"/>
      <c r="O42" s="2141"/>
      <c r="P42" s="3595"/>
      <c r="Q42" s="1571" t="str">
        <f t="shared" si="14"/>
        <v>临街宽度及深度</v>
      </c>
      <c r="R42" s="1572" t="s">
        <v>8</v>
      </c>
      <c r="S42" s="1573">
        <f t="shared" si="10"/>
        <v>100</v>
      </c>
      <c r="T42" s="1572" t="s">
        <v>8</v>
      </c>
      <c r="U42" s="1573">
        <f t="shared" si="11"/>
        <v>100</v>
      </c>
      <c r="V42" s="1572" t="s">
        <v>8</v>
      </c>
      <c r="W42" s="1573">
        <f t="shared" si="12"/>
        <v>100</v>
      </c>
      <c r="X42" s="1566"/>
      <c r="Y42" s="3595"/>
      <c r="Z42" s="1574" t="str">
        <f t="shared" si="13"/>
        <v>临街宽度及深度</v>
      </c>
      <c r="AA42" s="1575">
        <f t="shared" si="3"/>
        <v>1</v>
      </c>
      <c r="AB42" s="1575">
        <f t="shared" si="4"/>
        <v>1</v>
      </c>
      <c r="AC42" s="1575">
        <f t="shared" si="5"/>
        <v>1</v>
      </c>
    </row>
    <row r="43" spans="1:29" s="1218" customFormat="1" ht="20.25">
      <c r="A43" s="598"/>
      <c r="B43" s="1895"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5"/>
      <c r="M43" s="2132"/>
      <c r="N43" s="2132"/>
      <c r="O43" s="2137"/>
      <c r="P43" s="3595"/>
      <c r="Q43" s="1571" t="str">
        <f t="shared" si="14"/>
        <v>宗地开发程度</v>
      </c>
      <c r="R43" s="1567" t="s">
        <v>8</v>
      </c>
      <c r="S43" s="1568">
        <f t="shared" si="10"/>
        <v>100</v>
      </c>
      <c r="T43" s="1567" t="s">
        <v>8</v>
      </c>
      <c r="U43" s="1568">
        <f t="shared" si="11"/>
        <v>100</v>
      </c>
      <c r="V43" s="1567" t="s">
        <v>8</v>
      </c>
      <c r="W43" s="1568">
        <f t="shared" si="12"/>
        <v>100</v>
      </c>
      <c r="X43" s="1569"/>
      <c r="Y43" s="3595"/>
      <c r="Z43" s="1148" t="str">
        <f t="shared" si="13"/>
        <v>宗地开发程度</v>
      </c>
      <c r="AA43" s="1570">
        <f t="shared" si="3"/>
        <v>1</v>
      </c>
      <c r="AB43" s="1570">
        <f t="shared" si="4"/>
        <v>1</v>
      </c>
      <c r="AC43" s="1570">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2"/>
      <c r="M44" s="2132"/>
      <c r="N44" s="2132"/>
      <c r="O44" s="2141"/>
      <c r="P44" s="3595" t="s">
        <v>550</v>
      </c>
      <c r="Q44" s="1571" t="str">
        <f t="shared" si="14"/>
        <v>工程地质条件</v>
      </c>
      <c r="R44" s="1572" t="s">
        <v>8</v>
      </c>
      <c r="S44" s="1573">
        <f t="shared" si="10"/>
        <v>100</v>
      </c>
      <c r="T44" s="1572" t="s">
        <v>8</v>
      </c>
      <c r="U44" s="1573">
        <f t="shared" si="11"/>
        <v>100</v>
      </c>
      <c r="V44" s="1572" t="s">
        <v>8</v>
      </c>
      <c r="W44" s="1573">
        <f t="shared" si="12"/>
        <v>100</v>
      </c>
      <c r="X44" s="1566"/>
      <c r="Y44" s="3595" t="s">
        <v>550</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595"/>
      <c r="Q45" s="1571">
        <f t="shared" si="14"/>
        <v>111</v>
      </c>
      <c r="R45" s="1572" t="s">
        <v>8</v>
      </c>
      <c r="S45" s="1573">
        <f t="shared" si="10"/>
        <v>100</v>
      </c>
      <c r="T45" s="1572" t="s">
        <v>8</v>
      </c>
      <c r="U45" s="1573">
        <f t="shared" si="11"/>
        <v>100</v>
      </c>
      <c r="V45" s="1572" t="s">
        <v>8</v>
      </c>
      <c r="W45" s="1573">
        <f t="shared" si="12"/>
        <v>100</v>
      </c>
      <c r="X45" s="1566"/>
      <c r="Y45" s="3595"/>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595"/>
      <c r="Q46" s="1571">
        <f t="shared" si="14"/>
        <v>111</v>
      </c>
      <c r="R46" s="1572" t="s">
        <v>8</v>
      </c>
      <c r="S46" s="1573">
        <f t="shared" si="10"/>
        <v>100</v>
      </c>
      <c r="T46" s="1572" t="s">
        <v>8</v>
      </c>
      <c r="U46" s="1573">
        <f t="shared" si="11"/>
        <v>100</v>
      </c>
      <c r="V46" s="1572" t="s">
        <v>8</v>
      </c>
      <c r="W46" s="1573">
        <f t="shared" si="12"/>
        <v>100</v>
      </c>
      <c r="X46" s="1566"/>
      <c r="Y46" s="3595"/>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595"/>
      <c r="Q47" s="1571">
        <f t="shared" si="14"/>
        <v>111</v>
      </c>
      <c r="R47" s="1576" t="s">
        <v>8</v>
      </c>
      <c r="S47" s="1577">
        <f t="shared" si="10"/>
        <v>100</v>
      </c>
      <c r="T47" s="1576" t="s">
        <v>8</v>
      </c>
      <c r="U47" s="1577">
        <f t="shared" si="11"/>
        <v>100</v>
      </c>
      <c r="V47" s="1576" t="s">
        <v>8</v>
      </c>
      <c r="W47" s="1577">
        <f t="shared" si="12"/>
        <v>100</v>
      </c>
      <c r="X47" s="1578"/>
      <c r="Y47" s="3595"/>
      <c r="Z47" s="1579">
        <f t="shared" si="13"/>
        <v>111</v>
      </c>
      <c r="AA47" s="1575">
        <f t="shared" si="3"/>
        <v>1</v>
      </c>
      <c r="AB47" s="1575">
        <f t="shared" si="4"/>
        <v>1</v>
      </c>
      <c r="AC47" s="1575">
        <f t="shared" si="5"/>
        <v>1</v>
      </c>
    </row>
    <row r="48" spans="1:29" ht="20.25">
      <c r="A48" s="605" t="s">
        <v>556</v>
      </c>
      <c r="B48" s="606" t="s">
        <v>2935</v>
      </c>
      <c r="C48" s="607" t="s">
        <v>1</v>
      </c>
      <c r="D48" s="608"/>
      <c r="E48" s="609"/>
      <c r="F48" s="610"/>
      <c r="G48" s="611"/>
      <c r="H48" s="612"/>
      <c r="I48" s="609"/>
      <c r="J48" s="612"/>
      <c r="K48" s="1338"/>
      <c r="L48" s="2144"/>
      <c r="M48" s="2132"/>
      <c r="N48" s="2132"/>
      <c r="O48" s="2145"/>
      <c r="P48" s="3590" t="str">
        <f>A48</f>
        <v>成交单价</v>
      </c>
      <c r="Q48" s="3590"/>
      <c r="R48" s="3604">
        <f>E48</f>
        <v>0</v>
      </c>
      <c r="S48" s="3604"/>
      <c r="T48" s="3604">
        <f>G48</f>
        <v>0</v>
      </c>
      <c r="U48" s="3604"/>
      <c r="V48" s="3604">
        <f>I48</f>
        <v>0</v>
      </c>
      <c r="W48" s="3604"/>
      <c r="X48" s="1558"/>
      <c r="Y48" s="1580"/>
      <c r="Z48" s="1558"/>
      <c r="AA48" s="1558"/>
      <c r="AB48" s="1558"/>
      <c r="AC48" s="1558"/>
    </row>
    <row r="49" spans="1:29" ht="21" thickBot="1">
      <c r="A49" s="613" t="s">
        <v>2697</v>
      </c>
      <c r="B49" s="614"/>
      <c r="C49" s="615" t="e">
        <f>R50</f>
        <v>#DIV/0!</v>
      </c>
      <c r="D49" s="616"/>
      <c r="E49" s="615" t="e">
        <f>R49</f>
        <v>#DIV/0!</v>
      </c>
      <c r="F49" s="617"/>
      <c r="G49" s="618" t="e">
        <f>T49</f>
        <v>#DIV/0!</v>
      </c>
      <c r="H49" s="616"/>
      <c r="I49" s="615" t="e">
        <f>V49</f>
        <v>#DIV/0!</v>
      </c>
      <c r="J49" s="616"/>
      <c r="K49" s="1339"/>
      <c r="L49" s="2144"/>
      <c r="M49" s="2132"/>
      <c r="N49" s="2132"/>
      <c r="O49" s="2145"/>
      <c r="P49" s="3590" t="str">
        <f>A49</f>
        <v>比较价格（元/平方米）</v>
      </c>
      <c r="Q49" s="3590"/>
      <c r="R49" s="3614" t="e">
        <f>ROUND(PRODUCT(R48,AA9:AA47),0)</f>
        <v>#DIV/0!</v>
      </c>
      <c r="S49" s="3614"/>
      <c r="T49" s="3614" t="e">
        <f>ROUND(PRODUCT(T48,AB9:AB47),0)</f>
        <v>#DIV/0!</v>
      </c>
      <c r="U49" s="3614"/>
      <c r="V49" s="3614" t="e">
        <f>ROUND(PRODUCT(V48,AC9:AC47),0)</f>
        <v>#DIV/0!</v>
      </c>
      <c r="W49" s="3614"/>
      <c r="X49" s="1558"/>
      <c r="Y49" s="1558"/>
      <c r="Z49" s="1558"/>
      <c r="AA49" s="1558"/>
      <c r="AB49" s="1558"/>
      <c r="AC49" s="1558"/>
    </row>
    <row r="50" spans="1:29" ht="21" thickBot="1">
      <c r="A50" s="619" t="s">
        <v>2936</v>
      </c>
      <c r="B50" s="620"/>
      <c r="C50" s="621" t="e">
        <f>R50</f>
        <v>#DIV/0!</v>
      </c>
      <c r="D50" s="621"/>
      <c r="E50" s="621"/>
      <c r="F50" s="621"/>
      <c r="G50" s="621"/>
      <c r="H50" s="621"/>
      <c r="I50" s="621"/>
      <c r="J50" s="621"/>
      <c r="K50" s="1340"/>
      <c r="L50" s="2144"/>
      <c r="M50" s="2132"/>
      <c r="N50" s="2132"/>
      <c r="O50" s="2145"/>
      <c r="P50" s="3611" t="str">
        <f>A50</f>
        <v>估价对象XX用房的比较价格（楼面单价，元/平方米）</v>
      </c>
      <c r="Q50" s="3612"/>
      <c r="R50" s="3613" t="e">
        <f>ROUND(AVERAGE(R49:V49),0)</f>
        <v>#DIV/0!</v>
      </c>
      <c r="S50" s="3613"/>
      <c r="T50" s="3613"/>
      <c r="U50" s="3613"/>
      <c r="V50" s="3613"/>
      <c r="W50" s="361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574" t="s">
        <v>2284</v>
      </c>
      <c r="H57" s="3575"/>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t="e">
        <f>C50</f>
        <v>#DIV/0!</v>
      </c>
      <c r="C58" s="633">
        <v>1</v>
      </c>
      <c r="D58" s="2228">
        <v>1</v>
      </c>
      <c r="E58" s="633">
        <f>'数据-汇总表'!E8+'数据-汇总表'!E9</f>
        <v>10000</v>
      </c>
      <c r="F58" s="634" t="e">
        <f t="shared" ref="F58:F67" si="15">ROUND(B58*E58/10000,0)</f>
        <v>#DIV/0!</v>
      </c>
      <c r="G58" s="3576"/>
      <c r="H58" s="357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t="e">
        <f>ROUND($C$50*C59*D59,0)</f>
        <v>#DIV/0!</v>
      </c>
      <c r="C59" s="376">
        <f t="shared" ref="C59:C67" si="16">IF($C$57="北京市系数",I59,J59)</f>
        <v>0</v>
      </c>
      <c r="D59" s="2229">
        <v>0.25</v>
      </c>
      <c r="E59" s="637">
        <v>0</v>
      </c>
      <c r="F59" s="634" t="e">
        <f t="shared" si="15"/>
        <v>#DIV/0!</v>
      </c>
      <c r="G59" s="3578"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t="e">
        <f t="shared" ref="B60:B67" si="17">ROUND($C$50*C60*D60,0)</f>
        <v>#DIV/0!</v>
      </c>
      <c r="C60" s="376">
        <f t="shared" si="16"/>
        <v>0</v>
      </c>
      <c r="D60" s="2229">
        <v>0.25</v>
      </c>
      <c r="E60" s="637">
        <v>0</v>
      </c>
      <c r="F60" s="634" t="e">
        <f t="shared" si="15"/>
        <v>#DIV/0!</v>
      </c>
      <c r="G60" s="357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t="e">
        <f t="shared" si="17"/>
        <v>#DIV/0!</v>
      </c>
      <c r="C61" s="376">
        <f t="shared" si="16"/>
        <v>0</v>
      </c>
      <c r="D61" s="2229">
        <v>0.25</v>
      </c>
      <c r="E61" s="637">
        <v>0</v>
      </c>
      <c r="F61" s="634" t="e">
        <f t="shared" si="15"/>
        <v>#DIV/0!</v>
      </c>
      <c r="G61" s="357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t="e">
        <f t="shared" si="17"/>
        <v>#DIV/0!</v>
      </c>
      <c r="C62" s="376">
        <f t="shared" si="16"/>
        <v>0</v>
      </c>
      <c r="D62" s="2229">
        <v>0.25</v>
      </c>
      <c r="E62" s="637">
        <v>0</v>
      </c>
      <c r="F62" s="634" t="e">
        <f t="shared" si="15"/>
        <v>#DIV/0!</v>
      </c>
      <c r="G62" s="357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t="e">
        <f t="shared" si="17"/>
        <v>#DIV/0!</v>
      </c>
      <c r="C63" s="376">
        <f t="shared" si="16"/>
        <v>0.3</v>
      </c>
      <c r="D63" s="2229">
        <v>0.25</v>
      </c>
      <c r="E63" s="639">
        <f>'数据-汇总表'!E11</f>
        <v>0</v>
      </c>
      <c r="F63" s="634" t="e">
        <f t="shared" si="15"/>
        <v>#DIV/0!</v>
      </c>
      <c r="G63" s="1945" t="s">
        <v>2286</v>
      </c>
      <c r="H63" s="1948" t="str">
        <f>项目基本情况!C43</f>
        <v>二级</v>
      </c>
      <c r="I63" s="1555">
        <f>SUMIF(修正!$A$45:$A$56,H63,修正!F45:F56)</f>
        <v>0.3</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t="e">
        <f t="shared" si="17"/>
        <v>#DIV/0!</v>
      </c>
      <c r="C64" s="376">
        <f t="shared" si="16"/>
        <v>0.3</v>
      </c>
      <c r="D64" s="2229">
        <v>0.25</v>
      </c>
      <c r="E64" s="639">
        <f>'数据-汇总表'!E12</f>
        <v>0</v>
      </c>
      <c r="F64" s="634" t="e">
        <f t="shared" si="15"/>
        <v>#DIV/0!</v>
      </c>
      <c r="G64" s="1946" t="s">
        <v>1678</v>
      </c>
      <c r="H64" s="1944" t="str">
        <f>IF(G64="商业",项目基本情况!B43,IF(G64="办公",项目基本情况!C43,IF(G64="住宅",项目基本情况!D43,项目基本情况!E43)))</f>
        <v>二级</v>
      </c>
      <c r="I64" s="1555">
        <f>SUMIF(修正!$A$45:$A$56,H64,修正!G45:G56)</f>
        <v>0.3</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t="e">
        <f t="shared" si="17"/>
        <v>#DIV/0!</v>
      </c>
      <c r="C65" s="376">
        <f t="shared" si="16"/>
        <v>0</v>
      </c>
      <c r="D65" s="2229">
        <v>0.25</v>
      </c>
      <c r="E65" s="639">
        <f>'数据-汇总表'!E13</f>
        <v>0</v>
      </c>
      <c r="F65" s="634"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t="e">
        <f t="shared" si="17"/>
        <v>#DIV/0!</v>
      </c>
      <c r="C66" s="376">
        <f t="shared" si="16"/>
        <v>0</v>
      </c>
      <c r="D66" s="2229">
        <v>0.25</v>
      </c>
      <c r="E66" s="639">
        <f>'数据-汇总表'!E14</f>
        <v>0</v>
      </c>
      <c r="F66" s="634" t="e">
        <f t="shared" si="15"/>
        <v>#DIV/0!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t="e">
        <f t="shared" si="17"/>
        <v>#DIV/0!</v>
      </c>
      <c r="C67" s="376">
        <f t="shared" si="16"/>
        <v>0.25</v>
      </c>
      <c r="D67" s="2229">
        <v>0.25</v>
      </c>
      <c r="E67" s="639">
        <f>'数据-汇总表'!E15</f>
        <v>0</v>
      </c>
      <c r="F67" s="634" t="e">
        <f t="shared" si="15"/>
        <v>#DIV/0!</v>
      </c>
      <c r="G67" s="1947" t="s">
        <v>2286</v>
      </c>
      <c r="H67" s="1949" t="str">
        <f>项目基本情况!C43</f>
        <v>二级</v>
      </c>
      <c r="I67" s="1555">
        <f>SUMIF(修正!$A$45:$A$56,H67,修正!H45:H56)</f>
        <v>0.25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28"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4"/>
      <c r="N73" s="2815"/>
      <c r="O73" s="2162"/>
      <c r="P73" s="2158"/>
      <c r="Q73" s="1993"/>
      <c r="R73" s="1993"/>
      <c r="S73" s="1993"/>
      <c r="T73" s="1993"/>
      <c r="U73" s="1993"/>
      <c r="V73" s="1993"/>
      <c r="W73" s="1993"/>
      <c r="X73" s="1993"/>
      <c r="Y73" s="1993"/>
      <c r="Z73" s="1993"/>
      <c r="AA73" s="1993"/>
      <c r="AB73" s="1993"/>
      <c r="AC73" s="1993"/>
    </row>
    <row r="74" spans="1:29" s="1218" customFormat="1" ht="15" customHeight="1" thickBot="1">
      <c r="A74" s="2818" t="s">
        <v>2650</v>
      </c>
      <c r="B74" s="2827"/>
      <c r="C74" s="2812"/>
      <c r="D74" s="2813"/>
      <c r="E74" s="2813"/>
      <c r="F74" s="2813"/>
      <c r="G74" s="2813"/>
      <c r="H74" s="2813"/>
      <c r="I74" s="2813"/>
      <c r="J74" s="2813"/>
      <c r="K74" s="2813"/>
      <c r="L74" s="2813"/>
      <c r="M74" s="2813"/>
      <c r="N74" s="2813"/>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596"/>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c r="D82" s="539"/>
      <c r="E82" s="539"/>
      <c r="F82" s="539"/>
      <c r="G82" s="539"/>
      <c r="H82" s="539"/>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2552</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19" t="s">
        <v>2554</v>
      </c>
      <c r="C104" s="2620" t="s">
        <v>2555</v>
      </c>
      <c r="D104" s="2620" t="s">
        <v>2556</v>
      </c>
      <c r="E104" s="2620" t="s">
        <v>2557</v>
      </c>
      <c r="F104" s="2620" t="s">
        <v>2558</v>
      </c>
      <c r="G104" s="2620" t="s">
        <v>2559</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2"/>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c r="D119" s="728"/>
      <c r="E119" s="728"/>
      <c r="F119" s="728"/>
      <c r="G119" s="728"/>
      <c r="H119" s="728"/>
      <c r="I119" s="728"/>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c r="D120" s="724"/>
      <c r="E120" s="724"/>
      <c r="F120" s="724"/>
      <c r="G120" s="724"/>
      <c r="H120" s="724"/>
      <c r="I120" s="724"/>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716"/>
      <c r="D121" s="716"/>
      <c r="E121" s="716"/>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686"/>
      <c r="D123" s="686"/>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596" t="s">
        <v>522</v>
      </c>
      <c r="D6" s="3597"/>
      <c r="E6" s="3620" t="s">
        <v>523</v>
      </c>
      <c r="F6" s="3621"/>
      <c r="G6" s="3596" t="s">
        <v>524</v>
      </c>
      <c r="H6" s="3597"/>
      <c r="I6" s="3596" t="s">
        <v>525</v>
      </c>
      <c r="J6" s="3597"/>
      <c r="K6" s="512" t="s">
        <v>526</v>
      </c>
      <c r="L6" s="2133"/>
      <c r="M6" s="2134"/>
      <c r="N6" s="2134"/>
      <c r="O6" s="2134"/>
      <c r="P6" s="3598" t="s">
        <v>527</v>
      </c>
      <c r="Q6" s="3599"/>
      <c r="R6" s="3584" t="s">
        <v>523</v>
      </c>
      <c r="S6" s="3585"/>
      <c r="T6" s="3584" t="s">
        <v>524</v>
      </c>
      <c r="U6" s="3585"/>
      <c r="V6" s="3604" t="s">
        <v>525</v>
      </c>
      <c r="W6" s="3604"/>
      <c r="X6" s="1566"/>
      <c r="Y6" s="3584" t="s">
        <v>527</v>
      </c>
      <c r="Z6" s="3585"/>
      <c r="AA6" s="3579" t="s">
        <v>523</v>
      </c>
      <c r="AB6" s="3580" t="s">
        <v>524</v>
      </c>
      <c r="AC6" s="3579" t="s">
        <v>525</v>
      </c>
    </row>
    <row r="7" spans="1:29" ht="15">
      <c r="A7" s="513"/>
      <c r="B7" s="514"/>
      <c r="C7" s="3607" t="s">
        <v>2930</v>
      </c>
      <c r="D7" s="3608"/>
      <c r="E7" s="3622" t="s">
        <v>2931</v>
      </c>
      <c r="F7" s="3623"/>
      <c r="G7" s="3607" t="s">
        <v>2932</v>
      </c>
      <c r="H7" s="3608"/>
      <c r="I7" s="3607" t="s">
        <v>2933</v>
      </c>
      <c r="J7" s="3608"/>
      <c r="K7" s="512"/>
      <c r="L7" s="2133"/>
      <c r="M7" s="2134"/>
      <c r="N7" s="2134"/>
      <c r="O7" s="2134"/>
      <c r="P7" s="3600"/>
      <c r="Q7" s="3601"/>
      <c r="R7" s="3586"/>
      <c r="S7" s="3587"/>
      <c r="T7" s="3586"/>
      <c r="U7" s="3587"/>
      <c r="V7" s="3604"/>
      <c r="W7" s="3604"/>
      <c r="X7" s="1566"/>
      <c r="Y7" s="3586"/>
      <c r="Z7" s="3587"/>
      <c r="AA7" s="3580"/>
      <c r="AB7" s="3580"/>
      <c r="AC7" s="3580"/>
    </row>
    <row r="8" spans="1:29" ht="15.75" thickBot="1">
      <c r="A8" s="515"/>
      <c r="B8" s="516"/>
      <c r="C8" s="3605" t="s">
        <v>2934</v>
      </c>
      <c r="D8" s="3606"/>
      <c r="E8" s="3624" t="s">
        <v>2934</v>
      </c>
      <c r="F8" s="3625"/>
      <c r="G8" s="3605" t="s">
        <v>2934</v>
      </c>
      <c r="H8" s="3606"/>
      <c r="I8" s="3605" t="s">
        <v>2934</v>
      </c>
      <c r="J8" s="3606"/>
      <c r="K8" s="512" t="s">
        <v>528</v>
      </c>
      <c r="L8" s="2133"/>
      <c r="M8" s="2134"/>
      <c r="N8" s="2134"/>
      <c r="O8" s="2134"/>
      <c r="P8" s="3602"/>
      <c r="Q8" s="3603"/>
      <c r="R8" s="3586"/>
      <c r="S8" s="3587"/>
      <c r="T8" s="3588"/>
      <c r="U8" s="3589"/>
      <c r="V8" s="3604"/>
      <c r="W8" s="3604"/>
      <c r="X8" s="1566"/>
      <c r="Y8" s="3588"/>
      <c r="Z8" s="3589"/>
      <c r="AA8" s="3581"/>
      <c r="AB8" s="3581"/>
      <c r="AC8" s="3581"/>
    </row>
    <row r="9" spans="1:29" s="1218" customFormat="1" ht="15.75" thickBot="1">
      <c r="A9" s="2934"/>
      <c r="B9" s="2941"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582" t="s">
        <v>530</v>
      </c>
      <c r="Q9" s="3591"/>
      <c r="R9" s="1567" t="s">
        <v>8</v>
      </c>
      <c r="S9" s="1568">
        <f t="shared" ref="S9:S17" si="0">F9</f>
        <v>0</v>
      </c>
      <c r="T9" s="1567" t="s">
        <v>8</v>
      </c>
      <c r="U9" s="1568">
        <f t="shared" ref="U9:U17" si="1">H9</f>
        <v>0</v>
      </c>
      <c r="V9" s="1567" t="s">
        <v>8</v>
      </c>
      <c r="W9" s="1568">
        <f t="shared" ref="W9:W17" si="2">J9</f>
        <v>0</v>
      </c>
      <c r="X9" s="1569"/>
      <c r="Y9" s="3582" t="s">
        <v>530</v>
      </c>
      <c r="Z9" s="3583"/>
      <c r="AA9" s="1570" t="e">
        <f>D9/F9</f>
        <v>#DIV/0!</v>
      </c>
      <c r="AB9" s="1570" t="e">
        <f>D9/H9</f>
        <v>#DIV/0!</v>
      </c>
      <c r="AC9" s="1570"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582" t="s">
        <v>533</v>
      </c>
      <c r="Q10" s="3583"/>
      <c r="R10" s="1567" t="s">
        <v>8</v>
      </c>
      <c r="S10" s="1568">
        <f t="shared" si="0"/>
        <v>0</v>
      </c>
      <c r="T10" s="1567" t="s">
        <v>8</v>
      </c>
      <c r="U10" s="1568">
        <f t="shared" si="1"/>
        <v>0</v>
      </c>
      <c r="V10" s="1567" t="s">
        <v>8</v>
      </c>
      <c r="W10" s="1568">
        <f t="shared" si="2"/>
        <v>0</v>
      </c>
      <c r="X10" s="1569"/>
      <c r="Y10" s="3582" t="s">
        <v>533</v>
      </c>
      <c r="Z10" s="3583"/>
      <c r="AA10" s="1570" t="e">
        <f t="shared" ref="AA10:AA42" si="3">D10/F10</f>
        <v>#DIV/0!</v>
      </c>
      <c r="AB10" s="1570" t="e">
        <f t="shared" ref="AB10:AB42" si="4">D10/H10</f>
        <v>#DIV/0!</v>
      </c>
      <c r="AC10" s="1570" t="e">
        <f t="shared" ref="AC10:AC42" si="5">D10/J10</f>
        <v>#DIV/0!</v>
      </c>
    </row>
    <row r="11" spans="1:29" s="1218" customFormat="1" ht="15">
      <c r="A11" s="2936"/>
      <c r="B11" s="2943" t="s">
        <v>2760</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590" t="s">
        <v>535</v>
      </c>
      <c r="Q11" s="1149" t="str">
        <f t="shared" ref="Q11:Q17" si="6">B11</f>
        <v>用途</v>
      </c>
      <c r="R11" s="1567" t="s">
        <v>8</v>
      </c>
      <c r="S11" s="1568">
        <f t="shared" si="0"/>
        <v>100</v>
      </c>
      <c r="T11" s="1567" t="s">
        <v>8</v>
      </c>
      <c r="U11" s="1568">
        <f t="shared" si="1"/>
        <v>100</v>
      </c>
      <c r="V11" s="1567" t="s">
        <v>8</v>
      </c>
      <c r="W11" s="1568">
        <f t="shared" si="2"/>
        <v>100</v>
      </c>
      <c r="X11" s="1569"/>
      <c r="Y11" s="3432" t="s">
        <v>536</v>
      </c>
      <c r="Z11" s="1148" t="str">
        <f t="shared" ref="Z11:Z17" si="7">Q11</f>
        <v>用途</v>
      </c>
      <c r="AA11" s="1570">
        <f t="shared" si="3"/>
        <v>1</v>
      </c>
      <c r="AB11" s="1570">
        <f t="shared" si="4"/>
        <v>1</v>
      </c>
      <c r="AC11" s="1570">
        <f t="shared" si="5"/>
        <v>1</v>
      </c>
    </row>
    <row r="12" spans="1:29" s="1336" customFormat="1" ht="27">
      <c r="A12" s="2937"/>
      <c r="B12" s="2942" t="s">
        <v>2761</v>
      </c>
      <c r="C12" s="526"/>
      <c r="D12" s="253">
        <v>100</v>
      </c>
      <c r="E12" s="526"/>
      <c r="F12" s="253">
        <f>ROUND(100/'数据-取费表'!G16,0)</f>
        <v>100</v>
      </c>
      <c r="G12" s="526"/>
      <c r="H12" s="253">
        <f>ROUND(100/'数据-取费表'!G16,0)</f>
        <v>100</v>
      </c>
      <c r="I12" s="526"/>
      <c r="J12" s="253">
        <f>ROUND(100/'数据-取费表'!G16,0)</f>
        <v>100</v>
      </c>
      <c r="K12" s="529"/>
      <c r="L12" s="2138"/>
      <c r="M12" s="2178"/>
      <c r="N12" s="2178"/>
      <c r="O12" s="2139"/>
      <c r="P12" s="3590"/>
      <c r="Q12" s="1149" t="str">
        <f t="shared" si="6"/>
        <v>土地使用年限（年）</v>
      </c>
      <c r="R12" s="1567" t="s">
        <v>8</v>
      </c>
      <c r="S12" s="1568">
        <f t="shared" si="0"/>
        <v>100</v>
      </c>
      <c r="T12" s="1567" t="s">
        <v>8</v>
      </c>
      <c r="U12" s="1568">
        <f t="shared" si="1"/>
        <v>100</v>
      </c>
      <c r="V12" s="1567" t="s">
        <v>8</v>
      </c>
      <c r="W12" s="1568">
        <f t="shared" si="2"/>
        <v>100</v>
      </c>
      <c r="X12" s="1569"/>
      <c r="Y12" s="3432"/>
      <c r="Z12" s="1148" t="str">
        <f t="shared" si="7"/>
        <v>土地使用年限（年）</v>
      </c>
      <c r="AA12" s="1570">
        <f t="shared" si="3"/>
        <v>1</v>
      </c>
      <c r="AB12" s="1570">
        <f t="shared" si="4"/>
        <v>1</v>
      </c>
      <c r="AC12" s="1570">
        <f t="shared" si="5"/>
        <v>1</v>
      </c>
    </row>
    <row r="13" spans="1:29" ht="15">
      <c r="A13" s="2938"/>
      <c r="B13" s="2942"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590"/>
      <c r="Q13" s="1149" t="str">
        <f t="shared" si="6"/>
        <v>容积率</v>
      </c>
      <c r="R13" s="1567" t="s">
        <v>8</v>
      </c>
      <c r="S13" s="1568" t="e">
        <f t="shared" si="0"/>
        <v>#N/A</v>
      </c>
      <c r="T13" s="1567" t="s">
        <v>8</v>
      </c>
      <c r="U13" s="1568" t="e">
        <f t="shared" si="1"/>
        <v>#N/A</v>
      </c>
      <c r="V13" s="1567" t="s">
        <v>8</v>
      </c>
      <c r="W13" s="1568" t="e">
        <f t="shared" si="2"/>
        <v>#N/A</v>
      </c>
      <c r="X13" s="1569"/>
      <c r="Y13" s="3432"/>
      <c r="Z13" s="1148" t="str">
        <f t="shared" si="7"/>
        <v>容积率</v>
      </c>
      <c r="AA13" s="1570" t="e">
        <f t="shared" si="3"/>
        <v>#N/A</v>
      </c>
      <c r="AB13" s="1570" t="e">
        <f t="shared" si="4"/>
        <v>#N/A</v>
      </c>
      <c r="AC13" s="1570"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590"/>
      <c r="Q14" s="1149">
        <f t="shared" si="6"/>
        <v>111</v>
      </c>
      <c r="R14" s="1567" t="s">
        <v>8</v>
      </c>
      <c r="S14" s="1568">
        <f t="shared" si="0"/>
        <v>100</v>
      </c>
      <c r="T14" s="1567" t="s">
        <v>8</v>
      </c>
      <c r="U14" s="1568">
        <f t="shared" si="1"/>
        <v>100</v>
      </c>
      <c r="V14" s="1567" t="s">
        <v>8</v>
      </c>
      <c r="W14" s="1568">
        <f t="shared" si="2"/>
        <v>100</v>
      </c>
      <c r="X14" s="1569"/>
      <c r="Y14" s="3432"/>
      <c r="Z14" s="1148">
        <f t="shared" si="7"/>
        <v>111</v>
      </c>
      <c r="AA14" s="1570">
        <f>D14/F14</f>
        <v>1</v>
      </c>
      <c r="AB14" s="1570">
        <f>D14/H14</f>
        <v>1</v>
      </c>
      <c r="AC14" s="1570">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590"/>
      <c r="Q15" s="1149">
        <f t="shared" si="6"/>
        <v>111</v>
      </c>
      <c r="R15" s="1567" t="s">
        <v>8</v>
      </c>
      <c r="S15" s="1568">
        <f t="shared" si="0"/>
        <v>100</v>
      </c>
      <c r="T15" s="1567" t="s">
        <v>8</v>
      </c>
      <c r="U15" s="1568">
        <f t="shared" si="1"/>
        <v>100</v>
      </c>
      <c r="V15" s="1567" t="s">
        <v>8</v>
      </c>
      <c r="W15" s="1568">
        <f t="shared" si="2"/>
        <v>100</v>
      </c>
      <c r="X15" s="1569"/>
      <c r="Y15" s="3432"/>
      <c r="Z15" s="1148">
        <f t="shared" si="7"/>
        <v>111</v>
      </c>
      <c r="AA15" s="1570">
        <f t="shared" si="3"/>
        <v>1</v>
      </c>
      <c r="AB15" s="1570">
        <f t="shared" si="4"/>
        <v>1</v>
      </c>
      <c r="AC15" s="1570">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590"/>
      <c r="Q16" s="1149">
        <f t="shared" si="6"/>
        <v>111</v>
      </c>
      <c r="R16" s="1567" t="s">
        <v>8</v>
      </c>
      <c r="S16" s="1568">
        <f t="shared" si="0"/>
        <v>100</v>
      </c>
      <c r="T16" s="1567" t="s">
        <v>8</v>
      </c>
      <c r="U16" s="1568">
        <f t="shared" si="1"/>
        <v>100</v>
      </c>
      <c r="V16" s="1567" t="s">
        <v>8</v>
      </c>
      <c r="W16" s="1568">
        <f t="shared" si="2"/>
        <v>100</v>
      </c>
      <c r="X16" s="1569"/>
      <c r="Y16" s="3432"/>
      <c r="Z16" s="1148">
        <f t="shared" si="7"/>
        <v>111</v>
      </c>
      <c r="AA16" s="1570">
        <f t="shared" si="3"/>
        <v>1</v>
      </c>
      <c r="AB16" s="1570">
        <f t="shared" si="4"/>
        <v>1</v>
      </c>
      <c r="AC16" s="1570">
        <f t="shared" si="5"/>
        <v>1</v>
      </c>
    </row>
    <row r="17" spans="1:29" ht="57">
      <c r="A17" s="2932"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592" t="s">
        <v>540</v>
      </c>
      <c r="Q17" s="1571" t="str">
        <f t="shared" si="6"/>
        <v>产业集聚程度</v>
      </c>
      <c r="R17" s="1572" t="s">
        <v>8</v>
      </c>
      <c r="S17" s="1573">
        <f t="shared" si="0"/>
        <v>100</v>
      </c>
      <c r="T17" s="1572" t="s">
        <v>8</v>
      </c>
      <c r="U17" s="1573">
        <f t="shared" si="1"/>
        <v>100</v>
      </c>
      <c r="V17" s="1572" t="s">
        <v>8</v>
      </c>
      <c r="W17" s="1573">
        <f t="shared" si="2"/>
        <v>100</v>
      </c>
      <c r="X17" s="1566"/>
      <c r="Y17" s="3592"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593"/>
      <c r="Q18" s="1571"/>
      <c r="R18" s="1572"/>
      <c r="S18" s="1573"/>
      <c r="T18" s="1572"/>
      <c r="U18" s="1573"/>
      <c r="V18" s="1572"/>
      <c r="W18" s="1573"/>
      <c r="X18" s="1566"/>
      <c r="Y18" s="3593"/>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593"/>
      <c r="Q19" s="1571" t="str">
        <f>B19</f>
        <v>交通便捷度</v>
      </c>
      <c r="R19" s="1572" t="s">
        <v>8</v>
      </c>
      <c r="S19" s="1573">
        <f>F19</f>
        <v>100</v>
      </c>
      <c r="T19" s="1572" t="s">
        <v>8</v>
      </c>
      <c r="U19" s="1573">
        <f>H19</f>
        <v>100</v>
      </c>
      <c r="V19" s="1572" t="s">
        <v>8</v>
      </c>
      <c r="W19" s="1573">
        <f>J19</f>
        <v>100</v>
      </c>
      <c r="X19" s="1566"/>
      <c r="Y19" s="3593"/>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593"/>
      <c r="Q20" s="1571"/>
      <c r="R20" s="1572"/>
      <c r="S20" s="1573"/>
      <c r="T20" s="1572"/>
      <c r="U20" s="1573"/>
      <c r="V20" s="1572"/>
      <c r="W20" s="1573"/>
      <c r="X20" s="1566"/>
      <c r="Y20" s="3593"/>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593"/>
      <c r="Q21" s="1571" t="str">
        <f t="shared" ref="Q21:Q35" si="8">B21</f>
        <v>区域土地利用方向</v>
      </c>
      <c r="R21" s="1572" t="s">
        <v>8</v>
      </c>
      <c r="S21" s="1573">
        <f>F21</f>
        <v>100</v>
      </c>
      <c r="T21" s="1572" t="s">
        <v>8</v>
      </c>
      <c r="U21" s="1573">
        <f>H21</f>
        <v>100</v>
      </c>
      <c r="V21" s="1572" t="s">
        <v>8</v>
      </c>
      <c r="W21" s="1573">
        <f>J21</f>
        <v>100</v>
      </c>
      <c r="X21" s="1566"/>
      <c r="Y21" s="3593"/>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593"/>
      <c r="Q22" s="1571"/>
      <c r="R22" s="1572"/>
      <c r="S22" s="1573"/>
      <c r="T22" s="1572"/>
      <c r="U22" s="1573"/>
      <c r="V22" s="1572"/>
      <c r="W22" s="1573"/>
      <c r="X22" s="1566"/>
      <c r="Y22" s="3593"/>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593"/>
      <c r="Q23" s="1571" t="str">
        <f t="shared" si="8"/>
        <v>环境状况</v>
      </c>
      <c r="R23" s="1572" t="s">
        <v>8</v>
      </c>
      <c r="S23" s="1573">
        <f>F23</f>
        <v>100</v>
      </c>
      <c r="T23" s="1572" t="s">
        <v>8</v>
      </c>
      <c r="U23" s="1573">
        <f>H23</f>
        <v>100</v>
      </c>
      <c r="V23" s="1572" t="s">
        <v>8</v>
      </c>
      <c r="W23" s="1573">
        <f>J23</f>
        <v>100</v>
      </c>
      <c r="X23" s="1566"/>
      <c r="Y23" s="3593"/>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593"/>
      <c r="Q24" s="1571"/>
      <c r="R24" s="1572"/>
      <c r="S24" s="1573"/>
      <c r="T24" s="1572"/>
      <c r="U24" s="1573"/>
      <c r="V24" s="1572"/>
      <c r="W24" s="1573"/>
      <c r="X24" s="1566"/>
      <c r="Y24" s="3593"/>
      <c r="Z24" s="1574"/>
      <c r="AA24" s="1575">
        <v>1</v>
      </c>
      <c r="AB24" s="1575">
        <v>1</v>
      </c>
      <c r="AC24" s="1575">
        <v>1</v>
      </c>
    </row>
    <row r="25" spans="1:29" s="1218" customFormat="1" ht="42.75">
      <c r="A25" s="575"/>
      <c r="B25" s="2615"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593"/>
      <c r="Q25" s="1149" t="str">
        <f t="shared" si="8"/>
        <v>公共配套设施</v>
      </c>
      <c r="R25" s="1567" t="s">
        <v>8</v>
      </c>
      <c r="S25" s="1568">
        <f>F25</f>
        <v>100</v>
      </c>
      <c r="T25" s="1567" t="s">
        <v>8</v>
      </c>
      <c r="U25" s="1568">
        <f>H25</f>
        <v>100</v>
      </c>
      <c r="V25" s="1567" t="s">
        <v>8</v>
      </c>
      <c r="W25" s="1568">
        <f>J25</f>
        <v>100</v>
      </c>
      <c r="X25" s="1569"/>
      <c r="Y25" s="3593"/>
      <c r="Z25" s="1148" t="str">
        <f>Q25</f>
        <v>公共配套设施</v>
      </c>
      <c r="AA25" s="1575">
        <f>D25/F25</f>
        <v>1</v>
      </c>
      <c r="AB25" s="1575">
        <f>D25/H25</f>
        <v>1</v>
      </c>
      <c r="AC25" s="1575">
        <f>D25/J25</f>
        <v>1</v>
      </c>
    </row>
    <row r="26" spans="1:29" s="1218" customFormat="1" ht="15">
      <c r="A26" s="575"/>
      <c r="B26" s="593"/>
      <c r="C26" s="2614"/>
      <c r="D26" s="553"/>
      <c r="E26" s="552"/>
      <c r="F26" s="553"/>
      <c r="G26" s="552"/>
      <c r="H26" s="553"/>
      <c r="I26" s="574"/>
      <c r="J26" s="553"/>
      <c r="K26" s="529"/>
      <c r="L26" s="2135"/>
      <c r="M26" s="2136"/>
      <c r="N26" s="2136"/>
      <c r="O26" s="2137"/>
      <c r="P26" s="3593"/>
      <c r="Q26" s="1149"/>
      <c r="R26" s="1567"/>
      <c r="S26" s="1568"/>
      <c r="T26" s="1567"/>
      <c r="U26" s="1568"/>
      <c r="V26" s="1567"/>
      <c r="W26" s="1568"/>
      <c r="X26" s="1569"/>
      <c r="Y26" s="3593"/>
      <c r="Z26" s="1148"/>
      <c r="AA26" s="1570">
        <v>1</v>
      </c>
      <c r="AB26" s="1570">
        <v>1</v>
      </c>
      <c r="AC26" s="1570">
        <v>1</v>
      </c>
    </row>
    <row r="27" spans="1:29" s="1218" customFormat="1" ht="28.5">
      <c r="A27" s="575"/>
      <c r="B27" s="2615"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593"/>
      <c r="Q27" s="2600" t="str">
        <f t="shared" ref="Q27" si="9">B27</f>
        <v>基础设施水平</v>
      </c>
      <c r="R27" s="1567" t="s">
        <v>8</v>
      </c>
      <c r="S27" s="1568">
        <f>F27</f>
        <v>100</v>
      </c>
      <c r="T27" s="1567" t="s">
        <v>8</v>
      </c>
      <c r="U27" s="1568">
        <f>H27</f>
        <v>100</v>
      </c>
      <c r="V27" s="1567" t="s">
        <v>8</v>
      </c>
      <c r="W27" s="1568">
        <f>J27</f>
        <v>100</v>
      </c>
      <c r="X27" s="1569"/>
      <c r="Y27" s="3593"/>
      <c r="Z27" s="2597" t="str">
        <f>Q27</f>
        <v>基础设施水平</v>
      </c>
      <c r="AA27" s="1575">
        <f>D27/F27</f>
        <v>1</v>
      </c>
      <c r="AB27" s="1575">
        <f>D27/H27</f>
        <v>1</v>
      </c>
      <c r="AC27" s="1575">
        <f>D27/J27</f>
        <v>1</v>
      </c>
    </row>
    <row r="28" spans="1:29" s="1218" customFormat="1" ht="15">
      <c r="A28" s="575"/>
      <c r="B28" s="593"/>
      <c r="C28" s="2614"/>
      <c r="D28" s="553"/>
      <c r="E28" s="577"/>
      <c r="F28" s="553"/>
      <c r="G28" s="577"/>
      <c r="H28" s="553"/>
      <c r="I28" s="577"/>
      <c r="J28" s="553"/>
      <c r="K28" s="529"/>
      <c r="L28" s="2135"/>
      <c r="M28" s="2136"/>
      <c r="N28" s="2136"/>
      <c r="O28" s="2137"/>
      <c r="P28" s="3593"/>
      <c r="Q28" s="2600"/>
      <c r="R28" s="1567"/>
      <c r="S28" s="1568"/>
      <c r="T28" s="1567"/>
      <c r="U28" s="1568"/>
      <c r="V28" s="1567"/>
      <c r="W28" s="1568"/>
      <c r="X28" s="1569"/>
      <c r="Y28" s="3593"/>
      <c r="Z28" s="2597"/>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59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93"/>
      <c r="Z29" s="1574" t="str">
        <f t="shared" ref="Z29:Z42" si="13">Q29</f>
        <v>临街状况</v>
      </c>
      <c r="AA29" s="1575">
        <f t="shared" si="3"/>
        <v>1</v>
      </c>
      <c r="AB29" s="1575">
        <f t="shared" si="4"/>
        <v>1</v>
      </c>
      <c r="AC29" s="1575">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593"/>
      <c r="Q30" s="1571" t="str">
        <f t="shared" si="8"/>
        <v>毗邻道路的类型与等级</v>
      </c>
      <c r="R30" s="1572" t="s">
        <v>8</v>
      </c>
      <c r="S30" s="1573">
        <f t="shared" si="10"/>
        <v>100</v>
      </c>
      <c r="T30" s="1572" t="s">
        <v>8</v>
      </c>
      <c r="U30" s="1573">
        <f t="shared" si="11"/>
        <v>100</v>
      </c>
      <c r="V30" s="1572" t="s">
        <v>8</v>
      </c>
      <c r="W30" s="1573">
        <f t="shared" si="12"/>
        <v>100</v>
      </c>
      <c r="X30" s="1566"/>
      <c r="Y30" s="3593"/>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593"/>
      <c r="Q31" s="1571"/>
      <c r="R31" s="1572"/>
      <c r="S31" s="1573"/>
      <c r="T31" s="1572"/>
      <c r="U31" s="1573"/>
      <c r="V31" s="1572"/>
      <c r="W31" s="1573"/>
      <c r="X31" s="1566"/>
      <c r="Y31" s="3593"/>
      <c r="Z31" s="1574"/>
      <c r="AA31" s="1575">
        <v>1</v>
      </c>
      <c r="AB31" s="1575">
        <v>1</v>
      </c>
      <c r="AC31" s="1575">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593"/>
      <c r="Q32" s="1571" t="str">
        <f t="shared" si="8"/>
        <v>土地级别</v>
      </c>
      <c r="R32" s="1572" t="s">
        <v>8</v>
      </c>
      <c r="S32" s="1573">
        <f t="shared" si="10"/>
        <v>100</v>
      </c>
      <c r="T32" s="1572" t="s">
        <v>8</v>
      </c>
      <c r="U32" s="1573">
        <f t="shared" si="11"/>
        <v>100</v>
      </c>
      <c r="V32" s="1572" t="s">
        <v>8</v>
      </c>
      <c r="W32" s="1573">
        <f t="shared" si="12"/>
        <v>100</v>
      </c>
      <c r="X32" s="1566"/>
      <c r="Y32" s="3593"/>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593"/>
      <c r="Q33" s="1571">
        <f t="shared" si="8"/>
        <v>111</v>
      </c>
      <c r="R33" s="1572" t="s">
        <v>8</v>
      </c>
      <c r="S33" s="1573">
        <f t="shared" si="10"/>
        <v>100</v>
      </c>
      <c r="T33" s="1572" t="s">
        <v>8</v>
      </c>
      <c r="U33" s="1573">
        <f t="shared" si="11"/>
        <v>100</v>
      </c>
      <c r="V33" s="1572" t="s">
        <v>8</v>
      </c>
      <c r="W33" s="1573">
        <f t="shared" si="12"/>
        <v>100</v>
      </c>
      <c r="X33" s="1566"/>
      <c r="Y33" s="3593"/>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594" t="s">
        <v>550</v>
      </c>
      <c r="Q34" s="1571">
        <f t="shared" si="8"/>
        <v>111</v>
      </c>
      <c r="R34" s="1572" t="s">
        <v>8</v>
      </c>
      <c r="S34" s="1573">
        <f t="shared" si="10"/>
        <v>100</v>
      </c>
      <c r="T34" s="1572" t="s">
        <v>8</v>
      </c>
      <c r="U34" s="1573">
        <f t="shared" si="11"/>
        <v>100</v>
      </c>
      <c r="V34" s="1572" t="s">
        <v>8</v>
      </c>
      <c r="W34" s="1573">
        <f t="shared" si="12"/>
        <v>100</v>
      </c>
      <c r="X34" s="1566"/>
      <c r="Y34" s="3595" t="s">
        <v>550</v>
      </c>
      <c r="Z34" s="1574">
        <f t="shared" si="13"/>
        <v>111</v>
      </c>
      <c r="AA34" s="1575">
        <f t="shared" si="3"/>
        <v>1</v>
      </c>
      <c r="AB34" s="1575">
        <f t="shared" si="4"/>
        <v>1</v>
      </c>
      <c r="AC34" s="1575">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595"/>
      <c r="Q35" s="1571">
        <f t="shared" si="8"/>
        <v>111</v>
      </c>
      <c r="R35" s="1576" t="s">
        <v>8</v>
      </c>
      <c r="S35" s="1577">
        <f t="shared" si="10"/>
        <v>100</v>
      </c>
      <c r="T35" s="1576" t="s">
        <v>8</v>
      </c>
      <c r="U35" s="1577">
        <f t="shared" si="11"/>
        <v>100</v>
      </c>
      <c r="V35" s="1576" t="s">
        <v>8</v>
      </c>
      <c r="W35" s="1577">
        <f t="shared" si="12"/>
        <v>100</v>
      </c>
      <c r="X35" s="1578"/>
      <c r="Y35" s="3595"/>
      <c r="Z35" s="1579">
        <f t="shared" si="13"/>
        <v>111</v>
      </c>
      <c r="AA35" s="1575">
        <f t="shared" si="3"/>
        <v>1</v>
      </c>
      <c r="AB35" s="1575">
        <f t="shared" si="4"/>
        <v>1</v>
      </c>
      <c r="AC35" s="1575">
        <f t="shared" si="5"/>
        <v>1</v>
      </c>
    </row>
    <row r="36" spans="1:29" ht="15">
      <c r="A36" s="2929"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595"/>
      <c r="Q36" s="1571" t="str">
        <f>B36</f>
        <v>宗地面积</v>
      </c>
      <c r="R36" s="1572" t="s">
        <v>8</v>
      </c>
      <c r="S36" s="1573" t="e">
        <f t="shared" si="10"/>
        <v>#N/A</v>
      </c>
      <c r="T36" s="1572" t="s">
        <v>8</v>
      </c>
      <c r="U36" s="1573" t="e">
        <f t="shared" si="11"/>
        <v>#N/A</v>
      </c>
      <c r="V36" s="1572" t="s">
        <v>8</v>
      </c>
      <c r="W36" s="1573" t="e">
        <f t="shared" si="12"/>
        <v>#N/A</v>
      </c>
      <c r="X36" s="1566"/>
      <c r="Y36" s="3595"/>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595"/>
      <c r="Q37" s="1571" t="str">
        <f t="shared" ref="Q37:Q42" si="14">B37</f>
        <v>宗地形状</v>
      </c>
      <c r="R37" s="1572" t="s">
        <v>8</v>
      </c>
      <c r="S37" s="1573">
        <f t="shared" si="10"/>
        <v>100</v>
      </c>
      <c r="T37" s="1572" t="s">
        <v>8</v>
      </c>
      <c r="U37" s="1573">
        <f t="shared" si="11"/>
        <v>100</v>
      </c>
      <c r="V37" s="1572" t="s">
        <v>8</v>
      </c>
      <c r="W37" s="1573">
        <f t="shared" si="12"/>
        <v>100</v>
      </c>
      <c r="X37" s="1566"/>
      <c r="Y37" s="3595"/>
      <c r="Z37" s="1574" t="str">
        <f t="shared" si="13"/>
        <v>宗地形状</v>
      </c>
      <c r="AA37" s="1575">
        <f t="shared" si="3"/>
        <v>1</v>
      </c>
      <c r="AB37" s="1575">
        <f t="shared" si="4"/>
        <v>1</v>
      </c>
      <c r="AC37" s="1575">
        <f t="shared" si="5"/>
        <v>1</v>
      </c>
    </row>
    <row r="38" spans="1:29" s="1218" customFormat="1" ht="15">
      <c r="A38" s="598"/>
      <c r="B38" s="1895"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595"/>
      <c r="Q38" s="1571" t="str">
        <f t="shared" si="14"/>
        <v>宗地开发程度</v>
      </c>
      <c r="R38" s="1567" t="s">
        <v>8</v>
      </c>
      <c r="S38" s="1568">
        <f t="shared" si="10"/>
        <v>100</v>
      </c>
      <c r="T38" s="1567" t="s">
        <v>8</v>
      </c>
      <c r="U38" s="1568">
        <f t="shared" si="11"/>
        <v>100</v>
      </c>
      <c r="V38" s="1567" t="s">
        <v>8</v>
      </c>
      <c r="W38" s="1568">
        <f t="shared" si="12"/>
        <v>100</v>
      </c>
      <c r="X38" s="1569"/>
      <c r="Y38" s="3595"/>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95" t="s">
        <v>601</v>
      </c>
      <c r="Q39" s="1571" t="str">
        <f t="shared" si="14"/>
        <v>工程地质条件</v>
      </c>
      <c r="R39" s="1572" t="s">
        <v>8</v>
      </c>
      <c r="S39" s="1573">
        <f t="shared" si="10"/>
        <v>100</v>
      </c>
      <c r="T39" s="1572" t="s">
        <v>8</v>
      </c>
      <c r="U39" s="1573">
        <f t="shared" si="11"/>
        <v>100</v>
      </c>
      <c r="V39" s="1572" t="s">
        <v>8</v>
      </c>
      <c r="W39" s="1573">
        <f t="shared" si="12"/>
        <v>100</v>
      </c>
      <c r="X39" s="1566"/>
      <c r="Y39" s="3595"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595"/>
      <c r="Q40" s="1571">
        <f t="shared" si="14"/>
        <v>111</v>
      </c>
      <c r="R40" s="1572" t="s">
        <v>8</v>
      </c>
      <c r="S40" s="1573">
        <f t="shared" si="10"/>
        <v>100</v>
      </c>
      <c r="T40" s="1572" t="s">
        <v>8</v>
      </c>
      <c r="U40" s="1573">
        <f t="shared" si="11"/>
        <v>100</v>
      </c>
      <c r="V40" s="1572" t="s">
        <v>8</v>
      </c>
      <c r="W40" s="1573">
        <f t="shared" si="12"/>
        <v>100</v>
      </c>
      <c r="X40" s="1566"/>
      <c r="Y40" s="3595"/>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595"/>
      <c r="Q41" s="1571">
        <f t="shared" si="14"/>
        <v>111</v>
      </c>
      <c r="R41" s="1572" t="s">
        <v>8</v>
      </c>
      <c r="S41" s="1573">
        <f t="shared" si="10"/>
        <v>100</v>
      </c>
      <c r="T41" s="1572" t="s">
        <v>8</v>
      </c>
      <c r="U41" s="1573">
        <f t="shared" si="11"/>
        <v>100</v>
      </c>
      <c r="V41" s="1572" t="s">
        <v>8</v>
      </c>
      <c r="W41" s="1573">
        <f t="shared" si="12"/>
        <v>100</v>
      </c>
      <c r="X41" s="1566"/>
      <c r="Y41" s="3595"/>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595"/>
      <c r="Q42" s="1571">
        <f t="shared" si="14"/>
        <v>111</v>
      </c>
      <c r="R42" s="1576" t="s">
        <v>8</v>
      </c>
      <c r="S42" s="1577">
        <f t="shared" si="10"/>
        <v>100</v>
      </c>
      <c r="T42" s="1576" t="s">
        <v>8</v>
      </c>
      <c r="U42" s="1577">
        <f t="shared" si="11"/>
        <v>100</v>
      </c>
      <c r="V42" s="1576" t="s">
        <v>8</v>
      </c>
      <c r="W42" s="1577">
        <f t="shared" si="12"/>
        <v>100</v>
      </c>
      <c r="X42" s="1578"/>
      <c r="Y42" s="3595"/>
      <c r="Z42" s="1579">
        <f t="shared" si="13"/>
        <v>111</v>
      </c>
      <c r="AA42" s="1575">
        <f t="shared" si="3"/>
        <v>1</v>
      </c>
      <c r="AB42" s="1575">
        <f t="shared" si="4"/>
        <v>1</v>
      </c>
      <c r="AC42" s="1575">
        <f t="shared" si="5"/>
        <v>1</v>
      </c>
    </row>
    <row r="43" spans="1:29" ht="15">
      <c r="A43" s="605" t="s">
        <v>556</v>
      </c>
      <c r="B43" s="606" t="s">
        <v>2935</v>
      </c>
      <c r="C43" s="607" t="s">
        <v>1</v>
      </c>
      <c r="D43" s="608"/>
      <c r="E43" s="609"/>
      <c r="F43" s="610"/>
      <c r="G43" s="611"/>
      <c r="H43" s="612"/>
      <c r="I43" s="609"/>
      <c r="J43" s="612"/>
      <c r="K43" s="1338"/>
      <c r="L43" s="2144"/>
      <c r="M43" s="2134"/>
      <c r="N43" s="2134"/>
      <c r="O43" s="2145"/>
      <c r="P43" s="3590" t="str">
        <f>A43</f>
        <v>成交单价</v>
      </c>
      <c r="Q43" s="3590"/>
      <c r="R43" s="3604">
        <f>E43</f>
        <v>0</v>
      </c>
      <c r="S43" s="3604"/>
      <c r="T43" s="3604">
        <f>G43</f>
        <v>0</v>
      </c>
      <c r="U43" s="3604"/>
      <c r="V43" s="3604">
        <f>I43</f>
        <v>0</v>
      </c>
      <c r="W43" s="3604"/>
      <c r="X43" s="1558"/>
      <c r="Y43" s="1580"/>
      <c r="Z43" s="1558"/>
      <c r="AA43" s="1558"/>
      <c r="AB43" s="1558"/>
      <c r="AC43" s="1558"/>
    </row>
    <row r="44" spans="1:29" ht="15.75" thickBot="1">
      <c r="A44" s="613" t="s">
        <v>2697</v>
      </c>
      <c r="B44" s="614"/>
      <c r="C44" s="615" t="e">
        <f>R45</f>
        <v>#DIV/0!</v>
      </c>
      <c r="D44" s="616"/>
      <c r="E44" s="615" t="e">
        <f>R44</f>
        <v>#DIV/0!</v>
      </c>
      <c r="F44" s="617"/>
      <c r="G44" s="618" t="e">
        <f>T44</f>
        <v>#DIV/0!</v>
      </c>
      <c r="H44" s="616"/>
      <c r="I44" s="615" t="e">
        <f>V44</f>
        <v>#DIV/0!</v>
      </c>
      <c r="J44" s="616"/>
      <c r="K44" s="1339"/>
      <c r="L44" s="2144"/>
      <c r="M44" s="2134"/>
      <c r="N44" s="2134"/>
      <c r="O44" s="2145"/>
      <c r="P44" s="3590" t="str">
        <f>A44</f>
        <v>比较价格（元/平方米）</v>
      </c>
      <c r="Q44" s="3590"/>
      <c r="R44" s="3614" t="e">
        <f>ROUND(PRODUCT(R43,AA9:AA42),0)</f>
        <v>#DIV/0!</v>
      </c>
      <c r="S44" s="3614"/>
      <c r="T44" s="3614" t="e">
        <f>ROUND(PRODUCT(T43,AB9:AB42),0)</f>
        <v>#DIV/0!</v>
      </c>
      <c r="U44" s="3614"/>
      <c r="V44" s="3614" t="e">
        <f>ROUND(PRODUCT(V43,AC9:AC42),0)</f>
        <v>#DIV/0!</v>
      </c>
      <c r="W44" s="3614"/>
      <c r="X44" s="1558"/>
      <c r="Y44" s="1558"/>
      <c r="Z44" s="1558"/>
      <c r="AA44" s="1558"/>
      <c r="AB44" s="1558"/>
      <c r="AC44" s="1558"/>
    </row>
    <row r="45" spans="1:29" ht="15.75" thickBot="1">
      <c r="A45" s="619" t="s">
        <v>2936</v>
      </c>
      <c r="B45" s="620"/>
      <c r="C45" s="621" t="e">
        <f>R45</f>
        <v>#DIV/0!</v>
      </c>
      <c r="D45" s="621"/>
      <c r="E45" s="621"/>
      <c r="F45" s="621"/>
      <c r="G45" s="621"/>
      <c r="H45" s="621"/>
      <c r="I45" s="621"/>
      <c r="J45" s="621"/>
      <c r="K45" s="1340"/>
      <c r="L45" s="2144"/>
      <c r="M45" s="2134"/>
      <c r="N45" s="2134"/>
      <c r="O45" s="2145"/>
      <c r="P45" s="3611" t="str">
        <f>A45</f>
        <v>估价对象XX用房的比较价格（楼面单价，元/平方米）</v>
      </c>
      <c r="Q45" s="3612"/>
      <c r="R45" s="3613" t="e">
        <f>ROUND(AVERAGE(R44:V44),0)</f>
        <v>#DIV/0!</v>
      </c>
      <c r="S45" s="3613"/>
      <c r="T45" s="3613"/>
      <c r="U45" s="3613"/>
      <c r="V45" s="3613"/>
      <c r="W45" s="361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615" t="s">
        <v>2287</v>
      </c>
      <c r="H52" s="3616"/>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10000</v>
      </c>
      <c r="F53" s="1950" t="e">
        <f t="shared" ref="F53:F62" si="15">ROUND(B53*E53/10000,0)</f>
        <v>#DIV/0!</v>
      </c>
      <c r="G53" s="3617"/>
      <c r="H53" s="361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619"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61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61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61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6">
        <f t="shared" si="16"/>
        <v>0.3</v>
      </c>
      <c r="D58" s="2229">
        <v>0.25</v>
      </c>
      <c r="E58" s="639">
        <f>'数据-汇总表'!E11</f>
        <v>0</v>
      </c>
      <c r="F58" s="1950" t="e">
        <f t="shared" si="15"/>
        <v>#DIV/0!</v>
      </c>
      <c r="G58" s="1956" t="s">
        <v>2289</v>
      </c>
      <c r="H58" s="1955" t="str">
        <f>项目基本情况!C43</f>
        <v>二级</v>
      </c>
      <c r="I58" s="1953">
        <f>SUMIF(修正!$A$45:$A$56,H58,修正!F45:F56)</f>
        <v>0.3</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0.3</v>
      </c>
      <c r="D59" s="2229">
        <v>0.25</v>
      </c>
      <c r="E59" s="639">
        <f>'数据-汇总表'!E12</f>
        <v>0</v>
      </c>
      <c r="F59" s="1950" t="e">
        <f t="shared" si="15"/>
        <v>#DIV/0!</v>
      </c>
      <c r="G59" s="1946" t="s">
        <v>1678</v>
      </c>
      <c r="H59" s="1954" t="str">
        <f>IF(G59="商业",项目基本情况!B43,IF(G59="办公",项目基本情况!C43,IF(G59="住宅",项目基本情况!D43,项目基本情况!E43)))</f>
        <v>二级</v>
      </c>
      <c r="I59" s="1953">
        <f>SUMIF(修正!$A$45:$A$56,H59,修正!G45:G56)</f>
        <v>0.3</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0.25</v>
      </c>
      <c r="D62" s="2229">
        <v>0.25</v>
      </c>
      <c r="E62" s="639">
        <f>'数据-汇总表'!E15</f>
        <v>0</v>
      </c>
      <c r="F62" s="1950" t="e">
        <f t="shared" si="15"/>
        <v>#DIV/0!</v>
      </c>
      <c r="G62" s="1957" t="s">
        <v>2289</v>
      </c>
      <c r="H62" s="1958" t="str">
        <f>项目基本情况!C43</f>
        <v>二级</v>
      </c>
      <c r="I62" s="1953">
        <f>SUMIF(修正!$A$45:$A$56,H62,修正!H45:H56)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0" t="s">
        <v>2537</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0" t="s">
        <v>2653</v>
      </c>
      <c r="B68" s="477" t="str">
        <f>"北京市平均增长率"&amp;TEXT(基准地价!P24,"0.00%")</f>
        <v>北京市平均增长率1.35%</v>
      </c>
      <c r="C68" s="892">
        <v>100</v>
      </c>
      <c r="D68" s="728"/>
      <c r="E68" s="728"/>
      <c r="F68" s="728"/>
      <c r="G68" s="728"/>
      <c r="H68" s="728"/>
      <c r="I68" s="728"/>
      <c r="J68" s="728"/>
      <c r="K68" s="728"/>
      <c r="L68" s="728"/>
      <c r="M68" s="2814"/>
      <c r="N68" s="2815"/>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2"/>
      <c r="D69" s="2813"/>
      <c r="E69" s="2813"/>
      <c r="F69" s="2813"/>
      <c r="G69" s="2813"/>
      <c r="H69" s="2813"/>
      <c r="I69" s="2813"/>
      <c r="J69" s="2813"/>
      <c r="K69" s="2813"/>
      <c r="L69" s="2813"/>
      <c r="M69" s="2813"/>
      <c r="N69" s="2813"/>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2552</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19" t="s">
        <v>2554</v>
      </c>
      <c r="C95" s="2620" t="s">
        <v>2555</v>
      </c>
      <c r="D95" s="2620" t="s">
        <v>2556</v>
      </c>
      <c r="E95" s="2620" t="s">
        <v>2557</v>
      </c>
      <c r="F95" s="2620" t="s">
        <v>2558</v>
      </c>
      <c r="G95" s="2620" t="s">
        <v>2559</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90" zoomScaleNormal="90" workbookViewId="0">
      <selection activeCell="G21" sqref="G21"/>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10000</v>
      </c>
      <c r="E1" s="1405" t="s">
        <v>2431</v>
      </c>
      <c r="F1" s="2474">
        <f>'数据-基础表'!A3</f>
        <v>2079.0700000000002</v>
      </c>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8" t="s">
        <v>2765</v>
      </c>
      <c r="S1" s="2958" t="s">
        <v>2766</v>
      </c>
      <c r="T1" s="2958" t="s">
        <v>2787</v>
      </c>
      <c r="U1" s="2958" t="s">
        <v>2788</v>
      </c>
      <c r="V1" s="2958" t="s">
        <v>2789</v>
      </c>
      <c r="W1" s="2189"/>
      <c r="X1" s="2189"/>
      <c r="Y1" s="2189"/>
      <c r="Z1" s="2189"/>
      <c r="AA1" s="2189"/>
      <c r="AB1" s="2189"/>
      <c r="AC1" s="2190"/>
    </row>
    <row r="2" spans="1:39" ht="15.75">
      <c r="A2" s="1405" t="s">
        <v>920</v>
      </c>
      <c r="B2" s="1036">
        <f ca="1">C26</f>
        <v>35903</v>
      </c>
      <c r="C2" s="1406" t="s">
        <v>921</v>
      </c>
      <c r="D2" s="1407" t="s">
        <v>922</v>
      </c>
      <c r="E2" s="1408" t="s">
        <v>1678</v>
      </c>
      <c r="F2" s="1407" t="s">
        <v>924</v>
      </c>
      <c r="G2" s="1651" t="str">
        <f>IF(E2="商业",项目基本情况!B43,IF(E2="办公",项目基本情况!C43,IF(E2="住宅",项目基本情况!D43,项目基本情况!E43)))</f>
        <v>二级</v>
      </c>
      <c r="H2" s="1407" t="s">
        <v>926</v>
      </c>
      <c r="I2" s="1652" t="str">
        <f>IF(E2="商业",项目基本情况!B44,IF(E2="办公",项目基本情况!C44,IF(E2="住宅",项目基本情况!D44,项目基本情况!E44)))</f>
        <v>Ⅱ—01</v>
      </c>
      <c r="J2" s="1409"/>
      <c r="K2" s="1400"/>
      <c r="L2" s="1885" t="s">
        <v>2242</v>
      </c>
      <c r="M2" s="1886">
        <f>SUMPRODUCT((区片价!B10:B28=I2)*(区片价!C3:F3=E2)*(区片价!C10:F28))</f>
        <v>26180</v>
      </c>
      <c r="N2" s="1887">
        <f>SUMPRODUCT((因素修正幅度!B10:B28=I2)*(因素修正幅度!C3:F3=E2)*(因素修正幅度!C10:F28))</f>
        <v>7.2999999999999995E-2</v>
      </c>
      <c r="O2" s="2189"/>
      <c r="P2" s="2189"/>
      <c r="Q2" s="2189"/>
      <c r="R2" s="2959">
        <v>1</v>
      </c>
      <c r="S2" s="2959">
        <f>ROUND(IF(G3&gt;1,IF(R2&lt;7,SUMPRODUCT((B93:B98=R2)*(C92:N92=G2)*(C93:N98)),SUMIF(C92:N92,G2,C100:N100)),IF(R2&lt;7,SUMPRODUCT((B102:B107=R2)*(C92:N92=G2)*(C102:N107)),SUMIF(C92:N92,G2,C109:N109))),4)</f>
        <v>1.9361999999999999</v>
      </c>
      <c r="T2" s="2959">
        <f ca="1">ROUND($C$5*$C$18*$C$19*$C$20*S2*$C$24,0)</f>
        <v>69516</v>
      </c>
      <c r="U2" s="2948"/>
      <c r="V2" s="2959">
        <f ca="1">ROUND(T2*U2/10000,0)</f>
        <v>0</v>
      </c>
      <c r="W2" s="2189"/>
      <c r="X2" s="2189"/>
      <c r="Y2" s="2189"/>
      <c r="Z2" s="2189"/>
      <c r="AA2" s="2189"/>
      <c r="AB2" s="2189"/>
      <c r="AC2" s="2190"/>
    </row>
    <row r="3" spans="1:39" ht="24">
      <c r="A3" s="1410" t="s">
        <v>1688</v>
      </c>
      <c r="B3" s="1036">
        <f ca="1">ROUND(B2*10000/D1,0)</f>
        <v>35903</v>
      </c>
      <c r="C3" s="1406" t="s">
        <v>927</v>
      </c>
      <c r="D3" s="1407" t="s">
        <v>928</v>
      </c>
      <c r="E3" s="1411" t="s">
        <v>3010</v>
      </c>
      <c r="F3" s="1412" t="s">
        <v>3011</v>
      </c>
      <c r="G3" s="1037">
        <f>IF(F3="宗地容积率",'数据-汇总表'!I4,IF(F3="估价对象容积率",'数据-汇总表'!I6,'数据-汇总表'!I7))</f>
        <v>3.5</v>
      </c>
      <c r="H3" s="1413" t="s">
        <v>929</v>
      </c>
      <c r="I3" s="1038"/>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59">
        <v>2</v>
      </c>
      <c r="S3" s="2959">
        <f>ROUND(IF(G3&gt;1,IF(R3&lt;7,SUMPRODUCT((B93:B98=R3)*(C92:N92=G2)*(C93:N98)),SUMIF(C92:N92,G2,C100:N100)),IF(R3&lt;7,SUMPRODUCT((B102:B107=R3)*(C92:N92=G2)*(C102:N107)),SUMIF(C92:N92,G2,C109:N109))),4)</f>
        <v>1.4198</v>
      </c>
      <c r="T3" s="2959">
        <f t="shared" ref="T3:T16" ca="1" si="0">ROUND($C$5*$C$18*$C$19*$C$20*S3*$C$24,0)</f>
        <v>50975</v>
      </c>
      <c r="U3" s="2948"/>
      <c r="V3" s="2959">
        <f t="shared" ref="V3:V16" ca="1" si="1">ROUND(T3*U3/10000,0)</f>
        <v>0</v>
      </c>
      <c r="W3" s="2189"/>
      <c r="X3" s="2189"/>
      <c r="Y3" s="2189"/>
      <c r="Z3" s="2189"/>
      <c r="AA3" s="2189"/>
      <c r="AB3" s="2189"/>
      <c r="AC3" s="2190"/>
    </row>
    <row r="4" spans="1:39" ht="28.5">
      <c r="A4" s="1891" t="s">
        <v>2283</v>
      </c>
      <c r="B4" s="2475">
        <f ca="1">ROUND(B2*10000/F1,0)</f>
        <v>172688</v>
      </c>
      <c r="C4" s="1894" t="s">
        <v>2257</v>
      </c>
      <c r="D4" s="1894">
        <f ca="1">ROUND(B2/(F1/666.67),0)</f>
        <v>11513</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59">
        <v>3</v>
      </c>
      <c r="S4" s="2959">
        <f>ROUND(IF(G3&gt;1,IF(R4&lt;7,SUMPRODUCT((B93:B98=R4)*(C92:N92=G2)*(C93:N98)),SUMIF(C92:N92,G2,C100:N100)),IF(R4&lt;7,SUMPRODUCT((B102:B107=R4)*(C92:N92=G2)*(C102:N107)),SUMIF(C92:N92,G2,C109:N109))),4)</f>
        <v>1.1594</v>
      </c>
      <c r="T4" s="2959">
        <f t="shared" ca="1" si="0"/>
        <v>41626</v>
      </c>
      <c r="U4" s="2948"/>
      <c r="V4" s="2959">
        <f t="shared" ca="1" si="1"/>
        <v>0</v>
      </c>
      <c r="W4" s="2189"/>
      <c r="X4" s="2189"/>
      <c r="Y4" s="2189"/>
      <c r="Z4" s="2189"/>
      <c r="AA4" s="2189"/>
      <c r="AB4" s="2189"/>
      <c r="AC4" s="2190"/>
    </row>
    <row r="5" spans="1:39" s="1420" customFormat="1" ht="15.75" thickBot="1">
      <c r="A5" s="1637" t="s">
        <v>1824</v>
      </c>
      <c r="B5" s="1414" t="s">
        <v>931</v>
      </c>
      <c r="C5" s="1039">
        <f>ROUND(IF(E2="商业",IF(F16="增加",C6*C7+C16,C6*C7-C16),IF(E2="住宅",IF(F16="增加",C6*C12+C16,C6*C12-C16),IF(F16="增加",C6+C16,C6-C16))),0)</f>
        <v>26180</v>
      </c>
      <c r="D5" s="3147">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59">
        <v>4</v>
      </c>
      <c r="S5" s="2959">
        <f>ROUND(IF(G3&gt;1,IF(R5&lt;7,SUMPRODUCT((B93:B98=R5)*(C92:N92=G2)*(C93:N98)),SUMIF(C92:N92,G2,C100:N100)),IF(R5&lt;7,SUMPRODUCT((B102:B107=R5)*(C92:N92=G2)*(C102:N107)),SUMIF(C92:N92,G2,C109:N109))),4)</f>
        <v>0.96220000000000006</v>
      </c>
      <c r="T5" s="2959">
        <f t="shared" ca="1" si="0"/>
        <v>34546</v>
      </c>
      <c r="U5" s="2948"/>
      <c r="V5" s="2959">
        <f t="shared" ca="1" si="1"/>
        <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26180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59">
        <v>5</v>
      </c>
      <c r="S6" s="2959">
        <f>ROUND(IF(G3&gt;1,IF(R6&lt;7,SUMPRODUCT((B93:B98=R6)*(C92:N92=G2)*(C93:N98)),SUMIF(C92:N92,G2,C100:N100)),IF(R6&lt;7,SUMPRODUCT((B102:B107=R6)*(C92:N92=G2)*(C102:N107)),SUMIF(C92:N92,G2,C109:N109))),4)</f>
        <v>0.8417</v>
      </c>
      <c r="T6" s="2959">
        <f t="shared" ca="1" si="0"/>
        <v>30220</v>
      </c>
      <c r="U6" s="2948"/>
      <c r="V6" s="2959">
        <f t="shared" ca="1" si="1"/>
        <v>0</v>
      </c>
      <c r="W6" s="2189"/>
      <c r="X6" s="2189"/>
      <c r="Y6" s="2189"/>
      <c r="Z6" s="2189"/>
      <c r="AA6" s="2189"/>
      <c r="AB6" s="2189"/>
      <c r="AC6" s="2191"/>
      <c r="AD6" s="1418"/>
      <c r="AE6" s="1418"/>
      <c r="AF6" s="1418"/>
      <c r="AG6" s="1418"/>
      <c r="AH6" s="1418"/>
      <c r="AI6" s="1418"/>
      <c r="AJ6" s="1419"/>
    </row>
    <row r="7" spans="1:39" ht="24">
      <c r="A7" s="3627" t="str">
        <f>IF(E2="商业",IF(C8="不临58条商业街","",2),"")</f>
        <v/>
      </c>
      <c r="B7" s="1426" t="s">
        <v>932</v>
      </c>
      <c r="C7" s="1041">
        <f>IF(C8="不临58条商业街",1,ROUND(1+(1.6*E8+1.2*E9+0.8*E10+0.4*E11)*C9,4))</f>
        <v>1</v>
      </c>
      <c r="D7" s="1427" t="s">
        <v>933</v>
      </c>
      <c r="E7" s="1042">
        <v>60</v>
      </c>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59">
        <v>6</v>
      </c>
      <c r="S7" s="2959">
        <f>ROUND(IF(G3&gt;1,IF(R7&lt;7,SUMPRODUCT((B93:B98=R7)*(C92:N92=G2)*(C93:N98)),SUMIF(C92:N92,G2,C100:N100)),IF(R7&lt;7,SUMPRODUCT((B102:B107=R7)*(C92:N92=G2)*(C102:N107)),SUMIF(C92:N92,G2,C109:N109))),4)</f>
        <v>0.76080000000000003</v>
      </c>
      <c r="T7" s="2959">
        <f t="shared" ca="1" si="0"/>
        <v>27315</v>
      </c>
      <c r="U7" s="2948"/>
      <c r="V7" s="2959">
        <f t="shared" ca="1" si="1"/>
        <v>0</v>
      </c>
      <c r="W7" s="2957" t="s">
        <v>2768</v>
      </c>
      <c r="X7" s="2949" t="str">
        <f>G2</f>
        <v>二级</v>
      </c>
      <c r="Y7" s="2949" t="s">
        <v>2769</v>
      </c>
      <c r="Z7" s="2950">
        <f>G3</f>
        <v>3.5</v>
      </c>
      <c r="AA7" s="2192"/>
      <c r="AB7" s="2192"/>
      <c r="AC7" s="2193"/>
      <c r="AD7" s="2951"/>
      <c r="AE7" s="2951"/>
      <c r="AF7" s="2951"/>
      <c r="AG7" s="2951"/>
      <c r="AH7" s="2951"/>
      <c r="AI7" s="2951"/>
      <c r="AJ7" s="2952"/>
    </row>
    <row r="8" spans="1:39" ht="15">
      <c r="A8" s="3628"/>
      <c r="B8" s="1413" t="s">
        <v>934</v>
      </c>
      <c r="C8" s="1528"/>
      <c r="D8" s="1043" t="s">
        <v>935</v>
      </c>
      <c r="E8" s="1044">
        <f>ROUND(C11/E7,4)</f>
        <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59">
        <v>7</v>
      </c>
      <c r="S8" s="2948"/>
      <c r="T8" s="2959">
        <f t="shared" ca="1" si="0"/>
        <v>0</v>
      </c>
      <c r="U8" s="2948"/>
      <c r="V8" s="2959">
        <f t="shared" ca="1" si="1"/>
        <v>0</v>
      </c>
      <c r="W8" s="3637" t="s">
        <v>2786</v>
      </c>
      <c r="X8" s="3638"/>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628"/>
      <c r="B9" s="1413" t="s">
        <v>937</v>
      </c>
      <c r="C9" s="1045">
        <f>SUMIF(修正!C59:C119,C8,修正!E59:E119)</f>
        <v>0</v>
      </c>
      <c r="D9" s="1046" t="s">
        <v>938</v>
      </c>
      <c r="E9" s="1046">
        <f>ROUND(C11/E7,4)</f>
        <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59">
        <v>8</v>
      </c>
      <c r="S9" s="2948"/>
      <c r="T9" s="2959">
        <f t="shared" ca="1" si="0"/>
        <v>0</v>
      </c>
      <c r="U9" s="2948"/>
      <c r="V9" s="2959">
        <f t="shared" ca="1" si="1"/>
        <v>0</v>
      </c>
      <c r="W9" s="3636" t="s">
        <v>2782</v>
      </c>
      <c r="X9" s="2953" t="s">
        <v>2783</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628"/>
      <c r="B10" s="1413" t="s">
        <v>940</v>
      </c>
      <c r="C10" s="1046">
        <f>SUMIF(修正!C59:C119,C8,修正!F59:F119)</f>
        <v>0</v>
      </c>
      <c r="D10" s="1046" t="s">
        <v>941</v>
      </c>
      <c r="E10" s="1046">
        <f>ROUND(C11/E7,4)</f>
        <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59">
        <v>9</v>
      </c>
      <c r="S10" s="2948"/>
      <c r="T10" s="2959">
        <f t="shared" ca="1" si="0"/>
        <v>0</v>
      </c>
      <c r="U10" s="2948"/>
      <c r="V10" s="2959">
        <f t="shared" ca="1" si="1"/>
        <v>0</v>
      </c>
      <c r="W10" s="363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628"/>
      <c r="B11" s="1434" t="s">
        <v>943</v>
      </c>
      <c r="C11" s="1047">
        <f>C10/4</f>
        <v>0</v>
      </c>
      <c r="D11" s="1047" t="s">
        <v>944</v>
      </c>
      <c r="E11" s="1047">
        <f>ROUND(C11/E7,4)</f>
        <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59">
        <v>10</v>
      </c>
      <c r="S11" s="2948"/>
      <c r="T11" s="2959">
        <f t="shared" ca="1" si="0"/>
        <v>0</v>
      </c>
      <c r="U11" s="2948"/>
      <c r="V11" s="2959">
        <f t="shared" ca="1" si="1"/>
        <v>0</v>
      </c>
      <c r="W11" s="3636" t="s">
        <v>2784</v>
      </c>
      <c r="X11" s="1046" t="s">
        <v>2769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627"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59">
        <v>11</v>
      </c>
      <c r="S12" s="2948"/>
      <c r="T12" s="2959">
        <f t="shared" ca="1" si="0"/>
        <v>0</v>
      </c>
      <c r="U12" s="2948"/>
      <c r="V12" s="2959">
        <f t="shared" ca="1" si="1"/>
        <v>0</v>
      </c>
      <c r="W12" s="3636"/>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629"/>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59">
        <v>12</v>
      </c>
      <c r="S13" s="2948"/>
      <c r="T13" s="2959">
        <f t="shared" ca="1" si="0"/>
        <v>0</v>
      </c>
      <c r="U13" s="2948"/>
      <c r="V13" s="2959">
        <f t="shared" ca="1" si="1"/>
        <v>0</v>
      </c>
      <c r="W13" s="3636"/>
      <c r="X13" s="2956"/>
      <c r="Y13" s="2955">
        <f>(-0.163*(Y12^2)-0.59*Y12+7617)*(10^(-4))/Y11</f>
        <v>0.21762857142857145</v>
      </c>
      <c r="Z13" s="2955">
        <f t="shared" ref="Z13:AJ13" si="5">(-0.163*(Z12^2)-0.59*Z12+7617)*(10^(-4))/Z11</f>
        <v>0.21762857142857145</v>
      </c>
      <c r="AA13" s="2955">
        <f t="shared" si="5"/>
        <v>0.21762857142857145</v>
      </c>
      <c r="AB13" s="2955">
        <f t="shared" si="5"/>
        <v>0.21762857142857145</v>
      </c>
      <c r="AC13" s="2955">
        <f t="shared" si="5"/>
        <v>0.21762857142857145</v>
      </c>
      <c r="AD13" s="2955">
        <f t="shared" si="5"/>
        <v>0.21762857142857145</v>
      </c>
      <c r="AE13" s="2955">
        <f t="shared" si="5"/>
        <v>0.21762857142857145</v>
      </c>
      <c r="AF13" s="2955">
        <f t="shared" si="5"/>
        <v>0.21762857142857145</v>
      </c>
      <c r="AG13" s="2955">
        <f t="shared" si="5"/>
        <v>0.21762857142857145</v>
      </c>
      <c r="AH13" s="2955">
        <f t="shared" si="5"/>
        <v>0.21762857142857145</v>
      </c>
      <c r="AI13" s="2955">
        <f t="shared" si="5"/>
        <v>0.21762857142857145</v>
      </c>
      <c r="AJ13" s="2955">
        <f t="shared" si="5"/>
        <v>0.21762857142857145</v>
      </c>
    </row>
    <row r="14" spans="1:39" ht="12.75" customHeight="1" thickBot="1">
      <c r="A14" s="3629"/>
      <c r="B14" s="1450"/>
      <c r="C14" s="1451"/>
      <c r="D14" s="1452"/>
      <c r="E14" s="1452"/>
      <c r="F14" s="1453"/>
      <c r="G14" s="1454" t="s">
        <v>949</v>
      </c>
      <c r="H14" s="1455"/>
      <c r="I14" s="1456"/>
      <c r="J14" s="1457"/>
      <c r="K14" s="1400"/>
      <c r="L14" s="2189"/>
      <c r="M14" s="2189"/>
      <c r="N14" s="2189"/>
      <c r="O14" s="2189"/>
      <c r="P14" s="2189"/>
      <c r="Q14" s="2189"/>
      <c r="R14" s="2959">
        <v>13</v>
      </c>
      <c r="S14" s="2948"/>
      <c r="T14" s="2959">
        <f t="shared" ca="1" si="0"/>
        <v>0</v>
      </c>
      <c r="U14" s="2948"/>
      <c r="V14" s="2959">
        <f t="shared" ca="1" si="1"/>
        <v>0</v>
      </c>
      <c r="W14" s="2189"/>
      <c r="X14" s="2189"/>
      <c r="Y14" s="2189"/>
      <c r="Z14" s="2189"/>
      <c r="AA14" s="2189"/>
      <c r="AB14" s="2189"/>
      <c r="AC14" s="2190"/>
    </row>
    <row r="15" spans="1:39" ht="13.5" customHeight="1" thickBot="1">
      <c r="A15" s="3630"/>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59">
        <v>14</v>
      </c>
      <c r="S15" s="2948"/>
      <c r="T15" s="2959">
        <f t="shared" ca="1" si="0"/>
        <v>0</v>
      </c>
      <c r="U15" s="2948"/>
      <c r="V15" s="2959">
        <f t="shared" ca="1" si="1"/>
        <v>0</v>
      </c>
      <c r="W15" s="2189"/>
      <c r="X15" s="2189"/>
      <c r="Y15" s="2189"/>
      <c r="Z15" s="2189"/>
      <c r="AA15" s="2189"/>
      <c r="AB15" s="2189"/>
      <c r="AC15" s="2190"/>
    </row>
    <row r="16" spans="1:39" ht="24">
      <c r="A16" s="3627" t="s">
        <v>1839</v>
      </c>
      <c r="B16" s="1426" t="s">
        <v>950</v>
      </c>
      <c r="C16" s="1052">
        <f>ROUND(SUM(G17:J17)/C17,0)</f>
        <v>0</v>
      </c>
      <c r="D16" s="1459" t="s">
        <v>951</v>
      </c>
      <c r="E16" s="1460" t="s">
        <v>3021</v>
      </c>
      <c r="F16" s="1461" t="s">
        <v>3022</v>
      </c>
      <c r="G16" s="1462"/>
      <c r="H16" s="1462"/>
      <c r="I16" s="1462"/>
      <c r="J16" s="1462"/>
      <c r="K16" s="1400"/>
      <c r="L16" s="1463" t="s">
        <v>988</v>
      </c>
      <c r="M16" s="1045">
        <v>0.25</v>
      </c>
      <c r="N16" s="1045">
        <v>0.2</v>
      </c>
      <c r="O16" s="1045">
        <v>0.15</v>
      </c>
      <c r="P16" s="1538">
        <v>0.1</v>
      </c>
      <c r="Q16" s="2192"/>
      <c r="R16" s="2959">
        <v>15</v>
      </c>
      <c r="S16" s="2948"/>
      <c r="T16" s="2959">
        <f t="shared" ca="1" si="0"/>
        <v>0</v>
      </c>
      <c r="U16" s="2948"/>
      <c r="V16" s="2959">
        <f t="shared" ca="1" si="1"/>
        <v>0</v>
      </c>
      <c r="W16" s="2192"/>
      <c r="X16" s="2192"/>
      <c r="Y16" s="2192"/>
      <c r="Z16" s="2192"/>
      <c r="AA16" s="2192"/>
      <c r="AB16" s="2192"/>
      <c r="AC16" s="2193"/>
    </row>
    <row r="17" spans="1:40" ht="13.5" thickBot="1">
      <c r="A17" s="3628"/>
      <c r="B17" s="1464" t="s">
        <v>953</v>
      </c>
      <c r="C17" s="1053">
        <f>SUMPRODUCT((修正!A2:A5=E2)*(修正!B1:M1=G2)*(修正!B2:M5))</f>
        <v>3.5</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4" t="s">
        <v>956</v>
      </c>
      <c r="C18" s="2795">
        <f>SUMIF(修正!C18:C39,E3,修正!E18:E39)</f>
        <v>1</v>
      </c>
      <c r="D18" s="2796"/>
      <c r="E18" s="2797"/>
      <c r="F18" s="2798"/>
      <c r="G18" s="2792"/>
      <c r="H18" s="2792"/>
      <c r="I18" s="2792"/>
      <c r="J18" s="2799"/>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f>ROUND(IF(H19="按公示增长率计算",SUMPRODUCT((地价!A3:A22=YEAR(G19)&amp;"-"&amp;ROUNDUP(MONTH(G19)/3,0))*(地价!X2:AB2=E2)*(地价!X3:AB22)),IF(H19="地价指数",M20/M19,(1+I19)^O19)),4)</f>
        <v>1.3230999999999999</v>
      </c>
      <c r="D19" s="1473" t="s">
        <v>958</v>
      </c>
      <c r="E19" s="1056">
        <v>41640</v>
      </c>
      <c r="F19" s="1473" t="s">
        <v>959</v>
      </c>
      <c r="G19" s="1057">
        <f>'数据-取费表'!B2</f>
        <v>43230</v>
      </c>
      <c r="H19" s="1474" t="s">
        <v>3020</v>
      </c>
      <c r="I19" s="2806" t="str">
        <f>IF(H19="季度增幅（自定义）",SUMIF(N21:N24,E2,O21:O24),"")</f>
        <v/>
      </c>
      <c r="J19" s="1470"/>
      <c r="K19" s="1480"/>
      <c r="L19" s="3062" t="s">
        <v>2843</v>
      </c>
      <c r="M19" s="3063">
        <f>ROUND(SUMIF(地价!B2:F2,E2,地价!B22:F22),0)</f>
        <v>258</v>
      </c>
      <c r="N19" s="2808" t="s">
        <v>1677</v>
      </c>
      <c r="O19" s="2807">
        <f>ROUNDDOWN(DATEDIF(E19,G19,"M")/3,0)</f>
        <v>17</v>
      </c>
      <c r="P19" s="1595"/>
      <c r="R19" s="2947"/>
      <c r="S19" s="2947"/>
      <c r="T19" s="2947"/>
      <c r="U19" s="2947"/>
      <c r="V19" s="2947"/>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0" t="s">
        <v>1837</v>
      </c>
      <c r="B20" s="2801" t="s">
        <v>972</v>
      </c>
      <c r="C20" s="2802">
        <f ca="1">ROUND(POWER(1+G20,J20-I20)*(POWER(1+G20,I20)-1)/(POWER(1+G20,J20)-1),4)</f>
        <v>1</v>
      </c>
      <c r="D20" s="2803" t="s">
        <v>973</v>
      </c>
      <c r="E20" s="3118">
        <f ca="1">存贷款利率!I4/100</f>
        <v>4.3499999999999997E-2</v>
      </c>
      <c r="F20" s="2803" t="s">
        <v>974</v>
      </c>
      <c r="G20" s="2804">
        <f ca="1">SUMIF(M15:P15,E2,M17:P17)</f>
        <v>5.1999999999999998E-2</v>
      </c>
      <c r="H20" s="2803" t="s">
        <v>975</v>
      </c>
      <c r="I20" s="2793">
        <f>SUMIF('数据-取费表'!C6:C15,E2,'数据-取费表'!F6:F15)/COUNTIF('数据-取费表'!C6:C15,E2)</f>
        <v>50</v>
      </c>
      <c r="J20" s="2805">
        <f>IF(E2="住宅",70,IF(E2="商业",40,50))</f>
        <v>50</v>
      </c>
      <c r="K20" s="1480"/>
      <c r="L20" s="3064" t="s">
        <v>2844</v>
      </c>
      <c r="M20" s="3065">
        <f>ROUND(SUMPRODUCT((地价!A4:A22=YEAR(G19)&amp;"-"&amp;ROUNDUP(MONTH(G19)/3,0))*(地价!B2:F2=E2)*(地价!B4:F22)),0)</f>
        <v>333</v>
      </c>
      <c r="N20" s="2811" t="s">
        <v>2649</v>
      </c>
      <c r="O20" s="2809" t="s">
        <v>2648</v>
      </c>
      <c r="P20" s="2810" t="s">
        <v>2654</v>
      </c>
      <c r="R20" s="2947"/>
      <c r="S20" s="2947"/>
      <c r="T20" s="2947"/>
      <c r="U20" s="2947"/>
      <c r="V20" s="2947"/>
      <c r="W20" s="2195"/>
      <c r="X20" s="2195"/>
      <c r="Y20" s="2195"/>
      <c r="Z20" s="2195"/>
      <c r="AA20" s="2195"/>
      <c r="AB20" s="2195"/>
      <c r="AC20" s="2195"/>
      <c r="AD20" s="1471"/>
      <c r="AE20" s="1471"/>
      <c r="AF20" s="1471"/>
      <c r="AG20" s="1471"/>
      <c r="AH20" s="1471"/>
      <c r="AI20" s="1471"/>
    </row>
    <row r="21" spans="1:40" s="1420" customFormat="1" ht="14.25">
      <c r="A21" s="1641" t="s">
        <v>1838</v>
      </c>
      <c r="B21" s="1479" t="s">
        <v>3019</v>
      </c>
      <c r="C21" s="1156">
        <f>IF(B21="容积率修正",IF(G3&lt;=10,D22,J22),C23)</f>
        <v>1</v>
      </c>
      <c r="D21" s="1480"/>
      <c r="E21" s="1480"/>
      <c r="F21" s="1480"/>
      <c r="G21" s="1480"/>
      <c r="H21" s="1480"/>
      <c r="I21" s="1480"/>
      <c r="J21" s="1481"/>
      <c r="K21" s="1480"/>
      <c r="L21" s="1480"/>
      <c r="M21" s="1480"/>
      <c r="N21" s="1477" t="s">
        <v>976</v>
      </c>
      <c r="O21" s="1541"/>
      <c r="P21" s="2791">
        <f>SUMPRODUCT((地价!A3:A22=YEAR(G19)&amp;"-"&amp;ROUNDUP(MONTH(G19)/3,0))*(地价!AD2:AH2=N21)*(地价!AD3:AH22))</f>
        <v>1.5699999999999999E-2</v>
      </c>
      <c r="R21" s="2947"/>
      <c r="S21" s="2947"/>
      <c r="T21" s="2947"/>
      <c r="U21" s="2947"/>
      <c r="V21" s="2947"/>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1</v>
      </c>
      <c r="E22" s="1037">
        <f>ROUNDDOWN(G3,1)</f>
        <v>3.5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978</v>
      </c>
      <c r="J22" s="1058" t="str">
        <f>IF(G3&gt;10,D113,"——")</f>
        <v>——</v>
      </c>
      <c r="K22" s="1480"/>
      <c r="L22" s="1480"/>
      <c r="M22" s="1480"/>
      <c r="N22" s="1477" t="s">
        <v>979</v>
      </c>
      <c r="O22" s="1541"/>
      <c r="P22" s="2791">
        <f>SUMPRODUCT((地价!A3:A22=YEAR(G19)&amp;"-"&amp;ROUNDUP(MONTH(G19)/3,0))*(地价!AD2:AH2=N22)*(地价!AD3:AH22))</f>
        <v>1.5699999999999999E-2</v>
      </c>
      <c r="R22" s="2947"/>
      <c r="S22" s="2947"/>
      <c r="T22" s="2947"/>
      <c r="U22" s="2947"/>
      <c r="V22" s="2947"/>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1">
        <f>SUMPRODUCT((地价!A3:A22=YEAR(G19)&amp;"-"&amp;ROUNDUP(MONTH(G19)/3,0))*(地价!AD2:AH2=N23)*(地价!AD3:AH22))</f>
        <v>2.5000000000000001E-2</v>
      </c>
      <c r="R23" s="2947"/>
      <c r="S23" s="2947"/>
      <c r="T23" s="2947"/>
      <c r="U23" s="2947"/>
      <c r="V23" s="2947"/>
      <c r="W23" s="2195"/>
      <c r="X23" s="2195"/>
      <c r="Y23" s="2195"/>
      <c r="Z23" s="2195"/>
      <c r="AA23" s="2195"/>
      <c r="AB23" s="2195"/>
      <c r="AC23" s="2195"/>
      <c r="AN23" s="1403"/>
    </row>
    <row r="24" spans="1:40" s="1420" customFormat="1" ht="15.75" thickBot="1">
      <c r="A24" s="1640" t="s">
        <v>1873</v>
      </c>
      <c r="B24" s="1414" t="s">
        <v>981</v>
      </c>
      <c r="C24" s="1060">
        <f>SUMIF(A44:A87,E2,B44:B87)</f>
        <v>1.0365</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7"/>
      <c r="S24" s="2947"/>
      <c r="T24" s="2947"/>
      <c r="U24" s="2947"/>
      <c r="V24" s="2947"/>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19" t="s">
        <v>2652</v>
      </c>
      <c r="O25" s="2195"/>
      <c r="P25" s="1540">
        <f>SUMPRODUCT((地价!A3:A22=YEAR(G19)&amp;"-"&amp;ROUNDUP(MONTH(G19)/3,0))*(地价!AD2:AH2=N25)*(地价!AD3:AH22))</f>
        <v>2.2700000000000001E-2</v>
      </c>
      <c r="R25" s="2947"/>
      <c r="S25" s="2947"/>
      <c r="T25" s="2947"/>
      <c r="U25" s="2947"/>
      <c r="V25" s="2947"/>
      <c r="W25" s="2195"/>
      <c r="X25" s="2195"/>
      <c r="Y25" s="2195"/>
      <c r="Z25" s="2195"/>
      <c r="AA25" s="2195"/>
      <c r="AB25" s="2195"/>
      <c r="AC25" s="2195"/>
    </row>
    <row r="26" spans="1:40" ht="14.25">
      <c r="A26" s="1488"/>
      <c r="B26" s="1482" t="s">
        <v>987</v>
      </c>
      <c r="C26" s="1061">
        <f ca="1">E29+SUM(E33:E39)</f>
        <v>35903</v>
      </c>
      <c r="D26" s="1489"/>
      <c r="E26" s="1455"/>
      <c r="F26" s="1490"/>
      <c r="G26" s="1455"/>
      <c r="H26" s="1455"/>
      <c r="I26" s="1455"/>
      <c r="J26" s="1491"/>
      <c r="K26" s="1400"/>
      <c r="L26" s="2195"/>
      <c r="M26" s="2195"/>
      <c r="N26" s="2195"/>
      <c r="O26" s="2195"/>
      <c r="P26" s="2195"/>
      <c r="Q26" s="2195"/>
      <c r="R26" s="2947"/>
      <c r="S26" s="2947"/>
      <c r="T26" s="2947"/>
      <c r="U26" s="2947"/>
      <c r="V26" s="2947"/>
      <c r="W26" s="2195"/>
      <c r="X26" s="2195"/>
      <c r="Y26" s="2195"/>
      <c r="Z26" s="2195"/>
      <c r="AA26" s="2195"/>
      <c r="AB26" s="2195"/>
      <c r="AC26" s="2195"/>
      <c r="AD26" s="1471"/>
      <c r="AE26" s="1471"/>
      <c r="AF26" s="1471"/>
      <c r="AG26" s="1471"/>
    </row>
    <row r="27" spans="1:40" ht="15" thickBot="1">
      <c r="A27" s="1488"/>
      <c r="B27" s="1492" t="s">
        <v>989</v>
      </c>
      <c r="C27" s="1062">
        <f ca="1">E30+SUM(I33:I39)</f>
        <v>0</v>
      </c>
      <c r="D27" s="1493"/>
      <c r="E27" s="1494"/>
      <c r="F27" s="1495"/>
      <c r="G27" s="1494"/>
      <c r="H27" s="1494"/>
      <c r="I27" s="1494"/>
      <c r="J27" s="1496"/>
      <c r="K27" s="1400"/>
      <c r="L27" s="2195"/>
      <c r="M27" s="2195"/>
      <c r="N27" s="2195"/>
      <c r="O27" s="2195"/>
      <c r="P27" s="2195"/>
      <c r="Q27" s="2195"/>
      <c r="R27" s="2947"/>
      <c r="S27" s="2947"/>
      <c r="T27" s="2947"/>
      <c r="U27" s="2947"/>
      <c r="V27" s="2947"/>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7"/>
      <c r="S28" s="2947"/>
      <c r="T28" s="2947"/>
      <c r="U28" s="2947"/>
      <c r="V28" s="2947"/>
      <c r="W28" s="2195"/>
      <c r="X28" s="2195"/>
      <c r="Y28" s="2195"/>
      <c r="Z28" s="2195"/>
      <c r="AA28" s="2195"/>
      <c r="AB28" s="2195"/>
      <c r="AC28" s="2195"/>
      <c r="AD28" s="1471"/>
      <c r="AE28" s="1471"/>
      <c r="AF28" s="1471"/>
      <c r="AG28" s="1471"/>
    </row>
    <row r="29" spans="1:40" ht="24">
      <c r="A29" s="1501"/>
      <c r="B29" s="1502" t="s">
        <v>994</v>
      </c>
      <c r="C29" s="1061">
        <f ca="1">ROUND(C5*C18*C19*C20*C21*C24,0)</f>
        <v>35903</v>
      </c>
      <c r="D29" s="1503">
        <f>'数据-基础表'!B3</f>
        <v>10000</v>
      </c>
      <c r="E29" s="1849">
        <f ca="1">ROUND(C29*D29/10000,0)</f>
        <v>35903</v>
      </c>
      <c r="F29" s="1504" t="s">
        <v>1702</v>
      </c>
      <c r="G29" s="1505"/>
      <c r="H29" s="1505"/>
      <c r="I29" s="1505"/>
      <c r="J29" s="1506"/>
      <c r="K29" s="1400"/>
      <c r="L29" s="2195"/>
      <c r="M29" s="2195"/>
      <c r="N29" s="2195"/>
      <c r="O29" s="2195"/>
      <c r="P29" s="2195"/>
      <c r="Q29" s="2195"/>
      <c r="R29" s="2947"/>
      <c r="S29" s="2947"/>
      <c r="T29" s="2947"/>
      <c r="U29" s="2947"/>
      <c r="V29" s="2947"/>
      <c r="W29" s="2195"/>
      <c r="X29" s="2195"/>
      <c r="Y29" s="2195"/>
      <c r="Z29" s="2195"/>
      <c r="AA29" s="2195"/>
      <c r="AB29" s="2195"/>
      <c r="AC29" s="2195"/>
      <c r="AH29" s="1401"/>
      <c r="AI29" s="1401"/>
      <c r="AJ29" s="1404"/>
      <c r="AK29" s="1404"/>
      <c r="AL29" s="1404"/>
      <c r="AM29" s="1404"/>
    </row>
    <row r="30" spans="1:40" ht="24.75" thickBot="1">
      <c r="A30" s="1507"/>
      <c r="B30" s="1508" t="s">
        <v>995</v>
      </c>
      <c r="C30" s="1049">
        <f ca="1">ROUND(IF(E2="工业",C29*M39,C29*M38),0)</f>
        <v>8976</v>
      </c>
      <c r="D30" s="1509"/>
      <c r="E30" s="1849">
        <f ca="1">ROUND(C30*D30/10000,0)</f>
        <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633" t="s">
        <v>2963</v>
      </c>
      <c r="B33" s="1523" t="s">
        <v>1000</v>
      </c>
      <c r="C33" s="1061">
        <f ca="1">ROUND(D5*C19*C20*C24*F33,0)</f>
        <v>0</v>
      </c>
      <c r="D33" s="1536"/>
      <c r="E33" s="1046">
        <f ca="1">ROUND(C33*D33/10000,0)</f>
        <v>0</v>
      </c>
      <c r="F33" s="1046">
        <f>SUMIF(修正!A45:A56,G2,修正!B45:B56)</f>
        <v>0.8</v>
      </c>
      <c r="G33" s="1046">
        <f t="shared" ref="G33:G39" ca="1" si="6">ROUND(IF(E2="工业",C33*$M$39,C33*$M$38),0)</f>
        <v>0</v>
      </c>
      <c r="H33" s="1046">
        <f>D33</f>
        <v>0</v>
      </c>
      <c r="I33" s="1046">
        <f ca="1">ROUND(G33*H33/10000,0)</f>
        <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634"/>
      <c r="B34" s="1444" t="s">
        <v>1001</v>
      </c>
      <c r="C34" s="1061">
        <f ca="1">ROUND(D5*C19*C20*C24*F34,0)</f>
        <v>0</v>
      </c>
      <c r="D34" s="1536"/>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634"/>
      <c r="B35" s="1444" t="s">
        <v>1002</v>
      </c>
      <c r="C35" s="1061">
        <f ca="1">ROUND(D5*C19*C20*C24*F35,0)</f>
        <v>0</v>
      </c>
      <c r="D35" s="1536"/>
      <c r="E35" s="1046">
        <f t="shared" ca="1" si="7"/>
        <v>0</v>
      </c>
      <c r="F35" s="1046">
        <f>SUMIF(修正!A45:A56,G2,修正!D45:D56)</f>
        <v>0.36</v>
      </c>
      <c r="G35" s="1046">
        <f t="shared" ca="1" si="6"/>
        <v>0</v>
      </c>
      <c r="H35" s="1046">
        <f t="shared" si="8"/>
        <v>0</v>
      </c>
      <c r="I35" s="1046">
        <f t="shared" ca="1" si="9"/>
        <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635"/>
      <c r="B36" s="1444" t="s">
        <v>1003</v>
      </c>
      <c r="C36" s="1061">
        <f ca="1">ROUND(D5*C19*C20*C24*F36,0)</f>
        <v>0</v>
      </c>
      <c r="D36" s="1536"/>
      <c r="E36" s="1046">
        <f t="shared" ca="1" si="7"/>
        <v>0</v>
      </c>
      <c r="F36" s="1046">
        <f>SUMIF(修正!A45:A56,G2,修正!E45:E56)</f>
        <v>0.3</v>
      </c>
      <c r="G36" s="1046">
        <f t="shared" ca="1" si="6"/>
        <v>0</v>
      </c>
      <c r="H36" s="1046">
        <f t="shared" si="8"/>
        <v>0</v>
      </c>
      <c r="I36" s="1046">
        <f t="shared" ca="1" si="9"/>
        <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f ca="1">ROUND(C5*C19*C20*C24*F37,0)</f>
        <v>10771</v>
      </c>
      <c r="D37" s="1536"/>
      <c r="E37" s="1046">
        <f t="shared" ca="1" si="7"/>
        <v>0</v>
      </c>
      <c r="F37" s="1061">
        <f>SUMIF(修正!A45:A56,G2,修正!F45:F56)</f>
        <v>0.3</v>
      </c>
      <c r="G37" s="1046">
        <f t="shared" ca="1" si="6"/>
        <v>2693</v>
      </c>
      <c r="H37" s="1046">
        <f t="shared" si="8"/>
        <v>0</v>
      </c>
      <c r="I37" s="1046">
        <f t="shared" ca="1" si="9"/>
        <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f ca="1">ROUND(C5*C19*C20*C24*F38,0)</f>
        <v>10771</v>
      </c>
      <c r="D38" s="1536"/>
      <c r="E38" s="1046">
        <f t="shared" ca="1" si="7"/>
        <v>0</v>
      </c>
      <c r="F38" s="1061">
        <f>SUMIF(修正!A45:A56,G2,修正!G45:G56)</f>
        <v>0.3</v>
      </c>
      <c r="G38" s="1046">
        <f t="shared" ca="1" si="6"/>
        <v>2693</v>
      </c>
      <c r="H38" s="1046">
        <f t="shared" si="8"/>
        <v>0</v>
      </c>
      <c r="I38" s="1046">
        <f t="shared" ca="1" si="9"/>
        <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f ca="1">ROUND(C5*C19*C20*C24*F39,0)</f>
        <v>8976</v>
      </c>
      <c r="D39" s="1537"/>
      <c r="E39" s="1049">
        <f t="shared" ca="1" si="7"/>
        <v>0</v>
      </c>
      <c r="F39" s="1063">
        <f>SUMIF(修正!A45:A56,G2,修正!H45:H56)</f>
        <v>0.25</v>
      </c>
      <c r="G39" s="1049">
        <f t="shared" ca="1" si="6"/>
        <v>2244</v>
      </c>
      <c r="H39" s="1049">
        <f t="shared" si="8"/>
        <v>0</v>
      </c>
      <c r="I39" s="1049">
        <f t="shared" ca="1" si="9"/>
        <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1" t="s">
        <v>1007</v>
      </c>
      <c r="B44" s="2442"/>
      <c r="C44" s="2443"/>
      <c r="D44" s="2444"/>
      <c r="E44" s="2444"/>
      <c r="F44" s="2445"/>
      <c r="G44" s="1064"/>
      <c r="H44" s="2445"/>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hidden="1">
      <c r="A45" s="2446" t="s">
        <v>1008</v>
      </c>
      <c r="B45" s="2447">
        <f>1+E47</f>
        <v>1</v>
      </c>
      <c r="C45" s="2448"/>
      <c r="D45" s="2449"/>
      <c r="E45" s="2450"/>
      <c r="F45" s="2451"/>
      <c r="G45" s="2445"/>
      <c r="H45" s="2445"/>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hidden="1">
      <c r="A46" s="1065" t="s">
        <v>1009</v>
      </c>
      <c r="B46" s="2432" t="s">
        <v>1010</v>
      </c>
      <c r="C46" s="2452" t="s">
        <v>1011</v>
      </c>
      <c r="D46" s="2453" t="s">
        <v>1012</v>
      </c>
      <c r="E46" s="2454" t="s">
        <v>1014</v>
      </c>
      <c r="F46" s="2455" t="s">
        <v>2253</v>
      </c>
      <c r="G46" s="2453" t="s">
        <v>1015</v>
      </c>
      <c r="H46" s="2437" t="s">
        <v>2422</v>
      </c>
      <c r="I46" s="2453" t="s">
        <v>1013</v>
      </c>
      <c r="J46" s="2456" t="s">
        <v>1016</v>
      </c>
      <c r="K46" s="2456" t="s">
        <v>1017</v>
      </c>
      <c r="L46" s="2456" t="s">
        <v>1018</v>
      </c>
      <c r="M46" s="2456" t="s">
        <v>1019</v>
      </c>
      <c r="N46" s="2456"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hidden="1">
      <c r="A47" s="1065" t="s">
        <v>1021</v>
      </c>
      <c r="B47" s="2435"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8"/>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32" hidden="1">
      <c r="A48" s="1065" t="s">
        <v>1022</v>
      </c>
      <c r="B48"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9">
        <f t="shared" si="10"/>
        <v>0</v>
      </c>
      <c r="E48" s="2461"/>
      <c r="F48" s="2459"/>
      <c r="G48" s="2438"/>
      <c r="H48" s="2483" t="str">
        <f t="shared" si="11"/>
        <v>——</v>
      </c>
      <c r="I48" s="2457">
        <v>0.25</v>
      </c>
      <c r="J48" s="2460">
        <f t="shared" si="12"/>
        <v>0</v>
      </c>
      <c r="K48" s="2460">
        <f t="shared" si="13"/>
        <v>0</v>
      </c>
      <c r="L48" s="2460">
        <v>0</v>
      </c>
      <c r="M48" s="2460">
        <f t="shared" si="14"/>
        <v>0</v>
      </c>
      <c r="N48" s="2460">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hidden="1">
      <c r="A49" s="1065" t="s">
        <v>1023</v>
      </c>
      <c r="B49" s="2432">
        <f>估价对象房地状况!C19</f>
        <v>0</v>
      </c>
      <c r="C49" s="1048"/>
      <c r="D49" s="2439">
        <f t="shared" si="10"/>
        <v>0</v>
      </c>
      <c r="E49" s="2461"/>
      <c r="F49" s="2459"/>
      <c r="G49" s="2438"/>
      <c r="H49" s="2483" t="str">
        <f t="shared" si="11"/>
        <v>——</v>
      </c>
      <c r="I49" s="2457">
        <v>0.05</v>
      </c>
      <c r="J49" s="2460">
        <f t="shared" si="12"/>
        <v>0</v>
      </c>
      <c r="K49" s="2460">
        <f t="shared" si="13"/>
        <v>0</v>
      </c>
      <c r="L49" s="2460">
        <v>0</v>
      </c>
      <c r="M49" s="2460">
        <f t="shared" si="14"/>
        <v>0</v>
      </c>
      <c r="N49" s="2460">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hidden="1">
      <c r="A50" s="1065" t="s">
        <v>1024</v>
      </c>
      <c r="B50" s="3120" t="s">
        <v>2938</v>
      </c>
      <c r="C50" s="1048"/>
      <c r="D50" s="2439">
        <f t="shared" si="10"/>
        <v>0</v>
      </c>
      <c r="E50" s="2461"/>
      <c r="F50" s="2459"/>
      <c r="G50" s="2438"/>
      <c r="H50" s="2483" t="str">
        <f t="shared" si="11"/>
        <v>——</v>
      </c>
      <c r="I50" s="2457">
        <v>0.05</v>
      </c>
      <c r="J50" s="2460">
        <f t="shared" si="12"/>
        <v>0</v>
      </c>
      <c r="K50" s="2460">
        <f t="shared" si="13"/>
        <v>0</v>
      </c>
      <c r="L50" s="2460">
        <v>0</v>
      </c>
      <c r="M50" s="2460">
        <f t="shared" si="14"/>
        <v>0</v>
      </c>
      <c r="N50" s="2460">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hidden="1">
      <c r="A51" s="1065" t="s">
        <v>1025</v>
      </c>
      <c r="B51" s="2432">
        <f>估价对象房地状况!C24</f>
        <v>0</v>
      </c>
      <c r="C51" s="1048"/>
      <c r="D51" s="2439">
        <f t="shared" si="10"/>
        <v>0</v>
      </c>
      <c r="E51" s="2461"/>
      <c r="F51" s="2459"/>
      <c r="G51" s="2438"/>
      <c r="H51" s="2483" t="str">
        <f t="shared" si="11"/>
        <v>——</v>
      </c>
      <c r="I51" s="2457">
        <v>0.08</v>
      </c>
      <c r="J51" s="2460">
        <f t="shared" si="12"/>
        <v>0</v>
      </c>
      <c r="K51" s="2460">
        <f t="shared" si="13"/>
        <v>0</v>
      </c>
      <c r="L51" s="2460">
        <v>0</v>
      </c>
      <c r="M51" s="2460">
        <f t="shared" si="14"/>
        <v>0</v>
      </c>
      <c r="N51" s="2460">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hidden="1">
      <c r="A52" s="1065" t="s">
        <v>1026</v>
      </c>
      <c r="B52" s="3119" t="s">
        <v>2937</v>
      </c>
      <c r="C52" s="1048"/>
      <c r="D52" s="2439">
        <f t="shared" si="10"/>
        <v>0</v>
      </c>
      <c r="E52" s="2461"/>
      <c r="F52" s="2459"/>
      <c r="G52" s="2438"/>
      <c r="H52" s="2483" t="str">
        <f t="shared" si="11"/>
        <v>——</v>
      </c>
      <c r="I52" s="2457">
        <v>0.03</v>
      </c>
      <c r="J52" s="2460">
        <f t="shared" si="12"/>
        <v>0</v>
      </c>
      <c r="K52" s="2460">
        <f t="shared" si="13"/>
        <v>0</v>
      </c>
      <c r="L52" s="2460">
        <v>0</v>
      </c>
      <c r="M52" s="2460">
        <f t="shared" si="14"/>
        <v>0</v>
      </c>
      <c r="N52" s="2460">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hidden="1">
      <c r="A53" s="2462" t="s">
        <v>1027</v>
      </c>
      <c r="B53" s="2433" t="str">
        <f>估价对象房地状况!C21</f>
        <v>估价对象所在区域公共配套设施齐备</v>
      </c>
      <c r="C53" s="1048"/>
      <c r="D53" s="2439">
        <f t="shared" si="10"/>
        <v>0</v>
      </c>
      <c r="E53" s="2461"/>
      <c r="F53" s="2459"/>
      <c r="G53" s="2438"/>
      <c r="H53" s="2483" t="str">
        <f t="shared" si="11"/>
        <v>——</v>
      </c>
      <c r="I53" s="2457">
        <v>0.05</v>
      </c>
      <c r="J53" s="2460">
        <f t="shared" si="12"/>
        <v>0</v>
      </c>
      <c r="K53" s="2460">
        <f t="shared" si="13"/>
        <v>0</v>
      </c>
      <c r="L53" s="2460">
        <v>0</v>
      </c>
      <c r="M53" s="2460">
        <f t="shared" si="14"/>
        <v>0</v>
      </c>
      <c r="N53" s="2460">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hidden="1">
      <c r="A54" s="2462" t="s">
        <v>1028</v>
      </c>
      <c r="B54" s="2432" t="str">
        <f>估价对象房地状况!C22</f>
        <v>估价对象所在区域基础设施水平达到七通</v>
      </c>
      <c r="C54" s="1048"/>
      <c r="D54" s="2439">
        <f t="shared" si="10"/>
        <v>0</v>
      </c>
      <c r="E54" s="2461"/>
      <c r="F54" s="2459"/>
      <c r="G54" s="2438"/>
      <c r="H54" s="2483" t="str">
        <f t="shared" si="11"/>
        <v>——</v>
      </c>
      <c r="I54" s="2457">
        <v>0.1</v>
      </c>
      <c r="J54" s="2460">
        <f t="shared" si="12"/>
        <v>0</v>
      </c>
      <c r="K54" s="2460">
        <f t="shared" si="13"/>
        <v>0</v>
      </c>
      <c r="L54" s="2460">
        <v>0</v>
      </c>
      <c r="M54" s="2460">
        <f t="shared" si="14"/>
        <v>0</v>
      </c>
      <c r="N54" s="2460">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96.75" hidden="1" thickBot="1">
      <c r="A55" s="2463" t="s">
        <v>1029</v>
      </c>
      <c r="B55" s="2436" t="str">
        <f>估价对象房地状况!C20</f>
        <v>区域自然环境：官园公园、什刹海公园、北海公园；人文环境：妙应寺白塔、恭王府、历代帝王庙、梅兰芳纪念馆、西直门天主教堂、西城区图书馆；综合评价环境状况好。</v>
      </c>
      <c r="C55" s="1048"/>
      <c r="D55" s="2439">
        <f t="shared" si="10"/>
        <v>0</v>
      </c>
      <c r="E55" s="2465"/>
      <c r="F55" s="2459"/>
      <c r="G55" s="2438"/>
      <c r="H55" s="2483" t="str">
        <f t="shared" si="11"/>
        <v>——</v>
      </c>
      <c r="I55" s="2464">
        <v>0.06</v>
      </c>
      <c r="J55" s="2460">
        <f t="shared" si="12"/>
        <v>0</v>
      </c>
      <c r="K55" s="2460">
        <f t="shared" si="13"/>
        <v>0</v>
      </c>
      <c r="L55" s="2460">
        <v>0</v>
      </c>
      <c r="M55" s="2460">
        <f t="shared" si="14"/>
        <v>0</v>
      </c>
      <c r="N55" s="2460">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6" t="s">
        <v>1030</v>
      </c>
      <c r="B56" s="2447">
        <f>1+E58</f>
        <v>1.0365</v>
      </c>
      <c r="C56" s="2466"/>
      <c r="D56" s="2449"/>
      <c r="E56" s="2450"/>
      <c r="F56" s="2451"/>
      <c r="G56" s="2445"/>
      <c r="H56" s="2445"/>
      <c r="I56" s="2445"/>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2" t="s">
        <v>1011</v>
      </c>
      <c r="D57" s="2453" t="s">
        <v>1012</v>
      </c>
      <c r="E57" s="2454" t="s">
        <v>1014</v>
      </c>
      <c r="F57" s="2455" t="s">
        <v>2254</v>
      </c>
      <c r="G57" s="2453" t="s">
        <v>1015</v>
      </c>
      <c r="H57" s="2437" t="s">
        <v>2422</v>
      </c>
      <c r="I57" s="2453" t="s">
        <v>1013</v>
      </c>
      <c r="J57" s="2456" t="s">
        <v>1016</v>
      </c>
      <c r="K57" s="2456" t="s">
        <v>1017</v>
      </c>
      <c r="L57" s="2456" t="s">
        <v>1018</v>
      </c>
      <c r="M57" s="2456" t="s">
        <v>1019</v>
      </c>
      <c r="N57" s="2456"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5" t="s">
        <v>1031</v>
      </c>
      <c r="B58" s="3248" t="str">
        <f>估价对象房地状况!C17</f>
        <v>估价对象位于西直门商圈，估价对象周边主要以居住为主，办公楼项目较少，办公集聚程度一般。</v>
      </c>
      <c r="C58" s="3251" t="s">
        <v>3052</v>
      </c>
      <c r="D58" s="3247">
        <f t="shared" ref="D58:D66" si="15">SUMIF($J$57:$N$57,C58,J58:N58)</f>
        <v>0</v>
      </c>
      <c r="E58" s="2458">
        <f>ROUND(SUM(D58:D66),4)</f>
        <v>3.6499999999999998E-2</v>
      </c>
      <c r="F58" s="2459">
        <f>IF(E2="办公",SUMIF(L1:L12,G2,N1:N12),"——")</f>
        <v>7.2999999999999995E-2</v>
      </c>
      <c r="G58" s="2438">
        <v>8.6999999999999994E-3</v>
      </c>
      <c r="H58" s="3242">
        <f>IFERROR(ROUNDDOWN($F$58*I58/2,4),"——")</f>
        <v>8.6999999999999994E-3</v>
      </c>
      <c r="I58" s="3243">
        <v>0.24</v>
      </c>
      <c r="J58" s="3244">
        <f t="shared" ref="J58:J66" si="16">K58+$G58</f>
        <v>1.7399999999999999E-2</v>
      </c>
      <c r="K58" s="3244">
        <f t="shared" ref="K58:K66" si="17">$L58+$G58</f>
        <v>8.6999999999999994E-3</v>
      </c>
      <c r="L58" s="3244">
        <v>0</v>
      </c>
      <c r="M58" s="3244">
        <f t="shared" ref="M58:N66" si="18">L58-$G58</f>
        <v>-8.6999999999999994E-3</v>
      </c>
      <c r="N58" s="3244">
        <f t="shared" si="18"/>
        <v>-1.7399999999999999E-2</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32">
      <c r="A59" s="1065" t="s">
        <v>1022</v>
      </c>
      <c r="B59" s="3249"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251" t="s">
        <v>3027</v>
      </c>
      <c r="D59" s="3247">
        <f t="shared" si="15"/>
        <v>1.095E-2</v>
      </c>
      <c r="E59" s="2461"/>
      <c r="F59" s="2459"/>
      <c r="G59" s="2438">
        <v>1.095E-2</v>
      </c>
      <c r="H59" s="3245">
        <f t="shared" ref="H59:H66" si="19">IFERROR($F$58*I59/2,"——")</f>
        <v>1.095E-2</v>
      </c>
      <c r="I59" s="3243">
        <v>0.3</v>
      </c>
      <c r="J59" s="3244">
        <f t="shared" si="16"/>
        <v>2.1899999999999999E-2</v>
      </c>
      <c r="K59" s="3244">
        <f t="shared" si="17"/>
        <v>1.095E-2</v>
      </c>
      <c r="L59" s="3244">
        <v>0</v>
      </c>
      <c r="M59" s="3244">
        <f t="shared" si="18"/>
        <v>-1.095E-2</v>
      </c>
      <c r="N59" s="3244">
        <f t="shared" si="18"/>
        <v>-2.1899999999999999E-2</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3251" t="s">
        <v>3027</v>
      </c>
      <c r="D60" s="3247">
        <f t="shared" si="15"/>
        <v>2.9199999999999999E-3</v>
      </c>
      <c r="E60" s="2461"/>
      <c r="F60" s="2459"/>
      <c r="G60" s="2438">
        <v>2.9199999999999999E-3</v>
      </c>
      <c r="H60" s="3245">
        <f t="shared" si="19"/>
        <v>2.9199999999999999E-3</v>
      </c>
      <c r="I60" s="3243">
        <v>0.08</v>
      </c>
      <c r="J60" s="3244">
        <f t="shared" si="16"/>
        <v>5.8399999999999997E-3</v>
      </c>
      <c r="K60" s="3244">
        <f t="shared" si="17"/>
        <v>2.9199999999999999E-3</v>
      </c>
      <c r="L60" s="3244">
        <v>0</v>
      </c>
      <c r="M60" s="3244">
        <f t="shared" si="18"/>
        <v>-2.9199999999999999E-3</v>
      </c>
      <c r="N60" s="3244">
        <f t="shared" si="18"/>
        <v>-5.8399999999999997E-3</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0" t="s">
        <v>2939</v>
      </c>
      <c r="C61" s="3251" t="s">
        <v>3027</v>
      </c>
      <c r="D61" s="3247">
        <f t="shared" si="15"/>
        <v>1.4599999999999999E-3</v>
      </c>
      <c r="E61" s="2461"/>
      <c r="F61" s="2459"/>
      <c r="G61" s="2438">
        <v>1.4599999999999999E-3</v>
      </c>
      <c r="H61" s="3245">
        <f t="shared" si="19"/>
        <v>1.4599999999999999E-3</v>
      </c>
      <c r="I61" s="3243">
        <v>0.04</v>
      </c>
      <c r="J61" s="3244">
        <f t="shared" si="16"/>
        <v>2.9199999999999999E-3</v>
      </c>
      <c r="K61" s="3244">
        <f t="shared" si="17"/>
        <v>1.4599999999999999E-3</v>
      </c>
      <c r="L61" s="3244">
        <v>0</v>
      </c>
      <c r="M61" s="3244">
        <f t="shared" si="18"/>
        <v>-1.4599999999999999E-3</v>
      </c>
      <c r="N61" s="3244">
        <f t="shared" si="18"/>
        <v>-2.9199999999999999E-3</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3251" t="s">
        <v>3027</v>
      </c>
      <c r="D62" s="3247">
        <f t="shared" si="15"/>
        <v>1.83E-3</v>
      </c>
      <c r="E62" s="2461"/>
      <c r="F62" s="2459"/>
      <c r="G62" s="2438">
        <v>1.83E-3</v>
      </c>
      <c r="H62" s="3245">
        <f t="shared" si="19"/>
        <v>1.825E-3</v>
      </c>
      <c r="I62" s="3243">
        <v>0.05</v>
      </c>
      <c r="J62" s="3244">
        <f t="shared" si="16"/>
        <v>3.6600000000000001E-3</v>
      </c>
      <c r="K62" s="3244">
        <f t="shared" si="17"/>
        <v>1.83E-3</v>
      </c>
      <c r="L62" s="3244">
        <v>0</v>
      </c>
      <c r="M62" s="3244">
        <f t="shared" si="18"/>
        <v>-1.83E-3</v>
      </c>
      <c r="N62" s="3244">
        <f t="shared" si="18"/>
        <v>-3.6600000000000001E-3</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19" t="s">
        <v>2937</v>
      </c>
      <c r="C63" s="3251" t="s">
        <v>3027</v>
      </c>
      <c r="D63" s="3247">
        <f t="shared" si="15"/>
        <v>1.83E-3</v>
      </c>
      <c r="E63" s="2461"/>
      <c r="F63" s="2459"/>
      <c r="G63" s="2438">
        <v>1.83E-3</v>
      </c>
      <c r="H63" s="3245">
        <f t="shared" si="19"/>
        <v>1.825E-3</v>
      </c>
      <c r="I63" s="3243">
        <v>0.05</v>
      </c>
      <c r="J63" s="3244">
        <f t="shared" si="16"/>
        <v>3.6600000000000001E-3</v>
      </c>
      <c r="K63" s="3244">
        <f t="shared" si="17"/>
        <v>1.83E-3</v>
      </c>
      <c r="L63" s="3244">
        <v>0</v>
      </c>
      <c r="M63" s="3244">
        <f t="shared" si="18"/>
        <v>-1.83E-3</v>
      </c>
      <c r="N63" s="3244">
        <f t="shared" si="18"/>
        <v>-3.6600000000000001E-3</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v>
      </c>
      <c r="C64" s="3251" t="s">
        <v>3028</v>
      </c>
      <c r="D64" s="3247">
        <f t="shared" si="15"/>
        <v>4.3800000000000002E-3</v>
      </c>
      <c r="E64" s="2461"/>
      <c r="F64" s="2459"/>
      <c r="G64" s="2438">
        <v>2.1900000000000001E-3</v>
      </c>
      <c r="H64" s="3245">
        <f t="shared" si="19"/>
        <v>2.1899999999999997E-3</v>
      </c>
      <c r="I64" s="3243">
        <v>0.06</v>
      </c>
      <c r="J64" s="3244">
        <f t="shared" si="16"/>
        <v>4.3800000000000002E-3</v>
      </c>
      <c r="K64" s="3244">
        <f t="shared" si="17"/>
        <v>2.1900000000000001E-3</v>
      </c>
      <c r="L64" s="3244">
        <v>0</v>
      </c>
      <c r="M64" s="3244">
        <f t="shared" si="18"/>
        <v>-2.1900000000000001E-3</v>
      </c>
      <c r="N64" s="3244">
        <f t="shared" si="18"/>
        <v>-4.3800000000000002E-3</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估价对象所在区域基础设施水平达到七通</v>
      </c>
      <c r="C65" s="3251" t="s">
        <v>3028</v>
      </c>
      <c r="D65" s="3247">
        <f t="shared" si="15"/>
        <v>8.7600000000000004E-3</v>
      </c>
      <c r="E65" s="2461"/>
      <c r="F65" s="2459"/>
      <c r="G65" s="2438">
        <v>4.3800000000000002E-3</v>
      </c>
      <c r="H65" s="3245">
        <f t="shared" si="19"/>
        <v>4.3799999999999993E-3</v>
      </c>
      <c r="I65" s="3243">
        <v>0.12</v>
      </c>
      <c r="J65" s="3244">
        <f t="shared" si="16"/>
        <v>8.7600000000000004E-3</v>
      </c>
      <c r="K65" s="3244">
        <f t="shared" si="17"/>
        <v>4.3800000000000002E-3</v>
      </c>
      <c r="L65" s="3244">
        <v>0</v>
      </c>
      <c r="M65" s="3244">
        <f t="shared" si="18"/>
        <v>-4.3800000000000002E-3</v>
      </c>
      <c r="N65" s="3244">
        <f t="shared" si="18"/>
        <v>-8.7600000000000004E-3</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96.75" thickBot="1">
      <c r="A66" s="2463" t="s">
        <v>1029</v>
      </c>
      <c r="B66" s="3250" t="str">
        <f>估价对象房地状况!C20</f>
        <v>区域自然环境：官园公园、什刹海公园、北海公园；人文环境：妙应寺白塔、恭王府、历代帝王庙、梅兰芳纪念馆、西直门天主教堂、西城区图书馆；综合评价环境状况好。</v>
      </c>
      <c r="C66" s="3251" t="s">
        <v>3028</v>
      </c>
      <c r="D66" s="3247">
        <f t="shared" si="15"/>
        <v>4.3800000000000002E-3</v>
      </c>
      <c r="E66" s="2465"/>
      <c r="F66" s="2459"/>
      <c r="G66" s="2438">
        <v>2.1900000000000001E-3</v>
      </c>
      <c r="H66" s="3245">
        <f t="shared" si="19"/>
        <v>2.1899999999999997E-3</v>
      </c>
      <c r="I66" s="3246">
        <v>0.06</v>
      </c>
      <c r="J66" s="3244">
        <f t="shared" si="16"/>
        <v>4.3800000000000002E-3</v>
      </c>
      <c r="K66" s="3244">
        <f t="shared" si="17"/>
        <v>2.1900000000000001E-3</v>
      </c>
      <c r="L66" s="3244">
        <v>0</v>
      </c>
      <c r="M66" s="3244">
        <f t="shared" si="18"/>
        <v>-2.1900000000000001E-3</v>
      </c>
      <c r="N66" s="3244">
        <f t="shared" si="18"/>
        <v>-4.3800000000000002E-3</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6" t="s">
        <v>1032</v>
      </c>
      <c r="B67" s="2447">
        <f>1+E69</f>
        <v>1</v>
      </c>
      <c r="C67" s="2466"/>
      <c r="D67" s="2449"/>
      <c r="E67" s="2450"/>
      <c r="F67" s="2451"/>
      <c r="G67" s="2445"/>
      <c r="H67" s="2445"/>
      <c r="I67" s="2445"/>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2" t="s">
        <v>1011</v>
      </c>
      <c r="D68" s="2453" t="s">
        <v>1012</v>
      </c>
      <c r="E68" s="2454" t="s">
        <v>1014</v>
      </c>
      <c r="F68" s="2455" t="s">
        <v>2255</v>
      </c>
      <c r="G68" s="2453" t="s">
        <v>1015</v>
      </c>
      <c r="H68" s="2437" t="s">
        <v>2422</v>
      </c>
      <c r="I68" s="2453" t="s">
        <v>1013</v>
      </c>
      <c r="J68" s="2456" t="s">
        <v>1016</v>
      </c>
      <c r="K68" s="2456" t="s">
        <v>1017</v>
      </c>
      <c r="L68" s="2456" t="s">
        <v>1018</v>
      </c>
      <c r="M68" s="2456" t="s">
        <v>1019</v>
      </c>
      <c r="N68" s="2456"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32">
      <c r="A70" s="1065" t="s">
        <v>1034</v>
      </c>
      <c r="B70"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估价对象所在区域基础设施水平达到七通</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19" t="s">
        <v>2937</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96">
      <c r="A76" s="1065" t="s">
        <v>1029</v>
      </c>
      <c r="B76" s="2435" t="str">
        <f>估价对象房地状况!C20</f>
        <v>区域自然环境：官园公园、什刹海公园、北海公园；人文环境：妙应寺白塔、恭王府、历代帝王庙、梅兰芳纪念馆、西直门天主教堂、西城区图书馆；综合评价环境状况好。</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3" t="s">
        <v>1036</v>
      </c>
      <c r="B77" s="1850"/>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1037</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1009</v>
      </c>
      <c r="B79" s="2432"/>
      <c r="C79" s="2452" t="s">
        <v>1011</v>
      </c>
      <c r="D79" s="2453" t="s">
        <v>1012</v>
      </c>
      <c r="E79" s="2454" t="s">
        <v>1014</v>
      </c>
      <c r="F79" s="2455" t="s">
        <v>2256</v>
      </c>
      <c r="G79" s="2453" t="s">
        <v>1015</v>
      </c>
      <c r="H79" s="2437" t="s">
        <v>2422</v>
      </c>
      <c r="I79" s="2453" t="s">
        <v>1013</v>
      </c>
      <c r="J79" s="2456" t="s">
        <v>1016</v>
      </c>
      <c r="K79" s="2456" t="s">
        <v>1017</v>
      </c>
      <c r="L79" s="2456" t="s">
        <v>1018</v>
      </c>
      <c r="M79" s="2456" t="s">
        <v>1019</v>
      </c>
      <c r="N79" s="2456" t="s">
        <v>1020</v>
      </c>
      <c r="AC79" s="1404"/>
      <c r="AD79" s="1403"/>
      <c r="AJ79" s="1402"/>
      <c r="AN79" s="1403"/>
    </row>
    <row r="80" spans="1:40" ht="36">
      <c r="A80" s="1065" t="s">
        <v>1038</v>
      </c>
      <c r="B80" s="2432"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8"/>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39">
        <f t="shared" si="25"/>
        <v>0</v>
      </c>
      <c r="E81" s="2467"/>
      <c r="F81" s="2468"/>
      <c r="G81" s="2438"/>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1023</v>
      </c>
      <c r="B82" s="2432">
        <f>估价对象房地状况!G17</f>
        <v>0</v>
      </c>
      <c r="C82" s="1048"/>
      <c r="D82" s="2439">
        <f t="shared" si="25"/>
        <v>0</v>
      </c>
      <c r="E82" s="2467"/>
      <c r="F82" s="2468"/>
      <c r="G82" s="2438"/>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1035</v>
      </c>
      <c r="B83" s="2432">
        <f>估价对象房地状况!G22</f>
        <v>0</v>
      </c>
      <c r="C83" s="1048"/>
      <c r="D83" s="2439">
        <f t="shared" si="25"/>
        <v>0</v>
      </c>
      <c r="E83" s="2467"/>
      <c r="F83" s="2468"/>
      <c r="G83" s="2438"/>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1027</v>
      </c>
      <c r="B84" s="2433" t="str">
        <f>估价对象房地状况!G19</f>
        <v>估价对象所在区域公共配套设施齐备情况</v>
      </c>
      <c r="C84" s="1048"/>
      <c r="D84" s="2439">
        <f t="shared" si="25"/>
        <v>0</v>
      </c>
      <c r="E84" s="2467"/>
      <c r="F84" s="2468"/>
      <c r="G84" s="2438"/>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1028</v>
      </c>
      <c r="B85" s="2433" t="str">
        <f>估价对象房地状况!G20</f>
        <v>估价对象所在区域基础设施水平</v>
      </c>
      <c r="C85" s="1048"/>
      <c r="D85" s="2439">
        <f t="shared" si="25"/>
        <v>0</v>
      </c>
      <c r="E85" s="2467"/>
      <c r="F85" s="2468"/>
      <c r="G85" s="2438"/>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1026</v>
      </c>
      <c r="B86" s="3119" t="s">
        <v>2937</v>
      </c>
      <c r="C86" s="1048"/>
      <c r="D86" s="2439">
        <f t="shared" si="25"/>
        <v>0</v>
      </c>
      <c r="E86" s="2467"/>
      <c r="F86" s="2468"/>
      <c r="G86" s="2438"/>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1039</v>
      </c>
      <c r="B87" s="2434" t="str">
        <f>估价对象房地状况!G18</f>
        <v>该园区内是否有污染型企业，绿化情况，卫生条件，整体环境状况判断</v>
      </c>
      <c r="C87" s="1048"/>
      <c r="D87" s="2439">
        <f t="shared" si="25"/>
        <v>0</v>
      </c>
      <c r="E87" s="2469"/>
      <c r="F87" s="2468"/>
      <c r="G87" s="2438"/>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631" t="s">
        <v>1634</v>
      </c>
      <c r="B90" s="3631"/>
      <c r="C90" s="3631"/>
      <c r="D90" s="3631"/>
      <c r="E90" s="3631"/>
      <c r="F90" s="3631"/>
      <c r="G90" s="3631"/>
      <c r="H90" s="3631"/>
      <c r="I90" s="3631"/>
      <c r="J90" s="3631"/>
      <c r="K90" s="2472"/>
      <c r="L90" s="2472"/>
      <c r="M90" s="2472"/>
      <c r="N90" s="2472"/>
    </row>
    <row r="91" spans="1:40">
      <c r="A91" s="3632" t="s">
        <v>1444</v>
      </c>
      <c r="B91" s="3632" t="s">
        <v>1635</v>
      </c>
      <c r="C91" s="1138" t="s">
        <v>1636</v>
      </c>
      <c r="D91" s="1139"/>
      <c r="E91" s="1139"/>
      <c r="F91" s="1139"/>
      <c r="G91" s="1139"/>
      <c r="H91" s="1139"/>
      <c r="I91" s="1139"/>
      <c r="J91" s="1140"/>
      <c r="K91" s="1132"/>
      <c r="L91" s="1132"/>
      <c r="M91" s="1132"/>
      <c r="N91" s="1132"/>
    </row>
    <row r="92" spans="1:40">
      <c r="A92" s="3632"/>
      <c r="B92" s="3632"/>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639"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64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64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64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64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64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640"/>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641"/>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639"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64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64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64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64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64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64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640"/>
      <c r="B108" s="3642"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641"/>
      <c r="B109" s="3643"/>
      <c r="C109" s="1144">
        <f>(-0.163*(C108^2)-0.59*C108+7617)*(10^(-4))/C101</f>
        <v>0.21762857142857145</v>
      </c>
      <c r="D109" s="1144">
        <f>(-0.163*(D108^2)-0.59*D108+7617)*(10^(-4))/D101</f>
        <v>0.21762857142857145</v>
      </c>
      <c r="E109" s="1144">
        <f>(-0.161*(E108^2)-7.509*E108+6533)*(10^(-4))/E101</f>
        <v>0.18665714285714285</v>
      </c>
      <c r="F109" s="1144">
        <f>(-0.161*(F108^2)-7.509*F108+6533)*(10^(-4))/F101</f>
        <v>0.18665714285714285</v>
      </c>
      <c r="G109" s="1144">
        <f>(-0.161*(G108^2)-7.509*G108+6533)*(10^(-4))/G101</f>
        <v>0.18665714285714285</v>
      </c>
      <c r="H109" s="1144">
        <f>(-0.161*(H108^2)-7.509*H108+6533)*(10^(-4))/H101</f>
        <v>0.18665714285714285</v>
      </c>
      <c r="I109" s="1144">
        <f>(-0.161*(I108^2)-7.509*I108+6533)*(10^(-4))/I101</f>
        <v>0.18665714285714285</v>
      </c>
      <c r="J109" s="1144">
        <f>(-0.214*(J108^2)-21.991*J108+4665)*(10^(-4))/J101</f>
        <v>0.13328571428571429</v>
      </c>
      <c r="K109" s="1144">
        <f>(-0.214*(K108^2)-21.991*K108+4665)*(10^(-4))/K101</f>
        <v>0.13328571428571429</v>
      </c>
      <c r="L109" s="1144">
        <f>(-0.214*(L108^2)-21.991*L108+4665)*(10^(-4))/L101</f>
        <v>0.13328571428571429</v>
      </c>
      <c r="M109" s="1144">
        <f>(-0.214*(M108^2)-21.991*M108+4665)*(10^(-4))/M101</f>
        <v>0.13328571428571429</v>
      </c>
      <c r="N109" s="1144">
        <f>(-0.214*(N108^2)-21.991*N108+4665)*(10^(-4))/N101</f>
        <v>0.13328571428571429</v>
      </c>
    </row>
    <row r="110" spans="1:14">
      <c r="A110" s="3626" t="s">
        <v>1640</v>
      </c>
      <c r="B110" s="3626"/>
      <c r="C110" s="3626"/>
      <c r="D110" s="3626"/>
      <c r="E110" s="3626"/>
      <c r="F110" s="3626"/>
      <c r="G110" s="3626"/>
      <c r="H110" s="3626"/>
      <c r="I110" s="3626"/>
      <c r="J110" s="3626"/>
      <c r="K110" s="2470"/>
      <c r="L110" s="2470"/>
      <c r="M110" s="2470"/>
      <c r="N110" s="2470"/>
    </row>
    <row r="112" spans="1:14" ht="12.75" thickBot="1"/>
    <row r="113" spans="1:13" ht="25.5" thickBot="1">
      <c r="A113" s="1014" t="s">
        <v>896</v>
      </c>
      <c r="B113" s="2473">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632" t="s">
        <v>1008</v>
      </c>
      <c r="B18" s="1152" t="s">
        <v>1447</v>
      </c>
      <c r="C18" s="1129" t="s">
        <v>1448</v>
      </c>
      <c r="D18" s="1130"/>
      <c r="E18" s="1152">
        <v>1</v>
      </c>
      <c r="F18" s="1131" t="s">
        <v>1449</v>
      </c>
      <c r="G18" s="1132"/>
      <c r="H18" s="1103"/>
      <c r="I18" s="1103"/>
    </row>
    <row r="19" spans="1:9" s="1598" customFormat="1" ht="19.5" customHeight="1">
      <c r="A19" s="3632"/>
      <c r="B19" s="3632" t="s">
        <v>1450</v>
      </c>
      <c r="C19" s="1129" t="s">
        <v>1451</v>
      </c>
      <c r="D19" s="1130"/>
      <c r="E19" s="1152">
        <v>0.9</v>
      </c>
      <c r="F19" s="1131" t="s">
        <v>1452</v>
      </c>
      <c r="G19" s="1132"/>
      <c r="H19" s="1103"/>
      <c r="I19" s="1103"/>
    </row>
    <row r="20" spans="1:9" s="1598" customFormat="1" ht="19.5" customHeight="1">
      <c r="A20" s="3632"/>
      <c r="B20" s="3632"/>
      <c r="C20" s="1129" t="s">
        <v>1453</v>
      </c>
      <c r="D20" s="1130"/>
      <c r="E20" s="1152">
        <v>1.1000000000000001</v>
      </c>
      <c r="F20" s="1131" t="s">
        <v>1454</v>
      </c>
      <c r="G20" s="1132"/>
      <c r="H20" s="1103"/>
      <c r="I20" s="1103"/>
    </row>
    <row r="21" spans="1:9" s="1598" customFormat="1" ht="19.5" customHeight="1">
      <c r="A21" s="3632"/>
      <c r="B21" s="3632"/>
      <c r="C21" s="1129" t="s">
        <v>1455</v>
      </c>
      <c r="D21" s="1130"/>
      <c r="E21" s="1152">
        <v>0.8</v>
      </c>
      <c r="F21" s="1131" t="s">
        <v>1456</v>
      </c>
      <c r="G21" s="1132"/>
      <c r="H21" s="1103"/>
      <c r="I21" s="1103"/>
    </row>
    <row r="22" spans="1:9" s="1598" customFormat="1" ht="19.5" customHeight="1">
      <c r="A22" s="3632"/>
      <c r="B22" s="3632"/>
      <c r="C22" s="1129" t="s">
        <v>1457</v>
      </c>
      <c r="D22" s="1130"/>
      <c r="E22" s="1152">
        <v>0.5</v>
      </c>
      <c r="F22" s="1131"/>
      <c r="G22" s="1132"/>
      <c r="H22" s="1103"/>
      <c r="I22" s="1103"/>
    </row>
    <row r="23" spans="1:9" s="1598" customFormat="1" ht="19.5" customHeight="1">
      <c r="A23" s="3632" t="s">
        <v>1030</v>
      </c>
      <c r="B23" s="1152" t="s">
        <v>1447</v>
      </c>
      <c r="C23" s="1129" t="s">
        <v>1458</v>
      </c>
      <c r="D23" s="1130"/>
      <c r="E23" s="1152">
        <v>1</v>
      </c>
      <c r="F23" s="1131" t="s">
        <v>1459</v>
      </c>
      <c r="G23" s="1132"/>
      <c r="H23" s="1103"/>
      <c r="I23" s="1103"/>
    </row>
    <row r="24" spans="1:9" s="1598" customFormat="1" ht="19.5" customHeight="1">
      <c r="A24" s="3632"/>
      <c r="B24" s="3632" t="s">
        <v>1450</v>
      </c>
      <c r="C24" s="1129" t="s">
        <v>1460</v>
      </c>
      <c r="D24" s="1130"/>
      <c r="E24" s="1152">
        <v>0.5</v>
      </c>
      <c r="F24" s="1131"/>
      <c r="G24" s="1132"/>
      <c r="H24" s="1103"/>
      <c r="I24" s="1103"/>
    </row>
    <row r="25" spans="1:9" s="1598" customFormat="1" ht="19.5" customHeight="1">
      <c r="A25" s="3632"/>
      <c r="B25" s="3632"/>
      <c r="C25" s="1129" t="s">
        <v>1461</v>
      </c>
      <c r="D25" s="1130"/>
      <c r="E25" s="1152">
        <v>1.1000000000000001</v>
      </c>
      <c r="F25" s="1131"/>
      <c r="G25" s="1132"/>
      <c r="H25" s="1103"/>
      <c r="I25" s="1103"/>
    </row>
    <row r="26" spans="1:9" s="1598" customFormat="1" ht="19.5" customHeight="1">
      <c r="A26" s="3632"/>
      <c r="B26" s="3632"/>
      <c r="C26" s="1129" t="s">
        <v>1462</v>
      </c>
      <c r="D26" s="1130"/>
      <c r="E26" s="1152">
        <v>1.1000000000000001</v>
      </c>
      <c r="F26" s="1131"/>
      <c r="G26" s="1132"/>
      <c r="H26" s="1103"/>
      <c r="I26" s="1103"/>
    </row>
    <row r="27" spans="1:9" s="1598" customFormat="1" ht="19.5" customHeight="1">
      <c r="A27" s="3632"/>
      <c r="B27" s="3632"/>
      <c r="C27" s="1129" t="s">
        <v>1463</v>
      </c>
      <c r="D27" s="1130"/>
      <c r="E27" s="1152">
        <v>0.9</v>
      </c>
      <c r="F27" s="1131" t="s">
        <v>1464</v>
      </c>
      <c r="G27" s="1132"/>
      <c r="H27" s="1103"/>
      <c r="I27" s="1103"/>
    </row>
    <row r="28" spans="1:9" s="1598" customFormat="1" ht="19.5" customHeight="1">
      <c r="A28" s="3632"/>
      <c r="B28" s="3632"/>
      <c r="C28" s="1129" t="s">
        <v>1465</v>
      </c>
      <c r="D28" s="1130"/>
      <c r="E28" s="1152">
        <v>0.9</v>
      </c>
      <c r="F28" s="1131" t="s">
        <v>1466</v>
      </c>
      <c r="G28" s="1132"/>
      <c r="H28" s="1103"/>
      <c r="I28" s="1103"/>
    </row>
    <row r="29" spans="1:9" s="1598" customFormat="1" ht="19.5" customHeight="1">
      <c r="A29" s="3632"/>
      <c r="B29" s="3632"/>
      <c r="C29" s="1129" t="s">
        <v>1467</v>
      </c>
      <c r="D29" s="1130"/>
      <c r="E29" s="1152">
        <v>0.9</v>
      </c>
      <c r="F29" s="1131" t="s">
        <v>1468</v>
      </c>
      <c r="G29" s="1132"/>
      <c r="H29" s="1103"/>
      <c r="I29" s="1103"/>
    </row>
    <row r="30" spans="1:9" s="1598" customFormat="1" ht="19.5" customHeight="1">
      <c r="A30" s="3632"/>
      <c r="B30" s="3632"/>
      <c r="C30" s="1129" t="s">
        <v>1469</v>
      </c>
      <c r="D30" s="1130"/>
      <c r="E30" s="1152">
        <v>0.9</v>
      </c>
      <c r="F30" s="1131" t="s">
        <v>1470</v>
      </c>
      <c r="G30" s="1132"/>
      <c r="H30" s="1103"/>
      <c r="I30" s="1103"/>
    </row>
    <row r="31" spans="1:9" s="1598" customFormat="1" ht="19.5" customHeight="1">
      <c r="A31" s="3632"/>
      <c r="B31" s="3632"/>
      <c r="C31" s="1129" t="s">
        <v>1471</v>
      </c>
      <c r="D31" s="1130"/>
      <c r="E31" s="1152">
        <v>0.8</v>
      </c>
      <c r="F31" s="1131" t="s">
        <v>1472</v>
      </c>
      <c r="G31" s="1132"/>
      <c r="H31" s="1103"/>
      <c r="I31" s="1103"/>
    </row>
    <row r="32" spans="1:9" s="1598" customFormat="1" ht="19.5" customHeight="1">
      <c r="A32" s="3632"/>
      <c r="B32" s="3632"/>
      <c r="C32" s="1129" t="s">
        <v>1473</v>
      </c>
      <c r="D32" s="1130"/>
      <c r="E32" s="1152">
        <v>0.8</v>
      </c>
      <c r="F32" s="1131" t="s">
        <v>1474</v>
      </c>
      <c r="G32" s="1132"/>
      <c r="H32" s="1103"/>
      <c r="I32" s="1103"/>
    </row>
    <row r="33" spans="1:9" s="1598" customFormat="1" ht="19.5" customHeight="1">
      <c r="A33" s="3632" t="s">
        <v>1475</v>
      </c>
      <c r="B33" s="1152" t="s">
        <v>1447</v>
      </c>
      <c r="C33" s="1129" t="s">
        <v>1476</v>
      </c>
      <c r="D33" s="1130"/>
      <c r="E33" s="1152">
        <v>1</v>
      </c>
      <c r="F33" s="1131" t="s">
        <v>1477</v>
      </c>
      <c r="G33" s="1132"/>
      <c r="H33" s="1103"/>
      <c r="I33" s="1103"/>
    </row>
    <row r="34" spans="1:9" s="1598" customFormat="1" ht="19.5" customHeight="1">
      <c r="A34" s="3632"/>
      <c r="B34" s="1152" t="s">
        <v>1450</v>
      </c>
      <c r="C34" s="1129" t="s">
        <v>1478</v>
      </c>
      <c r="D34" s="1130"/>
      <c r="E34" s="1152">
        <v>1.5</v>
      </c>
      <c r="F34" s="1131" t="s">
        <v>1479</v>
      </c>
      <c r="G34" s="1132"/>
      <c r="H34" s="1103"/>
      <c r="I34" s="1103"/>
    </row>
    <row r="35" spans="1:9" s="1598" customFormat="1" ht="19.5" customHeight="1">
      <c r="A35" s="3632" t="s">
        <v>1433</v>
      </c>
      <c r="B35" s="1152" t="s">
        <v>1447</v>
      </c>
      <c r="C35" s="1129" t="s">
        <v>1480</v>
      </c>
      <c r="D35" s="1130"/>
      <c r="E35" s="1152">
        <v>1</v>
      </c>
      <c r="F35" s="1131" t="s">
        <v>1481</v>
      </c>
      <c r="G35" s="1132"/>
      <c r="H35" s="1103"/>
      <c r="I35" s="1103"/>
    </row>
    <row r="36" spans="1:9" s="1598" customFormat="1" ht="19.5" customHeight="1">
      <c r="A36" s="3632"/>
      <c r="B36" s="3632" t="s">
        <v>1450</v>
      </c>
      <c r="C36" s="1129" t="s">
        <v>1482</v>
      </c>
      <c r="D36" s="1130"/>
      <c r="E36" s="1152">
        <v>1</v>
      </c>
      <c r="F36" s="1131" t="s">
        <v>1483</v>
      </c>
      <c r="G36" s="1132"/>
      <c r="H36" s="1103"/>
      <c r="I36" s="1103"/>
    </row>
    <row r="37" spans="1:9" s="1598" customFormat="1" ht="19.5" customHeight="1">
      <c r="A37" s="3632"/>
      <c r="B37" s="3632"/>
      <c r="C37" s="1129" t="s">
        <v>1484</v>
      </c>
      <c r="D37" s="1130"/>
      <c r="E37" s="1152">
        <v>1.5</v>
      </c>
      <c r="F37" s="1131" t="s">
        <v>1485</v>
      </c>
      <c r="G37" s="1132"/>
      <c r="H37" s="1103"/>
      <c r="I37" s="1103"/>
    </row>
    <row r="38" spans="1:9" s="1598" customFormat="1" ht="19.5" customHeight="1">
      <c r="A38" s="3632"/>
      <c r="B38" s="3632"/>
      <c r="C38" s="1129" t="s">
        <v>1486</v>
      </c>
      <c r="D38" s="1130"/>
      <c r="E38" s="1152">
        <v>1</v>
      </c>
      <c r="F38" s="1131" t="s">
        <v>1487</v>
      </c>
      <c r="G38" s="1132"/>
      <c r="H38" s="1103"/>
      <c r="I38" s="1103"/>
    </row>
    <row r="39" spans="1:9" s="1598" customFormat="1" ht="19.5" customHeight="1">
      <c r="A39" s="3632"/>
      <c r="B39" s="3632"/>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632" t="s">
        <v>1502</v>
      </c>
      <c r="C61" s="1066" t="s">
        <v>1503</v>
      </c>
      <c r="D61" s="1066" t="s">
        <v>1504</v>
      </c>
      <c r="E61" s="1137">
        <v>0.5</v>
      </c>
      <c r="F61" s="1152">
        <v>80</v>
      </c>
      <c r="H61" s="1103">
        <f>SUMIF(C59:C119,基准地价!C8,E59:E119)</f>
        <v>0</v>
      </c>
    </row>
    <row r="62" spans="1:8" s="1103" customFormat="1" ht="24">
      <c r="A62" s="1152">
        <v>2</v>
      </c>
      <c r="B62" s="3632"/>
      <c r="C62" s="1066" t="s">
        <v>1505</v>
      </c>
      <c r="D62" s="1066" t="s">
        <v>1506</v>
      </c>
      <c r="E62" s="1137">
        <v>0.5</v>
      </c>
      <c r="F62" s="1152">
        <v>80</v>
      </c>
    </row>
    <row r="63" spans="1:8" s="1103" customFormat="1" ht="36">
      <c r="A63" s="1152">
        <v>3</v>
      </c>
      <c r="B63" s="3632"/>
      <c r="C63" s="1066" t="s">
        <v>1507</v>
      </c>
      <c r="D63" s="1066" t="s">
        <v>1508</v>
      </c>
      <c r="E63" s="1137">
        <v>0.5</v>
      </c>
      <c r="F63" s="1152">
        <v>80</v>
      </c>
    </row>
    <row r="64" spans="1:8" s="1103" customFormat="1" ht="36">
      <c r="A64" s="1152">
        <v>4</v>
      </c>
      <c r="B64" s="3632"/>
      <c r="C64" s="1066" t="s">
        <v>1509</v>
      </c>
      <c r="D64" s="1066" t="s">
        <v>1510</v>
      </c>
      <c r="E64" s="1137">
        <v>0.4</v>
      </c>
      <c r="F64" s="1152">
        <v>60</v>
      </c>
    </row>
    <row r="65" spans="1:6" s="1103" customFormat="1" ht="36">
      <c r="A65" s="1152">
        <v>5</v>
      </c>
      <c r="B65" s="3632"/>
      <c r="C65" s="1066" t="s">
        <v>1511</v>
      </c>
      <c r="D65" s="1066" t="s">
        <v>1512</v>
      </c>
      <c r="E65" s="1137">
        <v>0.2</v>
      </c>
      <c r="F65" s="1152">
        <v>30</v>
      </c>
    </row>
    <row r="66" spans="1:6" s="1103" customFormat="1" ht="36">
      <c r="A66" s="1152">
        <v>6</v>
      </c>
      <c r="B66" s="3632"/>
      <c r="C66" s="1066" t="s">
        <v>1513</v>
      </c>
      <c r="D66" s="1066" t="s">
        <v>1514</v>
      </c>
      <c r="E66" s="1137">
        <v>0.3</v>
      </c>
      <c r="F66" s="1152">
        <v>50</v>
      </c>
    </row>
    <row r="67" spans="1:6" s="1103" customFormat="1" ht="36">
      <c r="A67" s="1152">
        <v>7</v>
      </c>
      <c r="B67" s="3632"/>
      <c r="C67" s="1066" t="s">
        <v>1515</v>
      </c>
      <c r="D67" s="1066" t="s">
        <v>1516</v>
      </c>
      <c r="E67" s="1137">
        <v>0.2</v>
      </c>
      <c r="F67" s="1152">
        <v>30</v>
      </c>
    </row>
    <row r="68" spans="1:6" s="1103" customFormat="1" ht="36">
      <c r="A68" s="1152">
        <v>8</v>
      </c>
      <c r="B68" s="3632"/>
      <c r="C68" s="1066" t="s">
        <v>1517</v>
      </c>
      <c r="D68" s="1066" t="s">
        <v>1518</v>
      </c>
      <c r="E68" s="1137">
        <v>0.2</v>
      </c>
      <c r="F68" s="1152">
        <v>30</v>
      </c>
    </row>
    <row r="69" spans="1:6" s="1103" customFormat="1" ht="36">
      <c r="A69" s="1152">
        <v>9</v>
      </c>
      <c r="B69" s="3632"/>
      <c r="C69" s="1066" t="s">
        <v>1519</v>
      </c>
      <c r="D69" s="1066" t="s">
        <v>1520</v>
      </c>
      <c r="E69" s="1137">
        <v>0.2</v>
      </c>
      <c r="F69" s="1152">
        <v>30</v>
      </c>
    </row>
    <row r="70" spans="1:6" s="1103" customFormat="1" ht="48">
      <c r="A70" s="1152">
        <v>10</v>
      </c>
      <c r="B70" s="3632"/>
      <c r="C70" s="1066" t="s">
        <v>1521</v>
      </c>
      <c r="D70" s="1066" t="s">
        <v>1522</v>
      </c>
      <c r="E70" s="1137">
        <v>0.2</v>
      </c>
      <c r="F70" s="1152">
        <v>30</v>
      </c>
    </row>
    <row r="71" spans="1:6" s="1103" customFormat="1" ht="48">
      <c r="A71" s="1152">
        <v>11</v>
      </c>
      <c r="B71" s="3632"/>
      <c r="C71" s="1066" t="s">
        <v>1523</v>
      </c>
      <c r="D71" s="1066" t="s">
        <v>1524</v>
      </c>
      <c r="E71" s="1137">
        <v>0.2</v>
      </c>
      <c r="F71" s="1152">
        <v>30</v>
      </c>
    </row>
    <row r="72" spans="1:6" s="1103" customFormat="1" ht="36">
      <c r="A72" s="1152">
        <v>12</v>
      </c>
      <c r="B72" s="3632"/>
      <c r="C72" s="1066" t="s">
        <v>1525</v>
      </c>
      <c r="D72" s="1066" t="s">
        <v>1526</v>
      </c>
      <c r="E72" s="1137">
        <v>0.5</v>
      </c>
      <c r="F72" s="1152">
        <v>80</v>
      </c>
    </row>
    <row r="73" spans="1:6" s="1103" customFormat="1" ht="24">
      <c r="A73" s="1152">
        <v>13</v>
      </c>
      <c r="B73" s="3632"/>
      <c r="C73" s="1066" t="s">
        <v>1527</v>
      </c>
      <c r="D73" s="1066" t="s">
        <v>1528</v>
      </c>
      <c r="E73" s="1137">
        <v>0.4</v>
      </c>
      <c r="F73" s="1152">
        <v>60</v>
      </c>
    </row>
    <row r="74" spans="1:6" s="1103" customFormat="1" ht="24">
      <c r="A74" s="1152">
        <v>14</v>
      </c>
      <c r="B74" s="3632"/>
      <c r="C74" s="1066" t="s">
        <v>1529</v>
      </c>
      <c r="D74" s="1066" t="s">
        <v>1530</v>
      </c>
      <c r="E74" s="1137">
        <v>0.2</v>
      </c>
      <c r="F74" s="1152">
        <v>30</v>
      </c>
    </row>
    <row r="75" spans="1:6" s="1103" customFormat="1" ht="24">
      <c r="A75" s="1152">
        <v>15</v>
      </c>
      <c r="B75" s="3632"/>
      <c r="C75" s="1066" t="s">
        <v>1531</v>
      </c>
      <c r="D75" s="1066" t="s">
        <v>1532</v>
      </c>
      <c r="E75" s="1137">
        <v>0.2</v>
      </c>
      <c r="F75" s="1152">
        <v>30</v>
      </c>
    </row>
    <row r="76" spans="1:6" s="1103" customFormat="1" ht="24">
      <c r="A76" s="1152">
        <v>16</v>
      </c>
      <c r="B76" s="3632" t="s">
        <v>1533</v>
      </c>
      <c r="C76" s="1066" t="s">
        <v>1534</v>
      </c>
      <c r="D76" s="1066" t="s">
        <v>1535</v>
      </c>
      <c r="E76" s="1137">
        <v>0.5</v>
      </c>
      <c r="F76" s="1152">
        <v>80</v>
      </c>
    </row>
    <row r="77" spans="1:6" s="1103" customFormat="1" ht="24">
      <c r="A77" s="1152">
        <v>17</v>
      </c>
      <c r="B77" s="3632"/>
      <c r="C77" s="1066" t="s">
        <v>1536</v>
      </c>
      <c r="D77" s="1066" t="s">
        <v>1537</v>
      </c>
      <c r="E77" s="1137">
        <v>0.5</v>
      </c>
      <c r="F77" s="1152">
        <v>80</v>
      </c>
    </row>
    <row r="78" spans="1:6" s="1103" customFormat="1" ht="24">
      <c r="A78" s="1152">
        <v>18</v>
      </c>
      <c r="B78" s="3632"/>
      <c r="C78" s="1066" t="s">
        <v>1538</v>
      </c>
      <c r="D78" s="1066" t="s">
        <v>1539</v>
      </c>
      <c r="E78" s="1137">
        <v>0.2</v>
      </c>
      <c r="F78" s="1152">
        <v>30</v>
      </c>
    </row>
    <row r="79" spans="1:6" s="1103" customFormat="1" ht="24">
      <c r="A79" s="1152">
        <v>19</v>
      </c>
      <c r="B79" s="3632"/>
      <c r="C79" s="1066" t="s">
        <v>1540</v>
      </c>
      <c r="D79" s="1066" t="s">
        <v>1541</v>
      </c>
      <c r="E79" s="1137">
        <v>0.5</v>
      </c>
      <c r="F79" s="1152">
        <v>80</v>
      </c>
    </row>
    <row r="80" spans="1:6" s="1103" customFormat="1" ht="36">
      <c r="A80" s="1152">
        <v>20</v>
      </c>
      <c r="B80" s="3632"/>
      <c r="C80" s="1066" t="s">
        <v>1542</v>
      </c>
      <c r="D80" s="1066" t="s">
        <v>1543</v>
      </c>
      <c r="E80" s="1137">
        <v>0.2</v>
      </c>
      <c r="F80" s="1152">
        <v>30</v>
      </c>
    </row>
    <row r="81" spans="1:6" s="1103" customFormat="1" ht="36">
      <c r="A81" s="1152">
        <v>21</v>
      </c>
      <c r="B81" s="3632"/>
      <c r="C81" s="1066" t="s">
        <v>1544</v>
      </c>
      <c r="D81" s="1066" t="s">
        <v>1545</v>
      </c>
      <c r="E81" s="1137">
        <v>0.2</v>
      </c>
      <c r="F81" s="1152">
        <v>30</v>
      </c>
    </row>
    <row r="82" spans="1:6" s="1103" customFormat="1" ht="48">
      <c r="A82" s="1152">
        <v>22</v>
      </c>
      <c r="B82" s="3632"/>
      <c r="C82" s="1066" t="s">
        <v>1546</v>
      </c>
      <c r="D82" s="1066" t="s">
        <v>1547</v>
      </c>
      <c r="E82" s="1137">
        <v>0.2</v>
      </c>
      <c r="F82" s="1152">
        <v>30</v>
      </c>
    </row>
    <row r="83" spans="1:6" s="1103" customFormat="1" ht="48">
      <c r="A83" s="1152">
        <v>23</v>
      </c>
      <c r="B83" s="3632"/>
      <c r="C83" s="1066" t="s">
        <v>1548</v>
      </c>
      <c r="D83" s="1066" t="s">
        <v>1549</v>
      </c>
      <c r="E83" s="1137">
        <v>0.2</v>
      </c>
      <c r="F83" s="1152">
        <v>30</v>
      </c>
    </row>
    <row r="84" spans="1:6" s="1103" customFormat="1" ht="36">
      <c r="A84" s="1152">
        <v>24</v>
      </c>
      <c r="B84" s="3632"/>
      <c r="C84" s="1066" t="s">
        <v>1550</v>
      </c>
      <c r="D84" s="1066" t="s">
        <v>1551</v>
      </c>
      <c r="E84" s="1137">
        <v>0.2</v>
      </c>
      <c r="F84" s="1152">
        <v>30</v>
      </c>
    </row>
    <row r="85" spans="1:6" s="1103" customFormat="1" ht="36">
      <c r="A85" s="1152">
        <v>25</v>
      </c>
      <c r="B85" s="3632"/>
      <c r="C85" s="1066" t="s">
        <v>1552</v>
      </c>
      <c r="D85" s="1066" t="s">
        <v>1553</v>
      </c>
      <c r="E85" s="1137">
        <v>0.5</v>
      </c>
      <c r="F85" s="1152">
        <v>80</v>
      </c>
    </row>
    <row r="86" spans="1:6" s="1103" customFormat="1" ht="36">
      <c r="A86" s="1152">
        <v>26</v>
      </c>
      <c r="B86" s="3632"/>
      <c r="C86" s="1066" t="s">
        <v>1554</v>
      </c>
      <c r="D86" s="1066" t="s">
        <v>1555</v>
      </c>
      <c r="E86" s="1137">
        <v>0.2</v>
      </c>
      <c r="F86" s="1152">
        <v>30</v>
      </c>
    </row>
    <row r="87" spans="1:6" s="1103" customFormat="1" ht="36">
      <c r="A87" s="1152">
        <v>27</v>
      </c>
      <c r="B87" s="3632"/>
      <c r="C87" s="1066" t="s">
        <v>1556</v>
      </c>
      <c r="D87" s="1066" t="s">
        <v>1557</v>
      </c>
      <c r="E87" s="1137">
        <v>0.2</v>
      </c>
      <c r="F87" s="1152">
        <v>30</v>
      </c>
    </row>
    <row r="88" spans="1:6" s="1103" customFormat="1" ht="36">
      <c r="A88" s="1152">
        <v>28</v>
      </c>
      <c r="B88" s="3632"/>
      <c r="C88" s="1066" t="s">
        <v>1558</v>
      </c>
      <c r="D88" s="1066" t="s">
        <v>1559</v>
      </c>
      <c r="E88" s="1137">
        <v>0.2</v>
      </c>
      <c r="F88" s="1152">
        <v>30</v>
      </c>
    </row>
    <row r="89" spans="1:6" s="1103" customFormat="1" ht="24">
      <c r="A89" s="1152">
        <v>29</v>
      </c>
      <c r="B89" s="3632"/>
      <c r="C89" s="1066" t="s">
        <v>1560</v>
      </c>
      <c r="D89" s="1066" t="s">
        <v>1561</v>
      </c>
      <c r="E89" s="1137">
        <v>0.2</v>
      </c>
      <c r="F89" s="1152">
        <v>30</v>
      </c>
    </row>
    <row r="90" spans="1:6" s="1103" customFormat="1" ht="24">
      <c r="A90" s="1152">
        <v>30</v>
      </c>
      <c r="B90" s="3632"/>
      <c r="C90" s="1066" t="s">
        <v>1562</v>
      </c>
      <c r="D90" s="1066" t="s">
        <v>1563</v>
      </c>
      <c r="E90" s="1137">
        <v>0.2</v>
      </c>
      <c r="F90" s="1152">
        <v>30</v>
      </c>
    </row>
    <row r="91" spans="1:6" s="1103" customFormat="1" ht="36">
      <c r="A91" s="1152">
        <v>31</v>
      </c>
      <c r="B91" s="3632"/>
      <c r="C91" s="1066" t="s">
        <v>1564</v>
      </c>
      <c r="D91" s="1066" t="s">
        <v>1565</v>
      </c>
      <c r="E91" s="1137">
        <v>0.2</v>
      </c>
      <c r="F91" s="1152">
        <v>30</v>
      </c>
    </row>
    <row r="92" spans="1:6" s="1103" customFormat="1" ht="24">
      <c r="A92" s="1152">
        <v>32</v>
      </c>
      <c r="B92" s="3632" t="s">
        <v>1566</v>
      </c>
      <c r="C92" s="1152" t="s">
        <v>1567</v>
      </c>
      <c r="D92" s="1066" t="s">
        <v>1568</v>
      </c>
      <c r="E92" s="1137">
        <v>0.2</v>
      </c>
      <c r="F92" s="1152">
        <v>30</v>
      </c>
    </row>
    <row r="93" spans="1:6" s="1103" customFormat="1" ht="36">
      <c r="A93" s="1152">
        <v>33</v>
      </c>
      <c r="B93" s="3632"/>
      <c r="C93" s="1152" t="s">
        <v>1569</v>
      </c>
      <c r="D93" s="1066" t="s">
        <v>1570</v>
      </c>
      <c r="E93" s="1137">
        <v>0.2</v>
      </c>
      <c r="F93" s="1152">
        <v>30</v>
      </c>
    </row>
    <row r="94" spans="1:6" s="1103" customFormat="1" ht="48">
      <c r="A94" s="1152">
        <v>34</v>
      </c>
      <c r="B94" s="3632"/>
      <c r="C94" s="1152" t="s">
        <v>1571</v>
      </c>
      <c r="D94" s="1066" t="s">
        <v>1572</v>
      </c>
      <c r="E94" s="1137">
        <v>0.2</v>
      </c>
      <c r="F94" s="1152">
        <v>30</v>
      </c>
    </row>
    <row r="95" spans="1:6" s="1103" customFormat="1" ht="36">
      <c r="A95" s="1152">
        <v>35</v>
      </c>
      <c r="B95" s="3632"/>
      <c r="C95" s="1152" t="s">
        <v>1573</v>
      </c>
      <c r="D95" s="1066" t="s">
        <v>1574</v>
      </c>
      <c r="E95" s="1137">
        <v>0.2</v>
      </c>
      <c r="F95" s="1152">
        <v>30</v>
      </c>
    </row>
    <row r="96" spans="1:6" s="1103" customFormat="1" ht="48">
      <c r="A96" s="1152">
        <v>36</v>
      </c>
      <c r="B96" s="3632"/>
      <c r="C96" s="1066" t="s">
        <v>1575</v>
      </c>
      <c r="D96" s="1066" t="s">
        <v>1576</v>
      </c>
      <c r="E96" s="1137">
        <v>0.2</v>
      </c>
      <c r="F96" s="1152">
        <v>30</v>
      </c>
    </row>
    <row r="97" spans="1:6" s="1103" customFormat="1" ht="36">
      <c r="A97" s="1152">
        <v>37</v>
      </c>
      <c r="B97" s="3632"/>
      <c r="C97" s="1152" t="s">
        <v>1577</v>
      </c>
      <c r="D97" s="1066" t="s">
        <v>1578</v>
      </c>
      <c r="E97" s="1137">
        <v>0.2</v>
      </c>
      <c r="F97" s="1152">
        <v>30</v>
      </c>
    </row>
    <row r="98" spans="1:6" s="1103" customFormat="1" ht="36">
      <c r="A98" s="1152">
        <v>38</v>
      </c>
      <c r="B98" s="3632"/>
      <c r="C98" s="1152" t="s">
        <v>1579</v>
      </c>
      <c r="D98" s="1066" t="s">
        <v>1580</v>
      </c>
      <c r="E98" s="1137">
        <v>0.2</v>
      </c>
      <c r="F98" s="1152">
        <v>30</v>
      </c>
    </row>
    <row r="99" spans="1:6" s="1103" customFormat="1" ht="36">
      <c r="A99" s="1152">
        <v>39</v>
      </c>
      <c r="B99" s="3632" t="s">
        <v>1581</v>
      </c>
      <c r="C99" s="1152" t="s">
        <v>1582</v>
      </c>
      <c r="D99" s="1066" t="s">
        <v>1583</v>
      </c>
      <c r="E99" s="1137">
        <v>0.3</v>
      </c>
      <c r="F99" s="1152">
        <v>50</v>
      </c>
    </row>
    <row r="100" spans="1:6" s="1103" customFormat="1" ht="24">
      <c r="A100" s="1152">
        <v>40</v>
      </c>
      <c r="B100" s="3632"/>
      <c r="C100" s="1152" t="s">
        <v>1584</v>
      </c>
      <c r="D100" s="1066" t="s">
        <v>1585</v>
      </c>
      <c r="E100" s="1137">
        <v>0.2</v>
      </c>
      <c r="F100" s="1152">
        <v>30</v>
      </c>
    </row>
    <row r="101" spans="1:6" s="1103" customFormat="1" ht="36">
      <c r="A101" s="1152">
        <v>41</v>
      </c>
      <c r="B101" s="3632"/>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632" t="s">
        <v>1596</v>
      </c>
      <c r="C105" s="1152" t="s">
        <v>1597</v>
      </c>
      <c r="D105" s="1066" t="s">
        <v>1598</v>
      </c>
      <c r="E105" s="1137">
        <v>0.2</v>
      </c>
      <c r="F105" s="1152">
        <v>30</v>
      </c>
    </row>
    <row r="106" spans="1:6" s="1103" customFormat="1" ht="36">
      <c r="A106" s="1152">
        <v>46</v>
      </c>
      <c r="B106" s="3632"/>
      <c r="C106" s="1152" t="s">
        <v>1599</v>
      </c>
      <c r="D106" s="1066" t="s">
        <v>1600</v>
      </c>
      <c r="E106" s="1137">
        <v>0.2</v>
      </c>
      <c r="F106" s="1152">
        <v>30</v>
      </c>
    </row>
    <row r="107" spans="1:6" s="1103" customFormat="1" ht="36">
      <c r="A107" s="1152">
        <v>47</v>
      </c>
      <c r="B107" s="3632" t="s">
        <v>1601</v>
      </c>
      <c r="C107" s="1152" t="s">
        <v>1602</v>
      </c>
      <c r="D107" s="1066" t="s">
        <v>1603</v>
      </c>
      <c r="E107" s="1137">
        <v>0.3</v>
      </c>
      <c r="F107" s="1152">
        <v>50</v>
      </c>
    </row>
    <row r="108" spans="1:6" s="1103" customFormat="1" ht="36">
      <c r="A108" s="1152">
        <v>48</v>
      </c>
      <c r="B108" s="3632"/>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632" t="s">
        <v>1612</v>
      </c>
      <c r="C111" s="1152" t="s">
        <v>1613</v>
      </c>
      <c r="D111" s="1066" t="s">
        <v>1614</v>
      </c>
      <c r="E111" s="1137">
        <v>0.2</v>
      </c>
      <c r="F111" s="1152">
        <v>30</v>
      </c>
    </row>
    <row r="112" spans="1:6" s="1103" customFormat="1" ht="24">
      <c r="A112" s="1152">
        <v>52</v>
      </c>
      <c r="B112" s="3632"/>
      <c r="C112" s="1152" t="s">
        <v>1615</v>
      </c>
      <c r="D112" s="1066" t="s">
        <v>1616</v>
      </c>
      <c r="E112" s="1137">
        <v>0.2</v>
      </c>
      <c r="F112" s="1152">
        <v>30</v>
      </c>
    </row>
    <row r="113" spans="1:14" s="1103" customFormat="1" ht="24">
      <c r="A113" s="1152">
        <v>53</v>
      </c>
      <c r="B113" s="3632"/>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632" t="s">
        <v>1625</v>
      </c>
      <c r="C116" s="1152" t="s">
        <v>1626</v>
      </c>
      <c r="D116" s="1066" t="s">
        <v>1627</v>
      </c>
      <c r="E116" s="1137">
        <v>0.2</v>
      </c>
      <c r="F116" s="1152">
        <v>30</v>
      </c>
    </row>
    <row r="117" spans="1:14" ht="36">
      <c r="A117" s="1152">
        <v>57</v>
      </c>
      <c r="B117" s="3632"/>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631" t="s">
        <v>1634</v>
      </c>
      <c r="B121" s="3631"/>
      <c r="C121" s="3631"/>
      <c r="D121" s="3631"/>
      <c r="E121" s="3631"/>
      <c r="F121" s="3631"/>
      <c r="G121" s="3631"/>
      <c r="H121" s="3631"/>
      <c r="I121" s="3631"/>
      <c r="J121" s="363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644" t="s">
        <v>1040</v>
      </c>
      <c r="B1" s="3644"/>
      <c r="C1" s="3644"/>
      <c r="D1" s="3644"/>
      <c r="E1" s="3644"/>
      <c r="F1" s="3644"/>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645" t="s">
        <v>1053</v>
      </c>
      <c r="B2" s="3645"/>
      <c r="C2" s="3645"/>
      <c r="D2" s="3645"/>
      <c r="E2" s="3645"/>
      <c r="F2" s="3645"/>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646"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647"/>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26180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648" t="s">
        <v>2082</v>
      </c>
      <c r="B1" s="3648"/>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f ca="1">SUMIF(B7:B14,"&lt;&gt;#ref!",B7:B14)</f>
        <v>35903</v>
      </c>
      <c r="C2" s="3133" t="s">
        <v>2946</v>
      </c>
      <c r="D2" s="3132"/>
      <c r="E2" s="3132"/>
      <c r="F2" s="3132"/>
    </row>
    <row r="3" spans="1:6" ht="14.25">
      <c r="A3" s="3133" t="s">
        <v>2948</v>
      </c>
      <c r="B3" s="3134" t="e">
        <f ca="1">ROUND(B2*10000/E3,0)</f>
        <v>#REF!</v>
      </c>
      <c r="C3" s="3133" t="s">
        <v>2081</v>
      </c>
      <c r="D3" s="3133" t="s">
        <v>2947</v>
      </c>
      <c r="E3" s="3134" t="e">
        <f ca="1">SUM(E7:E14)</f>
        <v>#REF!</v>
      </c>
      <c r="F3" s="3132"/>
    </row>
    <row r="4" spans="1:6" ht="14.25">
      <c r="A4" s="3133" t="s">
        <v>2955</v>
      </c>
      <c r="B4" s="3134" t="e">
        <f ca="1">ROUND(B2*10000/E4,0)</f>
        <v>#REF!</v>
      </c>
      <c r="C4" s="3133" t="s">
        <v>2081</v>
      </c>
      <c r="D4" s="3133" t="s">
        <v>2956</v>
      </c>
      <c r="E4" s="3134" t="e">
        <f ca="1">SUM(F7:F14)</f>
        <v>#REF!</v>
      </c>
      <c r="F4" s="3132"/>
    </row>
    <row r="5" spans="1:6" ht="14.25">
      <c r="A5" s="3135"/>
      <c r="B5" s="1881"/>
      <c r="C5" s="1881"/>
      <c r="D5" s="1881"/>
      <c r="E5" s="1881"/>
      <c r="F5" s="3132"/>
    </row>
    <row r="6" spans="1:6" ht="28.5">
      <c r="A6" s="3136" t="s">
        <v>2952</v>
      </c>
      <c r="B6" s="3133" t="s">
        <v>2949</v>
      </c>
      <c r="C6" s="3134"/>
      <c r="D6" s="1881"/>
      <c r="E6" s="3133" t="s">
        <v>2950</v>
      </c>
      <c r="F6" s="3133" t="s">
        <v>2954</v>
      </c>
    </row>
    <row r="7" spans="1:6" ht="14.25">
      <c r="A7" s="258" t="s">
        <v>2953</v>
      </c>
      <c r="B7" s="3137">
        <f ca="1">SUMIF(INDIRECT("'"&amp;A7&amp;"'"&amp;"!A:A"),"总价",INDIRECT("'"&amp;A7&amp;"'"&amp;"!B:B"))</f>
        <v>35903</v>
      </c>
      <c r="C7" s="3133" t="s">
        <v>2946</v>
      </c>
      <c r="D7" s="1881"/>
      <c r="E7" s="3138">
        <f ca="1">SUMIF(INDIRECT("'"&amp;A7&amp;"'"&amp;"!C:C"),"建筑面积",INDIRECT("'"&amp;A7&amp;"'"&amp;"!D:D"))</f>
        <v>10000</v>
      </c>
      <c r="F7" s="3138">
        <f ca="1">SUMIF(INDIRECT("'"&amp;A7&amp;"'"&amp;"!E:E"),"土地面积",INDIRECT("'"&amp;A7&amp;"'"&amp;"!F:F"))</f>
        <v>2079.0700000000002</v>
      </c>
    </row>
    <row r="8" spans="1:6" ht="14.25">
      <c r="A8" s="258"/>
      <c r="B8" s="3137" t="e">
        <f t="shared" ref="B8:B14" ca="1" si="0">SUMIF(INDIRECT("'"&amp;A8&amp;"'"&amp;"!A:A"),"总价",INDIRECT("'"&amp;A8&amp;"'"&amp;"!B:B"))</f>
        <v>#REF!</v>
      </c>
      <c r="C8" s="3133" t="s">
        <v>2946</v>
      </c>
      <c r="D8" s="1881"/>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81"/>
      <c r="E9" s="3138" t="e">
        <f t="shared" ca="1" si="1"/>
        <v>#REF!</v>
      </c>
      <c r="F9" s="3138" t="e">
        <f t="shared" ca="1" si="2"/>
        <v>#REF!</v>
      </c>
    </row>
    <row r="10" spans="1:6" ht="14.25">
      <c r="A10" s="258"/>
      <c r="B10" s="3137" t="e">
        <f t="shared" ca="1" si="0"/>
        <v>#REF!</v>
      </c>
      <c r="C10" s="3133" t="s">
        <v>2946</v>
      </c>
      <c r="D10" s="1881"/>
      <c r="E10" s="3138" t="e">
        <f t="shared" ca="1" si="1"/>
        <v>#REF!</v>
      </c>
      <c r="F10" s="3138" t="e">
        <f t="shared" ca="1" si="2"/>
        <v>#REF!</v>
      </c>
    </row>
    <row r="11" spans="1:6" ht="14.25">
      <c r="A11" s="258"/>
      <c r="B11" s="3137" t="e">
        <f t="shared" ca="1" si="0"/>
        <v>#REF!</v>
      </c>
      <c r="C11" s="3133" t="s">
        <v>2946</v>
      </c>
      <c r="D11" s="1881"/>
      <c r="E11" s="3138" t="e">
        <f t="shared" ca="1" si="1"/>
        <v>#REF!</v>
      </c>
      <c r="F11" s="3138" t="e">
        <f t="shared" ca="1" si="2"/>
        <v>#REF!</v>
      </c>
    </row>
    <row r="12" spans="1:6" ht="14.25">
      <c r="A12" s="258"/>
      <c r="B12" s="3137" t="e">
        <f t="shared" ca="1" si="0"/>
        <v>#REF!</v>
      </c>
      <c r="C12" s="3133" t="s">
        <v>2946</v>
      </c>
      <c r="D12" s="1881"/>
      <c r="E12" s="3138" t="e">
        <f t="shared" ca="1" si="1"/>
        <v>#REF!</v>
      </c>
      <c r="F12" s="3138" t="e">
        <f t="shared" ca="1" si="2"/>
        <v>#REF!</v>
      </c>
    </row>
    <row r="13" spans="1:6" ht="14.25">
      <c r="A13" s="258"/>
      <c r="B13" s="3137" t="e">
        <f t="shared" ca="1" si="0"/>
        <v>#REF!</v>
      </c>
      <c r="C13" s="3133" t="s">
        <v>2946</v>
      </c>
      <c r="D13" s="1881"/>
      <c r="E13" s="3138" t="e">
        <f t="shared" ca="1" si="1"/>
        <v>#REF!</v>
      </c>
      <c r="F13" s="3138" t="e">
        <f t="shared" ca="1" si="2"/>
        <v>#REF!</v>
      </c>
    </row>
    <row r="14" spans="1:6" ht="14.25">
      <c r="A14" s="3131"/>
      <c r="B14" s="3137" t="e">
        <f t="shared" ca="1" si="0"/>
        <v>#REF!</v>
      </c>
      <c r="C14" s="3133" t="s">
        <v>2946</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2462</v>
      </c>
      <c r="C7" s="51">
        <f ca="1">C8+C12+C14</f>
        <v>0</v>
      </c>
      <c r="D7" s="2518" t="s">
        <v>2465</v>
      </c>
      <c r="E7" s="2512"/>
      <c r="F7" s="2513"/>
      <c r="G7" s="1591"/>
      <c r="H7" s="779">
        <v>1</v>
      </c>
      <c r="I7" s="780" t="s">
        <v>2462</v>
      </c>
      <c r="J7" s="51">
        <f ca="1">J8+J12+J14</f>
        <v>0</v>
      </c>
      <c r="K7" s="2518" t="s">
        <v>2465</v>
      </c>
      <c r="L7" s="2512"/>
      <c r="M7" s="2513"/>
    </row>
    <row r="8" spans="1:25" ht="18" customHeight="1">
      <c r="A8" s="1830" t="s">
        <v>1825</v>
      </c>
      <c r="B8" s="3650" t="s">
        <v>2467</v>
      </c>
      <c r="C8" s="1825">
        <f ca="1">ROUND(F8*F10*F9*(1-F11)/10000,0)</f>
        <v>0</v>
      </c>
      <c r="D8" s="1822" t="s">
        <v>2538</v>
      </c>
      <c r="E8" s="59" t="s">
        <v>637</v>
      </c>
      <c r="F8" s="783">
        <f ca="1">INDIRECT("'数据-取费表'!u"&amp;$G$1)</f>
        <v>0</v>
      </c>
      <c r="G8" s="1591"/>
      <c r="H8" s="2526" t="s">
        <v>1825</v>
      </c>
      <c r="I8" s="3650" t="s">
        <v>2467</v>
      </c>
      <c r="J8" s="781">
        <f ca="1">ROUND(M8*M10*M9*(1-M11)/10000,0)</f>
        <v>0</v>
      </c>
      <c r="K8" s="339" t="s">
        <v>2538</v>
      </c>
      <c r="L8" s="782" t="s">
        <v>1739</v>
      </c>
      <c r="M8" s="783">
        <f ca="1">INDIRECT("'数据-取费表'!z"&amp;$G$1)</f>
        <v>0</v>
      </c>
    </row>
    <row r="9" spans="1:25" ht="18" customHeight="1">
      <c r="A9" s="2522"/>
      <c r="B9" s="3651"/>
      <c r="C9" s="1826"/>
      <c r="D9" s="1823"/>
      <c r="E9" s="59" t="s">
        <v>638</v>
      </c>
      <c r="F9" s="783">
        <f ca="1">IF(INDIRECT("'数据-取费表'!ah"&amp;$G$1)="",INDIRECT("'数据-取费表'!k"&amp;$G$1),INDIRECT("'数据-取费表'!ah"&amp;$G$1))</f>
        <v>0</v>
      </c>
      <c r="G9" s="1591"/>
      <c r="H9" s="2511"/>
      <c r="I9" s="3651"/>
      <c r="J9" s="786"/>
      <c r="K9" s="787"/>
      <c r="L9" s="782" t="s">
        <v>1740</v>
      </c>
      <c r="M9" s="783">
        <f ca="1">F9</f>
        <v>0</v>
      </c>
    </row>
    <row r="10" spans="1:25" ht="18" customHeight="1">
      <c r="A10" s="2515"/>
      <c r="B10" s="3652"/>
      <c r="C10" s="1826"/>
      <c r="D10" s="1823"/>
      <c r="E10" s="59" t="s">
        <v>639</v>
      </c>
      <c r="F10" s="783">
        <f ca="1">INDIRECT("'数据-取费表'!ai"&amp;$G$1)</f>
        <v>0</v>
      </c>
      <c r="G10" s="1591"/>
      <c r="H10" s="2511"/>
      <c r="I10" s="3652"/>
      <c r="J10" s="786"/>
      <c r="K10" s="787"/>
      <c r="L10" s="782" t="s">
        <v>1741</v>
      </c>
      <c r="M10" s="783">
        <f ca="1">INDIRECT("'数据-取费表'!ai"&amp;$G$1)</f>
        <v>0</v>
      </c>
    </row>
    <row r="11" spans="1:25" ht="18" customHeight="1">
      <c r="A11" s="784"/>
      <c r="B11" s="3653"/>
      <c r="C11" s="1826"/>
      <c r="D11" s="1823"/>
      <c r="E11" s="59" t="s">
        <v>640</v>
      </c>
      <c r="F11" s="792">
        <f ca="1">INDIRECT("'数据-取费表'!w"&amp;$G$1)</f>
        <v>0</v>
      </c>
      <c r="G11" s="1591"/>
      <c r="H11" s="2527"/>
      <c r="I11" s="3652"/>
      <c r="J11" s="786"/>
      <c r="K11" s="787"/>
      <c r="L11" s="793" t="s">
        <v>1742</v>
      </c>
      <c r="M11" s="794">
        <f ca="1">INDIRECT("'数据-取费表'!ab"&amp;$G$1)</f>
        <v>0</v>
      </c>
    </row>
    <row r="12" spans="1:25" ht="18" customHeight="1">
      <c r="A12" s="1830" t="s">
        <v>1826</v>
      </c>
      <c r="B12" s="2516" t="s">
        <v>2463</v>
      </c>
      <c r="C12" s="797">
        <f ca="1">ROUND(IF(F12="押一",C8/12*F13,IF(F12="押二",C8/12*2*F13,IF(F12="押三",C8/12*3*F13,C13*F13))),0)</f>
        <v>0</v>
      </c>
      <c r="D12" s="2523" t="s">
        <v>2976</v>
      </c>
      <c r="E12" s="2520" t="s">
        <v>2468</v>
      </c>
      <c r="F12" s="2643"/>
      <c r="G12" s="1591"/>
      <c r="H12" s="2583" t="s">
        <v>1826</v>
      </c>
      <c r="I12" s="2588" t="s">
        <v>2463</v>
      </c>
      <c r="J12" s="781">
        <f ca="1">ROUND(IF(M12="押一",J8/12*M13,IF(M12="押二",J8/12*2*M13,IF(M12="押三",J8/12*3*M13,J13*M13))),0)</f>
        <v>0</v>
      </c>
      <c r="K12" s="2523" t="s">
        <v>2976</v>
      </c>
      <c r="L12" s="2520" t="s">
        <v>2468</v>
      </c>
      <c r="M12" s="2643"/>
    </row>
    <row r="13" spans="1:25" ht="18" customHeight="1">
      <c r="A13" s="788"/>
      <c r="B13" s="2517" t="s">
        <v>2577</v>
      </c>
      <c r="C13" s="2521"/>
      <c r="D13" s="787"/>
      <c r="E13" s="2520" t="s">
        <v>2460</v>
      </c>
      <c r="F13" s="794">
        <f ca="1">'数据-取费表'!B39</f>
        <v>1.4999999999999999E-2</v>
      </c>
      <c r="G13" s="1591"/>
      <c r="H13" s="2584"/>
      <c r="I13" s="2517" t="s">
        <v>2577</v>
      </c>
      <c r="J13" s="2521"/>
      <c r="K13" s="2585"/>
      <c r="L13" s="2520" t="s">
        <v>2460</v>
      </c>
      <c r="M13" s="2514">
        <f ca="1">'数据-取费表'!B39</f>
        <v>1.4999999999999999E-2</v>
      </c>
    </row>
    <row r="14" spans="1:25" ht="18" customHeight="1" thickBot="1">
      <c r="A14" s="2559" t="s">
        <v>2471</v>
      </c>
      <c r="B14" s="2560" t="s">
        <v>2464</v>
      </c>
      <c r="C14" s="2561"/>
      <c r="D14" s="2562"/>
      <c r="E14" s="2563"/>
      <c r="F14" s="2564"/>
      <c r="G14" s="1591"/>
      <c r="H14" s="2573" t="s">
        <v>2471</v>
      </c>
      <c r="I14" s="2586" t="s">
        <v>2464</v>
      </c>
      <c r="J14" s="2587"/>
      <c r="K14" s="2562"/>
      <c r="L14" s="2563"/>
      <c r="M14" s="2576"/>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1">
        <f ca="1">C31</f>
        <v>0</v>
      </c>
      <c r="K16" s="24"/>
      <c r="L16" s="799"/>
      <c r="M16" s="800"/>
    </row>
    <row r="17" spans="1:25" s="2064" customFormat="1" ht="18" customHeight="1">
      <c r="A17" s="801" t="s">
        <v>1850</v>
      </c>
      <c r="B17" s="782" t="s">
        <v>647</v>
      </c>
      <c r="C17" s="51">
        <f ca="1">ROUND(C16*F17,0)</f>
        <v>0</v>
      </c>
      <c r="D17" s="804" t="s">
        <v>648</v>
      </c>
      <c r="E17" s="804" t="s">
        <v>649</v>
      </c>
      <c r="F17" s="805">
        <f>'数据-取费表'!B33</f>
        <v>0.03</v>
      </c>
      <c r="G17" s="1592"/>
      <c r="H17" s="801" t="s">
        <v>2073</v>
      </c>
      <c r="I17" s="782" t="s">
        <v>643</v>
      </c>
      <c r="J17" s="806">
        <f ca="1">INDIRECT("'数据-取费表'!ad"&amp;$G$1)</f>
        <v>0</v>
      </c>
      <c r="K17" s="24"/>
      <c r="L17" s="799"/>
      <c r="M17" s="800"/>
      <c r="N17" s="2063"/>
      <c r="O17" s="2063"/>
      <c r="P17" s="2063"/>
      <c r="Q17" s="2063"/>
      <c r="R17" s="2063"/>
      <c r="S17" s="2063"/>
      <c r="T17" s="2063"/>
      <c r="U17" s="2063"/>
      <c r="V17" s="2063"/>
      <c r="W17" s="2063"/>
      <c r="X17" s="2063"/>
      <c r="Y17" s="2063"/>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4" t="s">
        <v>652</v>
      </c>
      <c r="L18" s="1982"/>
      <c r="M18" s="54"/>
    </row>
    <row r="19" spans="1:25" s="2064" customFormat="1" ht="18" customHeight="1">
      <c r="A19" s="801" t="s">
        <v>1852</v>
      </c>
      <c r="B19" s="782" t="s">
        <v>653</v>
      </c>
      <c r="C19" s="51">
        <f ca="1">ROUND(F19*(INDIRECT("'数据-取费表'!k"&amp;$G$1)+INDIRECT("'数据-取费表'!S"&amp;$G$1))/10000,0)</f>
        <v>0</v>
      </c>
      <c r="D19" s="782" t="s">
        <v>654</v>
      </c>
      <c r="E19" s="782" t="s">
        <v>655</v>
      </c>
      <c r="F19" s="54">
        <f>'数据-取费表'!B35</f>
        <v>200</v>
      </c>
      <c r="G19" s="1592"/>
      <c r="H19" s="801" t="s">
        <v>2072</v>
      </c>
      <c r="I19" s="782" t="s">
        <v>656</v>
      </c>
      <c r="J19" s="51">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1">
        <f ca="1">ROUND(C16*F20,0)</f>
        <v>0</v>
      </c>
      <c r="D20" s="782" t="s">
        <v>648</v>
      </c>
      <c r="E20" s="782" t="s">
        <v>649</v>
      </c>
      <c r="F20" s="807">
        <f>'数据-取费表'!B36</f>
        <v>1.4999999999999999E-2</v>
      </c>
      <c r="G20" s="1592"/>
      <c r="H20" s="801" t="s">
        <v>1832</v>
      </c>
      <c r="I20" s="782" t="s">
        <v>660</v>
      </c>
      <c r="J20" s="51">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1">
        <f ca="1">SUM(C16:C20)</f>
        <v>0</v>
      </c>
      <c r="D21" s="259" t="s">
        <v>663</v>
      </c>
      <c r="E21" s="1982"/>
      <c r="F21" s="54"/>
      <c r="G21" s="1591"/>
      <c r="H21" s="1830" t="s">
        <v>1850</v>
      </c>
      <c r="I21" s="782" t="s">
        <v>664</v>
      </c>
      <c r="J21" s="51">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1">
        <f ca="1">ROUND(C21*F22,0)</f>
        <v>0</v>
      </c>
      <c r="D22" s="810" t="s">
        <v>667</v>
      </c>
      <c r="E22" s="782" t="s">
        <v>649</v>
      </c>
      <c r="F22" s="807">
        <f>'数据-取费表'!B37</f>
        <v>0.02</v>
      </c>
      <c r="G22" s="1592"/>
      <c r="H22" s="1832" t="s">
        <v>1851</v>
      </c>
      <c r="I22" s="1822" t="s">
        <v>668</v>
      </c>
      <c r="J22" s="52">
        <f ca="1">ROUND(M22*M23/10000,0)</f>
        <v>0</v>
      </c>
      <c r="K22" s="812" t="s">
        <v>669</v>
      </c>
      <c r="L22" s="782" t="s">
        <v>670</v>
      </c>
      <c r="M22" s="638">
        <f>'数据-取费表'!B52</f>
        <v>0</v>
      </c>
      <c r="N22" s="2063"/>
      <c r="O22" s="2063"/>
      <c r="P22" s="2063"/>
      <c r="Q22" s="2063"/>
      <c r="R22" s="2063"/>
      <c r="S22" s="2063"/>
      <c r="T22" s="2063"/>
      <c r="U22" s="2063"/>
      <c r="V22" s="2063"/>
      <c r="W22" s="2063"/>
      <c r="X22" s="2063"/>
      <c r="Y22" s="2063"/>
    </row>
    <row r="23" spans="1:25" s="2064" customFormat="1" ht="18" customHeight="1">
      <c r="A23" s="801" t="s">
        <v>1879</v>
      </c>
      <c r="B23" s="782" t="s">
        <v>671</v>
      </c>
      <c r="C23" s="51" t="s">
        <v>1</v>
      </c>
      <c r="D23" s="810" t="s">
        <v>672</v>
      </c>
      <c r="E23" s="782" t="s">
        <v>673</v>
      </c>
      <c r="F23" s="807">
        <f>'数据-取费表'!B38</f>
        <v>0.02</v>
      </c>
      <c r="G23" s="1592"/>
      <c r="H23" s="1833"/>
      <c r="I23" s="1824"/>
      <c r="J23" s="67"/>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1"/>
      <c r="D24" s="2594" t="str">
        <f>IF(F25&lt;=1,"单利计息。","复利计息。")&amp;"建造成本、管理费用、销售费用产生的利息。"</f>
        <v>复利计息。建造成本、管理费用、销售费用产生的利息。</v>
      </c>
      <c r="E24" s="1982"/>
      <c r="F24" s="54"/>
      <c r="G24" s="1591"/>
      <c r="H24" s="1831" t="s">
        <v>2073</v>
      </c>
      <c r="I24" s="782" t="s">
        <v>676</v>
      </c>
      <c r="J24" s="51">
        <f ca="1">ROUND(J16*M24,0)</f>
        <v>0</v>
      </c>
      <c r="K24" s="1977" t="s">
        <v>677</v>
      </c>
      <c r="L24" s="782" t="s">
        <v>649</v>
      </c>
      <c r="M24" s="815">
        <f ca="1">INDIRECT("'数据-取费表'!Ak"&amp;$G$1)</f>
        <v>0</v>
      </c>
    </row>
    <row r="25" spans="1:25" s="2064" customFormat="1" ht="18" customHeight="1">
      <c r="A25" s="801" t="s">
        <v>1876</v>
      </c>
      <c r="B25" s="782" t="s">
        <v>2441</v>
      </c>
      <c r="C25" s="51">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1.5</v>
      </c>
      <c r="G25" s="1592"/>
      <c r="H25" s="801" t="s">
        <v>1879</v>
      </c>
      <c r="I25" s="782" t="s">
        <v>679</v>
      </c>
      <c r="J25" s="51">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1">
        <f ca="1">ROUND(IF('数据-取费表'!B22&lt;=1,F23*F26*F25/2,F23*(POWER((1+F26),F25/2)-1)),4)</f>
        <v>6.9999999999999999E-4</v>
      </c>
      <c r="D26" s="2593" t="str">
        <f>IF(F25&lt;=1,"销售费用×利率×(建设周期÷2)","销售费用×((1+利率)^(建设周期÷2)-1)")</f>
        <v>销售费用×((1+利率)^(建设周期÷2)-1)</v>
      </c>
      <c r="E26" s="782" t="s">
        <v>682</v>
      </c>
      <c r="F26" s="817">
        <f ca="1">'数据-取费表'!B40</f>
        <v>4.7500000000000001E-2</v>
      </c>
      <c r="G26" s="1592"/>
      <c r="H26" s="801" t="s">
        <v>1880</v>
      </c>
      <c r="I26" s="782" t="s">
        <v>666</v>
      </c>
      <c r="J26" s="51">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1"/>
      <c r="D27" s="259" t="s">
        <v>685</v>
      </c>
      <c r="E27" s="1982"/>
      <c r="F27" s="54"/>
      <c r="G27" s="1591"/>
      <c r="H27" s="795" t="s">
        <v>1829</v>
      </c>
      <c r="I27" s="3033" t="s">
        <v>2825</v>
      </c>
      <c r="J27" s="797">
        <f ca="1">J7-J18</f>
        <v>0</v>
      </c>
      <c r="K27" s="1979" t="s">
        <v>700</v>
      </c>
      <c r="L27" s="1981"/>
      <c r="M27" s="818"/>
    </row>
    <row r="28" spans="1:25" ht="18" customHeight="1">
      <c r="A28" s="801" t="s">
        <v>1876</v>
      </c>
      <c r="B28" s="782" t="s">
        <v>2442</v>
      </c>
      <c r="C28" s="51">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1">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2" t="s">
        <v>1884</v>
      </c>
      <c r="B31" s="2563" t="s">
        <v>2826</v>
      </c>
      <c r="C31" s="2566">
        <f ca="1">ROUND((C21+C22+C25+C28)/(1-F23-C26-C29-C30),0)</f>
        <v>0</v>
      </c>
      <c r="D31" s="2567"/>
      <c r="E31" s="2568"/>
      <c r="F31" s="2569"/>
      <c r="G31" s="1592"/>
      <c r="H31" s="821" t="s">
        <v>1873</v>
      </c>
      <c r="I31" s="3034"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09"/>
      <c r="F32" s="2513"/>
      <c r="G32" s="2062"/>
      <c r="H32" s="2065"/>
      <c r="I32" s="2066"/>
      <c r="J32" s="2067"/>
      <c r="K32" s="2068"/>
      <c r="L32" s="2069"/>
      <c r="M32" s="2070"/>
    </row>
    <row r="33" spans="1:18" ht="18" customHeight="1">
      <c r="A33" s="801" t="s">
        <v>1877</v>
      </c>
      <c r="B33" s="782" t="s">
        <v>656</v>
      </c>
      <c r="C33" s="51">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1">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2">
        <f ca="1">ROUND(F36*F37/10000,1)</f>
        <v>0</v>
      </c>
      <c r="D36" s="812" t="s">
        <v>669</v>
      </c>
      <c r="E36" s="782" t="s">
        <v>670</v>
      </c>
      <c r="F36" s="638">
        <f>'数据-取费表'!B52</f>
        <v>0</v>
      </c>
      <c r="G36" s="2062"/>
      <c r="H36" s="2065"/>
      <c r="I36" s="3649"/>
      <c r="J36" s="2079"/>
      <c r="K36" s="2080"/>
      <c r="L36" s="2079"/>
      <c r="M36" s="2079"/>
    </row>
    <row r="37" spans="1:18" ht="18" customHeight="1">
      <c r="A37" s="813"/>
      <c r="B37" s="791"/>
      <c r="C37" s="67"/>
      <c r="D37" s="814"/>
      <c r="E37" s="782" t="s">
        <v>674</v>
      </c>
      <c r="F37" s="783">
        <f ca="1">INDIRECT("'数据-取费表'!r"&amp;$G$1)</f>
        <v>0</v>
      </c>
      <c r="G37" s="2062"/>
      <c r="H37" s="2065"/>
      <c r="I37" s="3649"/>
      <c r="J37" s="2077"/>
      <c r="K37" s="2078"/>
      <c r="L37" s="2077"/>
      <c r="M37" s="2077"/>
    </row>
    <row r="38" spans="1:18" ht="18" customHeight="1">
      <c r="A38" s="801" t="s">
        <v>1878</v>
      </c>
      <c r="B38" s="782" t="s">
        <v>676</v>
      </c>
      <c r="C38" s="51">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1">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2" t="s">
        <v>1880</v>
      </c>
      <c r="B40" s="2568" t="s">
        <v>666</v>
      </c>
      <c r="C40" s="2566">
        <f ca="1">ROUND(C7*F40,1)</f>
        <v>0</v>
      </c>
      <c r="D40" s="2567" t="s">
        <v>683</v>
      </c>
      <c r="E40" s="2568" t="s">
        <v>649</v>
      </c>
      <c r="F40" s="2564">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1" t="s">
        <v>2964</v>
      </c>
      <c r="F43" s="3152">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60">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3" t="s">
        <v>2967</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e">
        <f ca="1">IF(M48="住宅",0,IF(L49&gt;J52,L61,J61))</f>
        <v>#DIV/0!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50</v>
      </c>
      <c r="M48" s="3148"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50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654"/>
      <c r="L54" s="3655"/>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5" t="s">
        <v>2359</v>
      </c>
      <c r="J56" s="3149"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8" t="s">
        <v>1679</v>
      </c>
      <c r="K57" s="2383" t="s">
        <v>2366</v>
      </c>
      <c r="L57" s="2392">
        <f ca="1">IF(L49&lt;J52,"——",L49-J52)</f>
        <v>50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0"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7" t="s">
        <v>2943</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8">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9">
        <v>0</v>
      </c>
      <c r="O65" s="2428" t="s">
        <v>2419</v>
      </c>
      <c r="P65" s="1591"/>
      <c r="Q65" s="1603"/>
      <c r="R65" s="1591"/>
    </row>
    <row r="66" spans="1:18" s="2059" customFormat="1" ht="15.75" thickBot="1">
      <c r="A66" s="2096"/>
      <c r="B66" s="2097"/>
      <c r="C66" s="2097"/>
      <c r="I66" s="2409" t="s">
        <v>2376</v>
      </c>
      <c r="J66" s="2410">
        <v>40</v>
      </c>
      <c r="K66" s="2410">
        <v>30</v>
      </c>
      <c r="L66" s="2410">
        <v>50</v>
      </c>
      <c r="M66" s="3128">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14" sqref="W14"/>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658" t="s">
        <v>2580</v>
      </c>
      <c r="C1" s="3658"/>
      <c r="D1" s="3658"/>
      <c r="E1" s="3658"/>
      <c r="F1" s="3658"/>
      <c r="G1" s="3657" t="s">
        <v>2581</v>
      </c>
      <c r="H1" s="3657"/>
      <c r="I1" s="3657"/>
      <c r="J1" s="3657"/>
      <c r="K1" s="3657"/>
      <c r="L1" s="3657"/>
      <c r="N1" s="3657" t="s">
        <v>2582</v>
      </c>
      <c r="O1" s="3657"/>
      <c r="P1" s="3657"/>
      <c r="Q1" s="3657"/>
      <c r="R1" s="2676"/>
      <c r="S1" s="3657" t="s">
        <v>2583</v>
      </c>
      <c r="T1" s="3657"/>
      <c r="U1" s="3657"/>
      <c r="V1" s="3657"/>
      <c r="X1" s="3656" t="s">
        <v>2643</v>
      </c>
      <c r="Y1" s="3657"/>
      <c r="Z1" s="3657"/>
      <c r="AA1" s="3657"/>
      <c r="AB1" s="3657"/>
      <c r="AD1" s="3656" t="s">
        <v>2647</v>
      </c>
      <c r="AE1" s="3657"/>
      <c r="AF1" s="3657"/>
      <c r="AG1" s="3657"/>
      <c r="AH1" s="3657"/>
    </row>
    <row r="2" spans="1:34" s="2778" customFormat="1" ht="14.25" thickBot="1">
      <c r="B2" s="2786" t="s">
        <v>2584</v>
      </c>
      <c r="C2" s="2786" t="s">
        <v>2645</v>
      </c>
      <c r="D2" s="2779" t="s">
        <v>1645</v>
      </c>
      <c r="E2" s="2779" t="s">
        <v>1952</v>
      </c>
      <c r="F2" s="2786" t="s">
        <v>2646</v>
      </c>
      <c r="G2" s="2782"/>
      <c r="H2" s="2781"/>
      <c r="I2" s="2786" t="s">
        <v>2958</v>
      </c>
      <c r="J2" s="2779" t="s">
        <v>2960</v>
      </c>
      <c r="K2" s="2779" t="s">
        <v>2961</v>
      </c>
      <c r="L2" s="2786" t="s">
        <v>2962</v>
      </c>
      <c r="N2" s="2786" t="s">
        <v>2584</v>
      </c>
      <c r="O2" s="2779" t="s">
        <v>2959</v>
      </c>
      <c r="P2" s="2779" t="s">
        <v>1952</v>
      </c>
      <c r="Q2" s="2786" t="s">
        <v>2646</v>
      </c>
      <c r="R2" s="2780"/>
      <c r="S2" s="2786" t="s">
        <v>2584</v>
      </c>
      <c r="T2" s="2779" t="s">
        <v>2959</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ROUND(SUMPRODUCT(PRODUCT(1+N5:N$22)),4)</f>
        <v>1.4947999999999999</v>
      </c>
      <c r="Y5" s="3145">
        <f>ROUND(SUMPRODUCT(PRODUCT(1+O5:O$22)),4)</f>
        <v>1.3230999999999999</v>
      </c>
      <c r="Z5" s="3145">
        <f t="shared" ref="Z5" si="10">Y5</f>
        <v>1.3230999999999999</v>
      </c>
      <c r="AA5" s="3145">
        <f>ROUND(SUMPRODUCT(PRODUCT(1+P5:P$22)),4)</f>
        <v>1.5564</v>
      </c>
      <c r="AB5" s="3145">
        <f>ROUND(SUMPRODUCT(PRODUCT(1+Q5:Q$22)),4)</f>
        <v>1.2726999999999999</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2585</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2586</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665">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660"/>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660"/>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661"/>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659">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660"/>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660"/>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661"/>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659">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660"/>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660"/>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661"/>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2644</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2587</v>
      </c>
      <c r="B23" s="2683">
        <v>299</v>
      </c>
      <c r="C23" s="2683">
        <v>252</v>
      </c>
      <c r="D23" s="2683">
        <f t="shared" si="35"/>
        <v>252</v>
      </c>
      <c r="E23" s="2683">
        <v>409</v>
      </c>
      <c r="F23" s="2684">
        <v>227</v>
      </c>
      <c r="G23" s="3662">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2588</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663"/>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2589</v>
      </c>
      <c r="B25" s="2691">
        <f t="shared" si="44"/>
        <v>288.2649053828776</v>
      </c>
      <c r="C25" s="2691">
        <f t="shared" si="44"/>
        <v>243.64564425013293</v>
      </c>
      <c r="D25" s="2691">
        <f t="shared" si="35"/>
        <v>243.64564425013293</v>
      </c>
      <c r="E25" s="2691">
        <f t="shared" si="45"/>
        <v>393.31080825986544</v>
      </c>
      <c r="F25" s="2691">
        <f t="shared" si="45"/>
        <v>223.07903790551154</v>
      </c>
      <c r="G25" s="3663"/>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2590</v>
      </c>
      <c r="B26" s="2691">
        <f t="shared" si="44"/>
        <v>282.50186729015837</v>
      </c>
      <c r="C26" s="2691">
        <f t="shared" si="44"/>
        <v>238.09796174155468</v>
      </c>
      <c r="D26" s="2691">
        <f t="shared" si="35"/>
        <v>238.09796174155468</v>
      </c>
      <c r="E26" s="2691">
        <f t="shared" si="45"/>
        <v>385.33438646014054</v>
      </c>
      <c r="F26" s="2691">
        <f t="shared" si="45"/>
        <v>221.55034055567739</v>
      </c>
      <c r="G26" s="3664"/>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2591</v>
      </c>
      <c r="B27" s="2721">
        <v>278</v>
      </c>
      <c r="C27" s="2721">
        <v>234</v>
      </c>
      <c r="D27" s="2721">
        <f t="shared" si="35"/>
        <v>234</v>
      </c>
      <c r="E27" s="2721">
        <v>379</v>
      </c>
      <c r="F27" s="2722">
        <v>220</v>
      </c>
      <c r="G27" s="3659">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2592</v>
      </c>
      <c r="B28" s="2691">
        <f>B27/(1+N27)</f>
        <v>275.49301357645425</v>
      </c>
      <c r="C28" s="2691">
        <f>C27/(1+O27)</f>
        <v>232.41954707985698</v>
      </c>
      <c r="D28" s="2691">
        <f t="shared" si="35"/>
        <v>232.41954707985698</v>
      </c>
      <c r="E28" s="2691">
        <f t="shared" ref="E28:F30" si="46">E27/(1+P27)</f>
        <v>375.32184591008121</v>
      </c>
      <c r="F28" s="2691">
        <f t="shared" si="46"/>
        <v>218.03766105054513</v>
      </c>
      <c r="G28" s="3660"/>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2593</v>
      </c>
      <c r="B29" s="2691">
        <f>B28/(1+N28)</f>
        <v>275.24529281292263</v>
      </c>
      <c r="C29" s="2691">
        <f>C28/(1+O28)</f>
        <v>231.74747938962707</v>
      </c>
      <c r="D29" s="2691">
        <f t="shared" si="35"/>
        <v>231.74747938962707</v>
      </c>
      <c r="E29" s="2691">
        <f t="shared" si="46"/>
        <v>375.35938184826603</v>
      </c>
      <c r="F29" s="2691">
        <f t="shared" si="46"/>
        <v>216.78033510692495</v>
      </c>
      <c r="G29" s="3660"/>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2594</v>
      </c>
      <c r="B30" s="2691">
        <f>B29/(1+N29)</f>
        <v>275.19025476197027</v>
      </c>
      <c r="C30" s="2723">
        <v>232</v>
      </c>
      <c r="D30" s="2723">
        <f t="shared" si="35"/>
        <v>232</v>
      </c>
      <c r="E30" s="2691">
        <f t="shared" si="46"/>
        <v>375.65990977608692</v>
      </c>
      <c r="F30" s="2691">
        <f t="shared" si="46"/>
        <v>214.12518283971252</v>
      </c>
      <c r="G30" s="3661"/>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2595</v>
      </c>
      <c r="B31" s="2683">
        <v>275</v>
      </c>
      <c r="C31" s="2683">
        <v>232</v>
      </c>
      <c r="D31" s="2683">
        <f t="shared" si="35"/>
        <v>232</v>
      </c>
      <c r="E31" s="2683">
        <v>376</v>
      </c>
      <c r="F31" s="2684">
        <v>213</v>
      </c>
      <c r="G31" s="3659">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2596</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660">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2597</v>
      </c>
      <c r="B33" s="2691">
        <f t="shared" si="47"/>
        <v>275.19335084830601</v>
      </c>
      <c r="C33" s="2691">
        <f t="shared" si="47"/>
        <v>230.18088050139744</v>
      </c>
      <c r="D33" s="2691">
        <f t="shared" si="35"/>
        <v>230.18088050139744</v>
      </c>
      <c r="E33" s="2691">
        <f t="shared" si="48"/>
        <v>377.58482925212331</v>
      </c>
      <c r="F33" s="2691">
        <f t="shared" si="48"/>
        <v>210.90687997847917</v>
      </c>
      <c r="G33" s="3660">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2598</v>
      </c>
      <c r="B34" s="2691">
        <f t="shared" si="47"/>
        <v>276.29854502841971</v>
      </c>
      <c r="C34" s="2691">
        <f t="shared" si="47"/>
        <v>229.79023709833027</v>
      </c>
      <c r="D34" s="2691">
        <f t="shared" si="35"/>
        <v>229.79023709833027</v>
      </c>
      <c r="E34" s="2691">
        <f t="shared" si="48"/>
        <v>379.78759731655936</v>
      </c>
      <c r="F34" s="2691">
        <f t="shared" si="48"/>
        <v>211.32953905659235</v>
      </c>
      <c r="G34" s="3661">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2599</v>
      </c>
      <c r="B35" s="2683">
        <v>269</v>
      </c>
      <c r="C35" s="2683">
        <v>221</v>
      </c>
      <c r="D35" s="2683">
        <f t="shared" si="35"/>
        <v>221</v>
      </c>
      <c r="E35" s="2683">
        <v>373</v>
      </c>
      <c r="F35" s="2684">
        <v>196</v>
      </c>
      <c r="G35" s="3659">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2600</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660">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2601</v>
      </c>
      <c r="B37" s="2691">
        <f t="shared" si="49"/>
        <v>242.95398227588385</v>
      </c>
      <c r="C37" s="2691">
        <f t="shared" si="49"/>
        <v>199.59137053614126</v>
      </c>
      <c r="D37" s="2691">
        <f t="shared" si="35"/>
        <v>199.59137053614126</v>
      </c>
      <c r="E37" s="2691">
        <f t="shared" si="50"/>
        <v>335.92189522342125</v>
      </c>
      <c r="F37" s="2691">
        <f t="shared" si="50"/>
        <v>183.10139991109489</v>
      </c>
      <c r="G37" s="3660">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2602</v>
      </c>
      <c r="B38" s="2691">
        <f t="shared" si="49"/>
        <v>232.06990378821649</v>
      </c>
      <c r="C38" s="2691">
        <f t="shared" si="49"/>
        <v>192.74878854286936</v>
      </c>
      <c r="D38" s="2691">
        <f t="shared" si="35"/>
        <v>192.74878854286936</v>
      </c>
      <c r="E38" s="2691">
        <f t="shared" si="50"/>
        <v>319.71247284992984</v>
      </c>
      <c r="F38" s="2691">
        <f t="shared" si="50"/>
        <v>175.67053622862409</v>
      </c>
      <c r="G38" s="3661">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2603</v>
      </c>
      <c r="B39" s="2683">
        <v>220</v>
      </c>
      <c r="C39" s="2683">
        <v>187</v>
      </c>
      <c r="D39" s="2683">
        <f t="shared" si="35"/>
        <v>187</v>
      </c>
      <c r="E39" s="2683">
        <v>301</v>
      </c>
      <c r="F39" s="2684">
        <v>168</v>
      </c>
      <c r="G39" s="3659">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2604</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660">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2605</v>
      </c>
      <c r="B41" s="2691">
        <f t="shared" si="51"/>
        <v>210.630522469011</v>
      </c>
      <c r="C41" s="2691">
        <f t="shared" si="51"/>
        <v>181.69567812247232</v>
      </c>
      <c r="D41" s="2691">
        <f t="shared" si="35"/>
        <v>181.69567812247232</v>
      </c>
      <c r="E41" s="2691">
        <f t="shared" si="52"/>
        <v>286.13517466736738</v>
      </c>
      <c r="F41" s="2691">
        <f t="shared" si="52"/>
        <v>165.47535084591149</v>
      </c>
      <c r="G41" s="3660">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2606</v>
      </c>
      <c r="B42" s="2691">
        <f t="shared" si="51"/>
        <v>208.83454537875372</v>
      </c>
      <c r="C42" s="2691">
        <f t="shared" si="51"/>
        <v>183.77230517090351</v>
      </c>
      <c r="D42" s="2691">
        <f t="shared" si="35"/>
        <v>183.77230517090351</v>
      </c>
      <c r="E42" s="2691">
        <f t="shared" si="52"/>
        <v>281.10342338870947</v>
      </c>
      <c r="F42" s="2691">
        <f t="shared" si="52"/>
        <v>168.97309388942256</v>
      </c>
      <c r="G42" s="3661">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2607</v>
      </c>
      <c r="B43" s="2721">
        <v>214</v>
      </c>
      <c r="C43" s="2721">
        <v>188</v>
      </c>
      <c r="D43" s="2721">
        <f t="shared" si="35"/>
        <v>188</v>
      </c>
      <c r="E43" s="2721">
        <v>289</v>
      </c>
      <c r="F43" s="2722">
        <v>166</v>
      </c>
      <c r="G43" s="3659">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2608</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660">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2609</v>
      </c>
      <c r="B45" s="2691">
        <f t="shared" si="53"/>
        <v>206.31694671589116</v>
      </c>
      <c r="C45" s="2691">
        <f t="shared" si="53"/>
        <v>183.61041121036101</v>
      </c>
      <c r="D45" s="2691">
        <f t="shared" si="35"/>
        <v>183.61041121036101</v>
      </c>
      <c r="E45" s="2691">
        <f t="shared" si="54"/>
        <v>276.66850301795557</v>
      </c>
      <c r="F45" s="2691">
        <f t="shared" si="54"/>
        <v>165.1360938278614</v>
      </c>
      <c r="G45" s="3660">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2610</v>
      </c>
      <c r="B46" s="2724">
        <f t="shared" si="53"/>
        <v>196.62341248059772</v>
      </c>
      <c r="C46" s="2724">
        <f t="shared" si="53"/>
        <v>170.99125648199012</v>
      </c>
      <c r="D46" s="2724">
        <f t="shared" si="35"/>
        <v>170.99125648199012</v>
      </c>
      <c r="E46" s="2724">
        <f t="shared" si="54"/>
        <v>266.07857570490052</v>
      </c>
      <c r="F46" s="2724">
        <f t="shared" si="54"/>
        <v>154.53499328828505</v>
      </c>
      <c r="G46" s="3661">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2611</v>
      </c>
      <c r="B47" s="2683">
        <v>188</v>
      </c>
      <c r="C47" s="2683">
        <v>165</v>
      </c>
      <c r="D47" s="2683">
        <f t="shared" si="35"/>
        <v>165</v>
      </c>
      <c r="E47" s="2683">
        <v>254</v>
      </c>
      <c r="F47" s="2684">
        <v>148</v>
      </c>
      <c r="G47" s="3659">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2612</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660">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2613</v>
      </c>
      <c r="B49" s="2691">
        <f t="shared" si="57"/>
        <v>168.82017748715555</v>
      </c>
      <c r="C49" s="2691">
        <f t="shared" si="57"/>
        <v>148.06267029972753</v>
      </c>
      <c r="D49" s="2691">
        <f t="shared" si="35"/>
        <v>148.06267029972753</v>
      </c>
      <c r="E49" s="2691">
        <f t="shared" si="58"/>
        <v>216.46288379323747</v>
      </c>
      <c r="F49" s="2691">
        <f t="shared" si="58"/>
        <v>134.23529411764704</v>
      </c>
      <c r="G49" s="3660">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2614</v>
      </c>
      <c r="B50" s="2691">
        <f t="shared" si="57"/>
        <v>163.84913591779542</v>
      </c>
      <c r="C50" s="2691">
        <f t="shared" si="57"/>
        <v>145.0283378746594</v>
      </c>
      <c r="D50" s="2691">
        <f t="shared" si="35"/>
        <v>145.0283378746594</v>
      </c>
      <c r="E50" s="2691">
        <f t="shared" si="58"/>
        <v>204.95180722891567</v>
      </c>
      <c r="F50" s="2691">
        <f t="shared" si="58"/>
        <v>125.95920303605313</v>
      </c>
      <c r="G50" s="3661">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2615</v>
      </c>
      <c r="B51" s="2705">
        <v>159</v>
      </c>
      <c r="C51" s="2705">
        <v>141</v>
      </c>
      <c r="D51" s="2705">
        <f t="shared" si="35"/>
        <v>141</v>
      </c>
      <c r="E51" s="2705">
        <v>195</v>
      </c>
      <c r="F51" s="2706">
        <v>122</v>
      </c>
      <c r="G51" s="3659">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2616</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660">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2617</v>
      </c>
      <c r="B53" s="2691">
        <f t="shared" si="61"/>
        <v>146.57412060301507</v>
      </c>
      <c r="C53" s="2691">
        <f t="shared" si="61"/>
        <v>136.46831955922866</v>
      </c>
      <c r="D53" s="2691">
        <f t="shared" si="35"/>
        <v>136.46831955922866</v>
      </c>
      <c r="E53" s="2691">
        <f t="shared" si="62"/>
        <v>166.73864894795128</v>
      </c>
      <c r="F53" s="2691">
        <f t="shared" si="62"/>
        <v>115.05882352941177</v>
      </c>
      <c r="G53" s="3660">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2618</v>
      </c>
      <c r="B54" s="2691">
        <f t="shared" si="61"/>
        <v>144.04145728643215</v>
      </c>
      <c r="C54" s="2691">
        <f t="shared" si="61"/>
        <v>136.12396694214877</v>
      </c>
      <c r="D54" s="2691">
        <f t="shared" si="35"/>
        <v>136.12396694214877</v>
      </c>
      <c r="E54" s="2691">
        <f t="shared" si="62"/>
        <v>158.32225913621264</v>
      </c>
      <c r="F54" s="2691">
        <f t="shared" si="62"/>
        <v>114.04278074866311</v>
      </c>
      <c r="G54" s="3661">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2619</v>
      </c>
      <c r="B55" s="2705">
        <v>138</v>
      </c>
      <c r="C55" s="2705">
        <v>131</v>
      </c>
      <c r="D55" s="2705">
        <f t="shared" si="35"/>
        <v>131</v>
      </c>
      <c r="E55" s="2705">
        <v>155</v>
      </c>
      <c r="F55" s="2706">
        <v>114</v>
      </c>
      <c r="G55" s="3659">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2620</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660">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2621</v>
      </c>
      <c r="B57" s="2691">
        <f t="shared" si="65"/>
        <v>124.29032258064517</v>
      </c>
      <c r="C57" s="2691">
        <f t="shared" si="65"/>
        <v>123.8968609865471</v>
      </c>
      <c r="D57" s="2691">
        <f t="shared" si="35"/>
        <v>123.8968609865471</v>
      </c>
      <c r="E57" s="2691">
        <f t="shared" si="66"/>
        <v>138.00507614213197</v>
      </c>
      <c r="F57" s="2691">
        <f t="shared" si="66"/>
        <v>107.96106557377048</v>
      </c>
      <c r="G57" s="3660">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2622</v>
      </c>
      <c r="B58" s="2691">
        <f t="shared" si="65"/>
        <v>122.57204301075269</v>
      </c>
      <c r="C58" s="2691">
        <f t="shared" si="65"/>
        <v>123.4932735426009</v>
      </c>
      <c r="D58" s="2691">
        <f t="shared" si="35"/>
        <v>123.4932735426009</v>
      </c>
      <c r="E58" s="2691">
        <f t="shared" si="66"/>
        <v>129.82233502538071</v>
      </c>
      <c r="F58" s="2691">
        <f t="shared" si="66"/>
        <v>107.39446721311475</v>
      </c>
      <c r="G58" s="3661">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2623</v>
      </c>
      <c r="B59" s="2721">
        <v>121</v>
      </c>
      <c r="C59" s="2721">
        <v>122</v>
      </c>
      <c r="D59" s="2721">
        <f t="shared" si="35"/>
        <v>122</v>
      </c>
      <c r="E59" s="2721">
        <v>124</v>
      </c>
      <c r="F59" s="2722">
        <v>107</v>
      </c>
      <c r="G59" s="3659">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2624</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660">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2625</v>
      </c>
      <c r="B61" s="2691">
        <f t="shared" si="69"/>
        <v>116.99099099099099</v>
      </c>
      <c r="C61" s="2691">
        <f t="shared" si="69"/>
        <v>118.84848484848486</v>
      </c>
      <c r="D61" s="2691">
        <f t="shared" si="35"/>
        <v>118.84848484848486</v>
      </c>
      <c r="E61" s="2691">
        <f t="shared" si="70"/>
        <v>117.60960960960961</v>
      </c>
      <c r="F61" s="2691">
        <f t="shared" si="70"/>
        <v>104</v>
      </c>
      <c r="G61" s="3660">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2626</v>
      </c>
      <c r="B62" s="2724">
        <f t="shared" si="69"/>
        <v>112.48648648648648</v>
      </c>
      <c r="C62" s="2724">
        <f t="shared" si="69"/>
        <v>115.21212121212122</v>
      </c>
      <c r="D62" s="2724">
        <f t="shared" si="35"/>
        <v>115.21212121212122</v>
      </c>
      <c r="E62" s="2724">
        <f t="shared" si="70"/>
        <v>110.4024024024024</v>
      </c>
      <c r="F62" s="2724">
        <f t="shared" si="70"/>
        <v>104</v>
      </c>
      <c r="G62" s="3661">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2627</v>
      </c>
      <c r="B63" s="2742">
        <v>111</v>
      </c>
      <c r="C63" s="2742">
        <v>114</v>
      </c>
      <c r="D63" s="2742">
        <f t="shared" si="35"/>
        <v>114</v>
      </c>
      <c r="E63" s="2742">
        <v>108</v>
      </c>
      <c r="F63" s="2743">
        <v>104</v>
      </c>
      <c r="G63" s="3659">
        <v>2003</v>
      </c>
      <c r="H63" s="2732">
        <v>4</v>
      </c>
      <c r="I63" s="2744"/>
      <c r="J63" s="2744"/>
      <c r="K63" s="2744"/>
      <c r="L63" s="2744"/>
      <c r="N63" s="2745"/>
      <c r="O63" s="2744"/>
      <c r="P63" s="2744"/>
      <c r="Q63" s="2744"/>
      <c r="S63" s="2745"/>
      <c r="T63" s="2744"/>
      <c r="U63" s="2744"/>
      <c r="V63" s="2744"/>
      <c r="X63" s="2736"/>
      <c r="Y63" s="2736"/>
      <c r="Z63" s="2736"/>
    </row>
    <row r="64" spans="1:26">
      <c r="A64" s="2677" t="s">
        <v>2628</v>
      </c>
      <c r="B64" s="2746">
        <f t="shared" ref="B64:C66" si="71">B65+(B$63-B$67)/4</f>
        <v>109.75</v>
      </c>
      <c r="C64" s="2746">
        <f t="shared" si="71"/>
        <v>112.25</v>
      </c>
      <c r="D64" s="2746">
        <f t="shared" si="35"/>
        <v>112.25</v>
      </c>
      <c r="E64" s="2746">
        <f t="shared" ref="E64:F66" si="72">E65+(E$63-E$67)/4</f>
        <v>107.25</v>
      </c>
      <c r="F64" s="2746">
        <f t="shared" si="72"/>
        <v>103.5</v>
      </c>
      <c r="G64" s="3660">
        <v>2003</v>
      </c>
      <c r="H64" s="2702">
        <v>3</v>
      </c>
      <c r="I64" s="2744"/>
      <c r="J64" s="2744"/>
      <c r="K64" s="2744"/>
      <c r="L64" s="2744"/>
      <c r="X64" s="2736"/>
      <c r="Y64" s="2736"/>
      <c r="Z64" s="2736"/>
    </row>
    <row r="65" spans="1:26">
      <c r="A65" s="2677" t="s">
        <v>2629</v>
      </c>
      <c r="B65" s="2746">
        <f t="shared" si="71"/>
        <v>108.5</v>
      </c>
      <c r="C65" s="2746">
        <f t="shared" si="71"/>
        <v>110.5</v>
      </c>
      <c r="D65" s="2746">
        <f t="shared" si="35"/>
        <v>110.5</v>
      </c>
      <c r="E65" s="2746">
        <f t="shared" si="72"/>
        <v>106.5</v>
      </c>
      <c r="F65" s="2746">
        <f t="shared" si="72"/>
        <v>103</v>
      </c>
      <c r="G65" s="3660">
        <v>2003</v>
      </c>
      <c r="H65" s="2682">
        <v>2</v>
      </c>
      <c r="I65" s="2744"/>
      <c r="J65" s="2744"/>
      <c r="K65" s="2744"/>
      <c r="L65" s="2744"/>
      <c r="X65" s="2736"/>
      <c r="Y65" s="2736"/>
      <c r="Z65" s="2736"/>
    </row>
    <row r="66" spans="1:26" ht="13.5" thickBot="1">
      <c r="A66" s="2677" t="s">
        <v>2630</v>
      </c>
      <c r="B66" s="2746">
        <f t="shared" si="71"/>
        <v>107.25</v>
      </c>
      <c r="C66" s="2746">
        <f t="shared" si="71"/>
        <v>108.75</v>
      </c>
      <c r="D66" s="2746">
        <f t="shared" si="35"/>
        <v>108.75</v>
      </c>
      <c r="E66" s="2746">
        <f t="shared" si="72"/>
        <v>105.75</v>
      </c>
      <c r="F66" s="2746">
        <f t="shared" si="72"/>
        <v>102.5</v>
      </c>
      <c r="G66" s="3661">
        <v>2003</v>
      </c>
      <c r="H66" s="2747">
        <v>1</v>
      </c>
      <c r="I66" s="2744"/>
      <c r="J66" s="2744"/>
      <c r="K66" s="2744"/>
      <c r="L66" s="2744"/>
      <c r="S66" s="2686"/>
      <c r="T66" s="2687"/>
      <c r="U66" s="2687"/>
      <c r="X66" s="2736"/>
      <c r="Y66" s="2736"/>
      <c r="Z66" s="2736"/>
    </row>
    <row r="67" spans="1:26" ht="13.5" thickBot="1">
      <c r="A67" s="2677" t="s">
        <v>2631</v>
      </c>
      <c r="B67" s="2748">
        <v>106</v>
      </c>
      <c r="C67" s="2748">
        <v>107</v>
      </c>
      <c r="D67" s="2748">
        <f t="shared" si="35"/>
        <v>107</v>
      </c>
      <c r="E67" s="2748">
        <v>105</v>
      </c>
      <c r="F67" s="2749">
        <v>102</v>
      </c>
      <c r="G67" s="3659">
        <v>2002</v>
      </c>
      <c r="H67" s="2697">
        <v>4</v>
      </c>
      <c r="I67" s="2744"/>
      <c r="J67" s="2744"/>
      <c r="K67" s="2744"/>
      <c r="L67" s="2744"/>
      <c r="N67" s="2745"/>
      <c r="O67" s="2744"/>
      <c r="P67" s="2744"/>
      <c r="Q67" s="2744"/>
      <c r="S67" s="2745"/>
      <c r="T67" s="2744"/>
      <c r="U67" s="2744"/>
      <c r="V67" s="2744"/>
      <c r="X67" s="2736"/>
      <c r="Y67" s="2736"/>
      <c r="Z67" s="2736"/>
    </row>
    <row r="68" spans="1:26">
      <c r="A68" s="2677" t="s">
        <v>2632</v>
      </c>
      <c r="B68" s="2746">
        <f t="shared" ref="B68:C70" si="73">B69+(B$67-B$71)/4</f>
        <v>105</v>
      </c>
      <c r="C68" s="2746">
        <f t="shared" si="73"/>
        <v>106</v>
      </c>
      <c r="D68" s="2746">
        <f t="shared" si="35"/>
        <v>106</v>
      </c>
      <c r="E68" s="2746">
        <f t="shared" ref="E68:F70" si="74">E69+(E$67-E$71)/4</f>
        <v>104.5</v>
      </c>
      <c r="F68" s="2746">
        <f t="shared" si="74"/>
        <v>101.5</v>
      </c>
      <c r="G68" s="3660">
        <v>2002</v>
      </c>
      <c r="H68" s="2702">
        <v>3</v>
      </c>
      <c r="I68" s="2744"/>
      <c r="J68" s="2744"/>
      <c r="K68" s="2744"/>
      <c r="L68" s="2744"/>
      <c r="X68" s="2736"/>
      <c r="Y68" s="2736"/>
      <c r="Z68" s="2736"/>
    </row>
    <row r="69" spans="1:26">
      <c r="A69" s="2677" t="s">
        <v>2633</v>
      </c>
      <c r="B69" s="2746">
        <f t="shared" si="73"/>
        <v>104</v>
      </c>
      <c r="C69" s="2746">
        <f t="shared" si="73"/>
        <v>105</v>
      </c>
      <c r="D69" s="2746">
        <f t="shared" si="35"/>
        <v>105</v>
      </c>
      <c r="E69" s="2746">
        <f t="shared" si="74"/>
        <v>104</v>
      </c>
      <c r="F69" s="2746">
        <f t="shared" si="74"/>
        <v>101</v>
      </c>
      <c r="G69" s="3660">
        <v>2002</v>
      </c>
      <c r="H69" s="2682">
        <v>2</v>
      </c>
      <c r="I69" s="2744"/>
      <c r="J69" s="2744"/>
      <c r="K69" s="2744"/>
      <c r="L69" s="2744"/>
      <c r="X69" s="2736"/>
      <c r="Y69" s="2736"/>
      <c r="Z69" s="2736"/>
    </row>
    <row r="70" spans="1:26" s="2713" customFormat="1" ht="13.5" thickBot="1">
      <c r="A70" s="2709" t="s">
        <v>2634</v>
      </c>
      <c r="B70" s="2750">
        <f t="shared" si="73"/>
        <v>103</v>
      </c>
      <c r="C70" s="2750">
        <f t="shared" si="73"/>
        <v>104</v>
      </c>
      <c r="D70" s="2750">
        <f t="shared" si="35"/>
        <v>104</v>
      </c>
      <c r="E70" s="2750">
        <f t="shared" si="74"/>
        <v>103.5</v>
      </c>
      <c r="F70" s="2750">
        <f t="shared" si="74"/>
        <v>100.5</v>
      </c>
      <c r="G70" s="3661">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2635</v>
      </c>
      <c r="G73" s="2760"/>
      <c r="N73" s="2760"/>
      <c r="S73" s="2760"/>
    </row>
    <row r="74" spans="1:26" s="2759" customFormat="1">
      <c r="A74" s="2759" t="s">
        <v>2636</v>
      </c>
      <c r="G74" s="2760"/>
      <c r="N74" s="2760"/>
      <c r="S74" s="2760"/>
    </row>
    <row r="75" spans="1:26" s="2759" customFormat="1">
      <c r="A75" s="2759" t="s">
        <v>2637</v>
      </c>
      <c r="G75" s="2760"/>
      <c r="I75" s="2761"/>
      <c r="J75" s="2761"/>
      <c r="K75" s="2761"/>
      <c r="L75" s="2761"/>
      <c r="N75" s="2762"/>
      <c r="O75" s="2761"/>
      <c r="P75" s="2761"/>
      <c r="Q75" s="2761"/>
      <c r="S75" s="2762"/>
      <c r="T75" s="2761"/>
      <c r="U75" s="2761"/>
      <c r="V75" s="2761"/>
    </row>
    <row r="76" spans="1:26" s="2759" customFormat="1">
      <c r="A76" s="2759" t="s">
        <v>2638</v>
      </c>
      <c r="G76" s="2760"/>
      <c r="N76" s="2760"/>
      <c r="S76" s="2760"/>
    </row>
    <row r="83" spans="7:22" ht="13.5" thickBot="1"/>
    <row r="84" spans="7:22">
      <c r="G84" s="2685"/>
      <c r="S84" s="2763" t="s">
        <v>2639</v>
      </c>
      <c r="T84" s="2764" t="s">
        <v>2640</v>
      </c>
      <c r="U84" s="2764" t="s">
        <v>2641</v>
      </c>
      <c r="V84" s="2764" t="s">
        <v>2642</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4" t="s">
        <v>952</v>
      </c>
      <c r="E1" s="2411" t="s">
        <v>2378</v>
      </c>
      <c r="F1" s="2412">
        <f ca="1">J53</f>
        <v>0</v>
      </c>
      <c r="G1" s="772">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1"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2462</v>
      </c>
      <c r="C5" s="53">
        <f ca="1">C6+C10+C12</f>
        <v>0</v>
      </c>
      <c r="D5" s="2518" t="s">
        <v>2465</v>
      </c>
      <c r="E5" s="2512"/>
      <c r="F5" s="2513"/>
      <c r="G5" s="1591"/>
      <c r="H5" s="779">
        <v>1</v>
      </c>
      <c r="I5" s="780" t="s">
        <v>2462</v>
      </c>
      <c r="J5" s="53">
        <f ca="1">J6+J10+J12</f>
        <v>0</v>
      </c>
      <c r="K5" s="2518" t="s">
        <v>2465</v>
      </c>
      <c r="L5" s="2512"/>
      <c r="M5" s="2513"/>
    </row>
    <row r="6" spans="1:33" ht="18" customHeight="1">
      <c r="A6" s="1830" t="s">
        <v>1825</v>
      </c>
      <c r="B6" s="3650" t="s">
        <v>2467</v>
      </c>
      <c r="C6" s="781">
        <f ca="1">ROUND(F6*F8*F7*(1-F9)/10000,0)</f>
        <v>0</v>
      </c>
      <c r="D6" s="2519" t="s">
        <v>2466</v>
      </c>
      <c r="E6" s="782" t="s">
        <v>1739</v>
      </c>
      <c r="F6" s="783">
        <f ca="1">INDIRECT("'数据-取费表'!u"&amp;$G$1)</f>
        <v>0</v>
      </c>
      <c r="G6" s="1591"/>
      <c r="H6" s="2526" t="s">
        <v>2472</v>
      </c>
      <c r="I6" s="3650" t="s">
        <v>2467</v>
      </c>
      <c r="J6" s="781">
        <f ca="1">ROUND(M6*M8*M7*(1-M9)/10000,0)</f>
        <v>0</v>
      </c>
      <c r="K6" s="339" t="s">
        <v>1738</v>
      </c>
      <c r="L6" s="782" t="s">
        <v>1739</v>
      </c>
      <c r="M6" s="783">
        <f ca="1">INDIRECT("'数据-取费表'!z"&amp;$G$1)</f>
        <v>0</v>
      </c>
    </row>
    <row r="7" spans="1:33" ht="18" customHeight="1">
      <c r="A7" s="2522"/>
      <c r="B7" s="3651"/>
      <c r="C7" s="786"/>
      <c r="D7" s="787"/>
      <c r="E7" s="782" t="s">
        <v>1740</v>
      </c>
      <c r="F7" s="783">
        <f ca="1">IF(INDIRECT("'数据-取费表'!ah"&amp;$G$1)="",INDIRECT("'数据-取费表'!k"&amp;$G$1),INDIRECT("'数据-取费表'!ah"&amp;$G$1))</f>
        <v>0</v>
      </c>
      <c r="G7" s="1591"/>
      <c r="H7" s="2511"/>
      <c r="I7" s="3651"/>
      <c r="J7" s="786"/>
      <c r="K7" s="787"/>
      <c r="L7" s="782" t="s">
        <v>1740</v>
      </c>
      <c r="M7" s="783">
        <f ca="1">F7</f>
        <v>0</v>
      </c>
    </row>
    <row r="8" spans="1:33" ht="18" customHeight="1">
      <c r="A8" s="2515"/>
      <c r="B8" s="3652"/>
      <c r="C8" s="786"/>
      <c r="D8" s="787"/>
      <c r="E8" s="782" t="s">
        <v>1741</v>
      </c>
      <c r="F8" s="783">
        <f ca="1">INDIRECT("'数据-取费表'!ai"&amp;$G$1)</f>
        <v>0</v>
      </c>
      <c r="G8" s="1591"/>
      <c r="H8" s="2511"/>
      <c r="I8" s="3652"/>
      <c r="J8" s="786"/>
      <c r="K8" s="787"/>
      <c r="L8" s="782" t="s">
        <v>1741</v>
      </c>
      <c r="M8" s="783">
        <f ca="1">INDIRECT("'数据-取费表'!ai"&amp;$G$1)</f>
        <v>0</v>
      </c>
    </row>
    <row r="9" spans="1:33" ht="18" customHeight="1">
      <c r="A9" s="784"/>
      <c r="B9" s="3653"/>
      <c r="C9" s="786"/>
      <c r="D9" s="787"/>
      <c r="E9" s="782" t="s">
        <v>1742</v>
      </c>
      <c r="F9" s="792">
        <f ca="1">INDIRECT("'数据-取费表'!w"&amp;$G$1)</f>
        <v>0</v>
      </c>
      <c r="G9" s="1591"/>
      <c r="H9" s="2527"/>
      <c r="I9" s="3652"/>
      <c r="J9" s="786"/>
      <c r="K9" s="787"/>
      <c r="L9" s="793" t="s">
        <v>1742</v>
      </c>
      <c r="M9" s="794">
        <f ca="1">INDIRECT("'数据-取费表'!ab"&amp;$G$1)</f>
        <v>0</v>
      </c>
    </row>
    <row r="10" spans="1:33" ht="18" customHeight="1">
      <c r="A10" s="1830" t="s">
        <v>2470</v>
      </c>
      <c r="B10" s="2516" t="s">
        <v>2463</v>
      </c>
      <c r="C10" s="797">
        <f ca="1">ROUND(IF(F10="押一",C6/12*F11,IF(F10="押二",C6/12*2*F11,IF(F10="押三",C6/12*3*F11,C11*F11))),0)</f>
        <v>0</v>
      </c>
      <c r="D10" s="2523" t="s">
        <v>2976</v>
      </c>
      <c r="E10" s="2520" t="s">
        <v>2468</v>
      </c>
      <c r="F10" s="2643"/>
      <c r="G10" s="1591"/>
      <c r="H10" s="2583" t="s">
        <v>2473</v>
      </c>
      <c r="I10" s="2588" t="s">
        <v>2463</v>
      </c>
      <c r="J10" s="781">
        <f ca="1">ROUND(IF(M10="押一",J6/12*M11,IF(M10="押二",J6/12*2*M11,IF(M10="押三",J6/12*3*M11,J11*M11))),0)</f>
        <v>0</v>
      </c>
      <c r="K10" s="2523" t="s">
        <v>2976</v>
      </c>
      <c r="L10" s="2520" t="s">
        <v>2468</v>
      </c>
      <c r="M10" s="2643"/>
    </row>
    <row r="11" spans="1:33" ht="18" customHeight="1">
      <c r="A11" s="788"/>
      <c r="B11" s="2517" t="s">
        <v>2577</v>
      </c>
      <c r="C11" s="2521"/>
      <c r="D11" s="787"/>
      <c r="E11" s="2520" t="s">
        <v>2469</v>
      </c>
      <c r="F11" s="794">
        <f ca="1">'数据-取费表'!B39</f>
        <v>1.4999999999999999E-2</v>
      </c>
      <c r="G11" s="1591"/>
      <c r="H11" s="2584"/>
      <c r="I11" s="2517" t="s">
        <v>2577</v>
      </c>
      <c r="J11" s="2521"/>
      <c r="K11" s="2585"/>
      <c r="L11" s="2520" t="s">
        <v>2469</v>
      </c>
      <c r="M11" s="2514">
        <f ca="1">'数据-取费表'!B39</f>
        <v>1.4999999999999999E-2</v>
      </c>
    </row>
    <row r="12" spans="1:33" ht="18" customHeight="1" thickBot="1">
      <c r="A12" s="2559" t="s">
        <v>2471</v>
      </c>
      <c r="B12" s="2560" t="s">
        <v>2464</v>
      </c>
      <c r="C12" s="2561"/>
      <c r="D12" s="2562"/>
      <c r="E12" s="2563"/>
      <c r="F12" s="2564"/>
      <c r="G12" s="1591"/>
      <c r="H12" s="2573" t="s">
        <v>2474</v>
      </c>
      <c r="I12" s="2586" t="s">
        <v>2464</v>
      </c>
      <c r="J12" s="2587"/>
      <c r="K12" s="2562"/>
      <c r="L12" s="2563"/>
      <c r="M12" s="2576"/>
    </row>
    <row r="13" spans="1:33" ht="18" customHeight="1" thickTop="1">
      <c r="A13" s="1829">
        <v>2</v>
      </c>
      <c r="B13" s="1827" t="s">
        <v>1743</v>
      </c>
      <c r="C13" s="790">
        <f ca="1">ROUND(C29*F13,0)</f>
        <v>0</v>
      </c>
      <c r="D13" s="1834" t="s">
        <v>2300</v>
      </c>
      <c r="E13" s="1834" t="s">
        <v>1745</v>
      </c>
      <c r="F13" s="2558">
        <f ca="1">INDIRECT("'数据-取费表'!y"&amp;$G$1)</f>
        <v>0</v>
      </c>
      <c r="G13" s="1591"/>
      <c r="H13" s="1829">
        <v>2</v>
      </c>
      <c r="I13" s="1827" t="s">
        <v>1743</v>
      </c>
      <c r="J13" s="1819">
        <f ca="1">ROUND(J14*J15,0)</f>
        <v>0</v>
      </c>
      <c r="K13" s="1821" t="s">
        <v>1744</v>
      </c>
      <c r="L13" s="2574"/>
      <c r="M13" s="2575"/>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1">
        <f ca="1">C29</f>
        <v>0</v>
      </c>
      <c r="K14" s="24"/>
      <c r="L14" s="799"/>
      <c r="M14" s="800"/>
    </row>
    <row r="15" spans="1:33" s="2064" customFormat="1" ht="18" customHeight="1" thickBot="1">
      <c r="A15" s="1647" t="s">
        <v>1886</v>
      </c>
      <c r="B15" s="782" t="s">
        <v>647</v>
      </c>
      <c r="C15" s="51">
        <f ca="1">ROUND(C14*F15,0)</f>
        <v>0</v>
      </c>
      <c r="D15" s="804" t="s">
        <v>1747</v>
      </c>
      <c r="E15" s="804" t="s">
        <v>1748</v>
      </c>
      <c r="F15" s="805">
        <f>'数据-取费表'!B33</f>
        <v>0.03</v>
      </c>
      <c r="G15" s="1592"/>
      <c r="H15" s="2573" t="s">
        <v>1890</v>
      </c>
      <c r="I15" s="2568" t="s">
        <v>1745</v>
      </c>
      <c r="J15" s="2577">
        <f ca="1">INDIRECT("'数据-取费表'!ad"&amp;$G$1)</f>
        <v>0</v>
      </c>
      <c r="K15" s="2578"/>
      <c r="L15" s="2579"/>
      <c r="M15" s="2580"/>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1">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08"/>
      <c r="M16" s="2513"/>
    </row>
    <row r="17" spans="1:33" s="2064" customFormat="1" ht="18" customHeight="1">
      <c r="A17" s="1647" t="s">
        <v>1888</v>
      </c>
      <c r="B17" s="782" t="s">
        <v>653</v>
      </c>
      <c r="C17" s="51">
        <f ca="1">ROUND(F17*(F43+INDIRECT("'数据-取费表'!S"&amp;$G$1))/10000,0)</f>
        <v>0</v>
      </c>
      <c r="D17" s="782" t="s">
        <v>1752</v>
      </c>
      <c r="E17" s="782" t="s">
        <v>1753</v>
      </c>
      <c r="F17" s="54">
        <f>'数据-取费表'!B35</f>
        <v>200</v>
      </c>
      <c r="G17" s="1592"/>
      <c r="H17" s="1648" t="s">
        <v>1831</v>
      </c>
      <c r="I17" s="782" t="s">
        <v>656</v>
      </c>
      <c r="J17" s="51">
        <f ca="1">ROUND(IF(项目基本情况!B11="自然人",J5*M17,J18+J19+J20),0)</f>
        <v>0</v>
      </c>
      <c r="K17" s="2507" t="s">
        <v>1754</v>
      </c>
      <c r="L17" s="2506"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1">
        <f ca="1">ROUND(C14*F18,0)</f>
        <v>0</v>
      </c>
      <c r="D18" s="782" t="s">
        <v>1747</v>
      </c>
      <c r="E18" s="782" t="s">
        <v>1748</v>
      </c>
      <c r="F18" s="807">
        <f>'数据-取费表'!B36</f>
        <v>1.4999999999999999E-2</v>
      </c>
      <c r="G18" s="1592"/>
      <c r="H18" s="1647" t="s">
        <v>1885</v>
      </c>
      <c r="I18" s="782" t="s">
        <v>1756</v>
      </c>
      <c r="J18" s="51">
        <f ca="1">ROUND(J5*M18/1.05,1)</f>
        <v>0</v>
      </c>
      <c r="K18" s="2506"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1">
        <f ca="1">SUM(C14:C18)</f>
        <v>0</v>
      </c>
      <c r="D19" s="259" t="s">
        <v>1758</v>
      </c>
      <c r="E19" s="1982"/>
      <c r="F19" s="54"/>
      <c r="G19" s="1591"/>
      <c r="H19" s="1647" t="s">
        <v>1886</v>
      </c>
      <c r="I19" s="782" t="s">
        <v>1759</v>
      </c>
      <c r="J19" s="51">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1">
        <f ca="1">ROUND(C19*F20,0)</f>
        <v>0</v>
      </c>
      <c r="D20" s="810" t="s">
        <v>1760</v>
      </c>
      <c r="E20" s="782" t="s">
        <v>1748</v>
      </c>
      <c r="F20" s="807">
        <f>'数据-取费表'!B37</f>
        <v>0.02</v>
      </c>
      <c r="G20" s="1592"/>
      <c r="H20" s="1650" t="s">
        <v>1881</v>
      </c>
      <c r="I20" s="339" t="s">
        <v>1761</v>
      </c>
      <c r="J20" s="52">
        <f ca="1">ROUND(M20*M21/10000,0)</f>
        <v>0</v>
      </c>
      <c r="K20" s="812" t="s">
        <v>1762</v>
      </c>
      <c r="L20" s="782" t="s">
        <v>1763</v>
      </c>
      <c r="M20" s="638">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1" t="s">
        <v>1765</v>
      </c>
      <c r="D21" s="810" t="s">
        <v>2301</v>
      </c>
      <c r="E21" s="782" t="s">
        <v>1766</v>
      </c>
      <c r="F21" s="807">
        <f>'数据-取费表'!B38</f>
        <v>0.02</v>
      </c>
      <c r="G21" s="1592"/>
      <c r="H21" s="2528"/>
      <c r="I21" s="791"/>
      <c r="J21" s="67"/>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1"/>
      <c r="D22" s="2594" t="str">
        <f>IF(F23&lt;=1,"单利计息。","复利计息。")&amp;"建造成本、管理费用、销售费用产生的利息。"</f>
        <v>复利计息。建造成本、管理费用、销售费用产生的利息。</v>
      </c>
      <c r="E22" s="1982"/>
      <c r="F22" s="54"/>
      <c r="G22" s="1591"/>
      <c r="H22" s="1648" t="s">
        <v>1890</v>
      </c>
      <c r="I22" s="782" t="s">
        <v>1769</v>
      </c>
      <c r="J22" s="51">
        <f ca="1">ROUND(J14*M22,0)</f>
        <v>0</v>
      </c>
      <c r="K22" s="2506" t="s">
        <v>1770</v>
      </c>
      <c r="L22" s="782" t="s">
        <v>1748</v>
      </c>
      <c r="M22" s="815">
        <f ca="1">INDIRECT("'数据-取费表'!Ak"&amp;$G$1)</f>
        <v>0</v>
      </c>
    </row>
    <row r="23" spans="1:33" s="2064" customFormat="1" ht="18" customHeight="1">
      <c r="A23" s="1647" t="s">
        <v>1832</v>
      </c>
      <c r="B23" s="782" t="s">
        <v>2539</v>
      </c>
      <c r="C23" s="51">
        <f ca="1">ROUND(IF('数据-取费表'!B22&lt;=1,(C19+C20)*F24*F23/2,(C19+C20)*(POWER((1+F24),F23/2)-1)),0)</f>
        <v>0</v>
      </c>
      <c r="D23" s="2593" t="str">
        <f>IF(F23&lt;=1,"(建造成本+管理费用)×利率×(建设周期÷2)","(建造成本+管理费用)×((1+利率)^(建设周期÷2)-1)")</f>
        <v>(建造成本+管理费用)×((1+利率)^(建设周期÷2)-1)</v>
      </c>
      <c r="E23" s="782" t="s">
        <v>1771</v>
      </c>
      <c r="F23" s="638">
        <f>'数据-取费表'!B20</f>
        <v>1.5</v>
      </c>
      <c r="G23" s="1592"/>
      <c r="H23" s="1648" t="s">
        <v>1891</v>
      </c>
      <c r="I23" s="782" t="s">
        <v>679</v>
      </c>
      <c r="J23" s="51">
        <f ca="1">ROUND(J13*M23,0)</f>
        <v>0</v>
      </c>
      <c r="K23" s="2506"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1">
        <f ca="1">ROUND(IF('数据-取费表'!B22&lt;=1,F21*F24*F23/2,F21*(POWER((1+F24),F23/2)-1)),4)</f>
        <v>6.9999999999999999E-4</v>
      </c>
      <c r="D24" s="2593" t="str">
        <f>IF(F23&lt;=1,"销售费用×利率×(建设周期÷2)","销售费用×((1+利率)^(建设周期÷2)-1)")</f>
        <v>销售费用×((1+利率)^(建设周期÷2)-1)</v>
      </c>
      <c r="E24" s="782" t="s">
        <v>1774</v>
      </c>
      <c r="F24" s="817">
        <f ca="1">'数据-取费表'!B40</f>
        <v>4.7500000000000001E-2</v>
      </c>
      <c r="G24" s="1592"/>
      <c r="H24" s="2573" t="s">
        <v>1892</v>
      </c>
      <c r="I24" s="2568" t="s">
        <v>666</v>
      </c>
      <c r="J24" s="2566">
        <f ca="1">ROUND(J5*M24,0)</f>
        <v>0</v>
      </c>
      <c r="K24" s="2567" t="s">
        <v>1775</v>
      </c>
      <c r="L24" s="2568" t="s">
        <v>1748</v>
      </c>
      <c r="M24" s="2564">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1"/>
      <c r="D25" s="259" t="s">
        <v>1776</v>
      </c>
      <c r="E25" s="1982"/>
      <c r="F25" s="54"/>
      <c r="G25" s="1591"/>
      <c r="H25" s="1829" t="s">
        <v>1777</v>
      </c>
      <c r="I25" s="3032" t="s">
        <v>2825</v>
      </c>
      <c r="J25" s="790">
        <f ca="1">J5-J16</f>
        <v>0</v>
      </c>
      <c r="K25" s="2570" t="s">
        <v>1778</v>
      </c>
      <c r="L25" s="2571"/>
      <c r="M25" s="2572"/>
    </row>
    <row r="26" spans="1:33" ht="18" customHeight="1">
      <c r="A26" s="1647" t="s">
        <v>1832</v>
      </c>
      <c r="B26" s="782" t="s">
        <v>2442</v>
      </c>
      <c r="C26" s="51">
        <f ca="1">ROUND((C19+C20)*F26,0)</f>
        <v>0</v>
      </c>
      <c r="D26" s="810" t="s">
        <v>1779</v>
      </c>
      <c r="E26" s="793" t="s">
        <v>1780</v>
      </c>
      <c r="F26" s="792">
        <f ca="1">INDIRECT("'数据-取费表'!q"&amp;$G$1)</f>
        <v>0</v>
      </c>
      <c r="G26" s="1591"/>
      <c r="H26" s="2524"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1">
        <f ca="1">ROUND(F21*F26,4)</f>
        <v>0</v>
      </c>
      <c r="D27" s="810" t="s">
        <v>1783</v>
      </c>
      <c r="E27" s="804"/>
      <c r="F27" s="805"/>
      <c r="G27" s="1591"/>
      <c r="H27" s="2525"/>
      <c r="I27" s="785"/>
      <c r="J27" s="786"/>
      <c r="K27" s="819" t="s">
        <v>1784</v>
      </c>
      <c r="L27" s="782" t="s">
        <v>1785</v>
      </c>
      <c r="M27" s="820">
        <f ca="1">INDIRECT("'数据-取费表'!ag"&amp;$G$1)</f>
        <v>0</v>
      </c>
    </row>
    <row r="28" spans="1:33" s="2064" customFormat="1" ht="18" customHeight="1">
      <c r="A28" s="1649" t="s">
        <v>1842</v>
      </c>
      <c r="B28" s="782" t="s">
        <v>687</v>
      </c>
      <c r="C28" s="51">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5" t="s">
        <v>1893</v>
      </c>
      <c r="B29" s="2563" t="s">
        <v>2303</v>
      </c>
      <c r="C29" s="2566">
        <f ca="1">ROUND((C19+C20+C23+C26)/(1-F21-C24-C27-C28),0)</f>
        <v>0</v>
      </c>
      <c r="D29" s="2567"/>
      <c r="E29" s="2568"/>
      <c r="F29" s="2569"/>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08"/>
      <c r="F30" s="2513"/>
      <c r="G30" s="2062"/>
      <c r="H30" s="2065"/>
      <c r="I30" s="2066"/>
      <c r="J30" s="2067"/>
      <c r="K30" s="2068"/>
      <c r="L30" s="2069"/>
      <c r="M30" s="2070"/>
    </row>
    <row r="31" spans="1:33" ht="18" customHeight="1">
      <c r="A31" s="1648" t="s">
        <v>1831</v>
      </c>
      <c r="B31" s="782" t="s">
        <v>656</v>
      </c>
      <c r="C31" s="51">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1">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39" t="s">
        <v>1799</v>
      </c>
      <c r="C34" s="52">
        <f ca="1">ROUND(F34*F35/10000,1)</f>
        <v>0</v>
      </c>
      <c r="D34" s="812" t="s">
        <v>1800</v>
      </c>
      <c r="E34" s="782" t="s">
        <v>1801</v>
      </c>
      <c r="F34" s="638">
        <f>'数据-取费表'!B52</f>
        <v>0</v>
      </c>
      <c r="G34" s="2062"/>
      <c r="H34" s="2065"/>
      <c r="I34" s="833" t="s">
        <v>1814</v>
      </c>
      <c r="J34" s="834"/>
      <c r="K34" s="2080"/>
      <c r="L34" s="2079"/>
      <c r="M34" s="2079"/>
    </row>
    <row r="35" spans="1:18" ht="18" customHeight="1">
      <c r="A35" s="813"/>
      <c r="B35" s="791"/>
      <c r="C35" s="67"/>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1">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1">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3" t="s">
        <v>1892</v>
      </c>
      <c r="B38" s="2568" t="s">
        <v>666</v>
      </c>
      <c r="C38" s="2566">
        <f ca="1">ROUND(C5*F38,1)</f>
        <v>0</v>
      </c>
      <c r="D38" s="2567" t="s">
        <v>1806</v>
      </c>
      <c r="E38" s="2568" t="s">
        <v>1797</v>
      </c>
      <c r="F38" s="2564">
        <f ca="1">INDIRECT("'数据-取费表'!Am"&amp;$G$1)</f>
        <v>0</v>
      </c>
      <c r="G38" s="2062"/>
      <c r="H38" s="2077"/>
      <c r="I38" s="841" t="s">
        <v>1818</v>
      </c>
      <c r="J38" s="842"/>
      <c r="K38" s="2083"/>
      <c r="L38" s="2077"/>
      <c r="M38" s="2077"/>
    </row>
    <row r="39" spans="1:18" ht="24.6" customHeight="1" thickTop="1">
      <c r="A39" s="1829" t="s">
        <v>1895</v>
      </c>
      <c r="B39" s="3032" t="s">
        <v>2825</v>
      </c>
      <c r="C39" s="790">
        <f ca="1">C5-C30</f>
        <v>0</v>
      </c>
      <c r="D39" s="2570" t="s">
        <v>1807</v>
      </c>
      <c r="E39" s="2571"/>
      <c r="F39" s="2572"/>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2966</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6" t="e">
        <f ca="1">C67-C40</f>
        <v>#DIV/0!</v>
      </c>
      <c r="D46" s="2085"/>
      <c r="E46" s="2085"/>
      <c r="F46" s="2085"/>
      <c r="I46" s="2378" t="s">
        <v>2346</v>
      </c>
      <c r="J46" s="2379"/>
      <c r="K46" s="2380"/>
      <c r="L46" s="2381" t="e">
        <f ca="1">IF(OR(M47="住宅",D1="土地（套用方法）"),0,IF(L48&gt;J51,L60,J60))</f>
        <v>#DIV/0!</v>
      </c>
      <c r="O46" s="2418" t="s">
        <v>2414</v>
      </c>
      <c r="P46" s="1591"/>
      <c r="Q46" s="1603"/>
      <c r="R46" s="1591"/>
    </row>
    <row r="47" spans="1:18" s="2059" customFormat="1" ht="18" customHeight="1" thickBot="1">
      <c r="A47" s="2372">
        <v>1</v>
      </c>
      <c r="B47" s="2373" t="s">
        <v>635</v>
      </c>
      <c r="C47" s="2596">
        <f ca="1">C48+C52+C54</f>
        <v>0</v>
      </c>
      <c r="D47" s="2085"/>
      <c r="E47" s="2085"/>
      <c r="F47" s="2085"/>
      <c r="I47" s="2382" t="s">
        <v>2347</v>
      </c>
      <c r="J47" s="2387"/>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4" t="s">
        <v>2541</v>
      </c>
      <c r="B48" s="2665" t="s">
        <v>2542</v>
      </c>
      <c r="C48" s="2374">
        <f ca="1">ROUND(F48*F50*F49*(1-F51)/10000,0)</f>
        <v>0</v>
      </c>
      <c r="D48" s="2375" t="s">
        <v>636</v>
      </c>
      <c r="E48" s="2376" t="s">
        <v>2299</v>
      </c>
      <c r="F48" s="2377"/>
      <c r="G48" s="2090"/>
      <c r="I48" s="2383" t="s">
        <v>2348</v>
      </c>
      <c r="J48" s="2390"/>
      <c r="K48" s="2391" t="s">
        <v>2355</v>
      </c>
      <c r="L48" s="2392">
        <f ca="1">INDIRECT("'数据-取费表'!f"&amp;$G$1)</f>
        <v>50</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2540</v>
      </c>
      <c r="B52" s="2516" t="s">
        <v>2463</v>
      </c>
      <c r="C52" s="797">
        <f ca="1">ROUND(IF(F52="押一",C48/12*F11,IF(F52="押二",C48/12*2*F11,IF(F52="押三",C48/12*3*F11,C53*F11))),0)</f>
        <v>0</v>
      </c>
      <c r="D52" s="2523" t="s">
        <v>2977</v>
      </c>
      <c r="E52" s="2520" t="s">
        <v>2468</v>
      </c>
      <c r="F52" s="2643"/>
      <c r="I52" s="2385" t="s">
        <v>2425</v>
      </c>
      <c r="J52" s="2399"/>
      <c r="K52" s="2385" t="s">
        <v>2424</v>
      </c>
      <c r="L52" s="2399"/>
      <c r="O52" s="2425" t="s">
        <v>2390</v>
      </c>
      <c r="P52" s="2423" t="s">
        <v>2391</v>
      </c>
      <c r="Q52" s="2426">
        <f>J52</f>
        <v>0</v>
      </c>
      <c r="R52" s="2427"/>
    </row>
    <row r="53" spans="1:18" s="2059" customFormat="1" ht="39.75" customHeight="1" thickBot="1">
      <c r="A53" s="784"/>
      <c r="B53" s="2517" t="s">
        <v>2577</v>
      </c>
      <c r="C53" s="2521"/>
      <c r="D53" s="2523"/>
      <c r="E53" s="2520"/>
      <c r="F53" s="798"/>
      <c r="I53" s="2386" t="s">
        <v>2352</v>
      </c>
      <c r="J53" s="2400">
        <f ca="1">IF(M47="住宅",J51,IF(D1="——",MIN(J51,L48),IF(D1="土地（套用方法）",MIN(J51,L48-'数据-取费表'!B20))))</f>
        <v>0</v>
      </c>
      <c r="K53" s="3666" t="s">
        <v>2968</v>
      </c>
      <c r="L53" s="3667"/>
      <c r="O53" s="2425" t="s">
        <v>2392</v>
      </c>
      <c r="P53" s="2423" t="s">
        <v>2393</v>
      </c>
      <c r="Q53" s="2424">
        <f ca="1">J53</f>
        <v>0</v>
      </c>
      <c r="R53" s="2423" t="s">
        <v>2394</v>
      </c>
    </row>
    <row r="54" spans="1:18" s="2059" customFormat="1" ht="18" customHeight="1" thickBot="1">
      <c r="A54" s="2559" t="s">
        <v>2471</v>
      </c>
      <c r="B54" s="2560" t="s">
        <v>2464</v>
      </c>
      <c r="C54" s="2561"/>
      <c r="D54" s="2523"/>
      <c r="E54" s="2520"/>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5" t="s">
        <v>2359</v>
      </c>
      <c r="J55" s="3124" t="e">
        <f ca="1">ROUND(IF(J47="钢混",J57/J50,1-(1-2%)*(J50-J57)/J50),3)</f>
        <v>#VALUE!</v>
      </c>
      <c r="K55" s="2401" t="s">
        <v>2360</v>
      </c>
      <c r="L55" s="2402"/>
      <c r="O55" s="2428" t="s">
        <v>2415</v>
      </c>
      <c r="P55" s="1591"/>
      <c r="Q55" s="1603"/>
      <c r="R55" s="1591"/>
    </row>
    <row r="56" spans="1:18" s="2059" customFormat="1" ht="42.75" customHeight="1" thickBot="1">
      <c r="A56" s="1649"/>
      <c r="B56" s="2231" t="s">
        <v>2305</v>
      </c>
      <c r="C56" s="51">
        <f ca="1">C29</f>
        <v>0</v>
      </c>
      <c r="D56" s="2661"/>
      <c r="E56" s="782"/>
      <c r="F56" s="807"/>
      <c r="I56" s="2403" t="s">
        <v>2361</v>
      </c>
      <c r="J56" s="3148" t="s">
        <v>1679</v>
      </c>
      <c r="K56" s="2383" t="s">
        <v>2366</v>
      </c>
      <c r="L56" s="2392">
        <f ca="1">IF(L48&lt;J51,"——",L48-J51)</f>
        <v>50</v>
      </c>
      <c r="O56" s="2419" t="s">
        <v>2379</v>
      </c>
      <c r="P56" s="2420" t="s">
        <v>2380</v>
      </c>
      <c r="Q56" s="2421" t="s">
        <v>2381</v>
      </c>
      <c r="R56" s="2420" t="s">
        <v>2382</v>
      </c>
    </row>
    <row r="57" spans="1:18" s="2059" customFormat="1" ht="28.5" customHeight="1" thickBot="1">
      <c r="A57" s="795" t="s">
        <v>1749</v>
      </c>
      <c r="B57" s="796" t="s">
        <v>651</v>
      </c>
      <c r="C57" s="797">
        <f ca="1">ROUND(C58+C63+C64+C65,0)</f>
        <v>0</v>
      </c>
      <c r="D57" s="24" t="s">
        <v>1751</v>
      </c>
      <c r="E57" s="2662"/>
      <c r="F57" s="54"/>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1">
        <f ca="1">ROUND(IF(项目基本情况!B11="自然人",C47*F58,C59+C60+C61),1)</f>
        <v>0</v>
      </c>
      <c r="D58" s="2660" t="s">
        <v>657</v>
      </c>
      <c r="E58" s="2661" t="s">
        <v>690</v>
      </c>
      <c r="F58" s="808" t="str">
        <f ca="1">IF(项目基本情况!B11="企业","",IF(INDIRECT("'数据-取费表'!c"&amp;$G$1)="住宅",5%,IF(F48*F49*F50/12/(1+'数据-取费表'!C42)&gt;20000,12%,7%)))</f>
        <v/>
      </c>
      <c r="I58" s="2404" t="s">
        <v>2363</v>
      </c>
      <c r="J58" s="3126"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1">
        <f ca="1">ROUND(C47*F59/1.05,1)</f>
        <v>0</v>
      </c>
      <c r="D59" s="2661" t="s">
        <v>1757</v>
      </c>
      <c r="E59" s="782" t="s">
        <v>1748</v>
      </c>
      <c r="F59" s="807">
        <f t="shared" ref="F59:F65" si="0">F32</f>
        <v>5.6000000000000001E-2</v>
      </c>
      <c r="I59" s="2404" t="s">
        <v>2364</v>
      </c>
      <c r="J59" s="2406"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1">
        <f ca="1">IF(D60="按租金收入计税",ROUND(C47*F60,1),IF(D60="按房产原值计税",ROUND(C56*F60*0.7,1),INDIRECT("'数据-取费表'!Aj"&amp;$G$1)))</f>
        <v>0</v>
      </c>
      <c r="D60" s="2661"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39" t="s">
        <v>668</v>
      </c>
      <c r="C61" s="52">
        <f ca="1">ROUND(F61*F62/10000,1)</f>
        <v>0</v>
      </c>
      <c r="D61" s="812" t="s">
        <v>669</v>
      </c>
      <c r="E61" s="782" t="s">
        <v>670</v>
      </c>
      <c r="F61" s="638">
        <f t="shared" si="0"/>
        <v>0</v>
      </c>
      <c r="K61" s="2086"/>
      <c r="O61" s="2425" t="s">
        <v>2390</v>
      </c>
      <c r="P61" s="2423" t="s">
        <v>2398</v>
      </c>
      <c r="Q61" s="2424" t="e">
        <f ca="1">L58</f>
        <v>#DIV/0!</v>
      </c>
      <c r="R61" s="2427" t="s">
        <v>2399</v>
      </c>
    </row>
    <row r="62" spans="1:18" s="2059" customFormat="1" ht="15.75" thickBot="1">
      <c r="A62" s="813"/>
      <c r="B62" s="791"/>
      <c r="C62" s="67"/>
      <c r="D62" s="814"/>
      <c r="E62" s="782" t="s">
        <v>674</v>
      </c>
      <c r="F62" s="783">
        <f t="shared" ca="1" si="0"/>
        <v>0</v>
      </c>
      <c r="I62" s="2409" t="s">
        <v>2371</v>
      </c>
      <c r="J62" s="2410" t="s">
        <v>2372</v>
      </c>
      <c r="K62" s="2410" t="s">
        <v>2373</v>
      </c>
      <c r="L62" s="2410" t="s">
        <v>2354</v>
      </c>
      <c r="M62" s="3127" t="s">
        <v>2943</v>
      </c>
      <c r="O62" s="2425" t="s">
        <v>2392</v>
      </c>
      <c r="P62" s="2423" t="str">
        <f>K59</f>
        <v>建筑物剩余耐用年限下的土地年期修正系数Kn</v>
      </c>
      <c r="Q62" s="2424" t="e">
        <f ca="1">L59</f>
        <v>#DIV/0!</v>
      </c>
      <c r="R62" s="2427" t="s">
        <v>2401</v>
      </c>
    </row>
    <row r="63" spans="1:18" s="2059" customFormat="1" ht="15.75" thickBot="1">
      <c r="A63" s="1648" t="s">
        <v>1890</v>
      </c>
      <c r="B63" s="782" t="s">
        <v>676</v>
      </c>
      <c r="C63" s="51">
        <f ca="1">ROUND(C56*F63,1)</f>
        <v>0</v>
      </c>
      <c r="D63" s="2661" t="s">
        <v>1804</v>
      </c>
      <c r="E63" s="782" t="s">
        <v>1748</v>
      </c>
      <c r="F63" s="815">
        <f t="shared" ca="1" si="0"/>
        <v>0</v>
      </c>
      <c r="I63" s="2409" t="s">
        <v>2374</v>
      </c>
      <c r="J63" s="2410">
        <v>70</v>
      </c>
      <c r="K63" s="2410">
        <v>50</v>
      </c>
      <c r="L63" s="2410">
        <v>80</v>
      </c>
      <c r="M63" s="3128">
        <v>0.02</v>
      </c>
      <c r="O63" s="2422" t="s">
        <v>2395</v>
      </c>
      <c r="P63" s="2423" t="s">
        <v>2412</v>
      </c>
      <c r="Q63" s="2424" t="e">
        <f ca="1">Q57+Q58</f>
        <v>#DIV/0!</v>
      </c>
      <c r="R63" s="2427" t="s">
        <v>2396</v>
      </c>
    </row>
    <row r="64" spans="1:18" s="2059" customFormat="1" ht="16.5" thickBot="1">
      <c r="A64" s="1648" t="s">
        <v>1891</v>
      </c>
      <c r="B64" s="782" t="s">
        <v>679</v>
      </c>
      <c r="C64" s="51">
        <f ca="1">ROUND(C55*F64,1)</f>
        <v>0</v>
      </c>
      <c r="D64" s="2661" t="s">
        <v>680</v>
      </c>
      <c r="E64" s="782" t="s">
        <v>1748</v>
      </c>
      <c r="F64" s="816">
        <f t="shared" ca="1" si="0"/>
        <v>0</v>
      </c>
      <c r="I64" s="2409" t="s">
        <v>2375</v>
      </c>
      <c r="J64" s="2410">
        <v>50</v>
      </c>
      <c r="K64" s="2410">
        <v>35</v>
      </c>
      <c r="L64" s="2410">
        <v>60</v>
      </c>
      <c r="M64" s="3129">
        <v>0</v>
      </c>
      <c r="O64" s="2428" t="s">
        <v>2419</v>
      </c>
      <c r="P64" s="1591"/>
      <c r="Q64" s="1603"/>
      <c r="R64" s="1591"/>
    </row>
    <row r="65" spans="1:18" s="2059" customFormat="1" ht="15.75" thickBot="1">
      <c r="A65" s="1648" t="s">
        <v>1892</v>
      </c>
      <c r="B65" s="782" t="s">
        <v>666</v>
      </c>
      <c r="C65" s="51">
        <f ca="1">ROUND(C47*F65,1)</f>
        <v>0</v>
      </c>
      <c r="D65" s="2661" t="s">
        <v>683</v>
      </c>
      <c r="E65" s="782" t="s">
        <v>1748</v>
      </c>
      <c r="F65" s="792">
        <f t="shared" ca="1" si="0"/>
        <v>0</v>
      </c>
      <c r="I65" s="2409" t="s">
        <v>2376</v>
      </c>
      <c r="J65" s="2410">
        <v>40</v>
      </c>
      <c r="K65" s="2410">
        <v>30</v>
      </c>
      <c r="L65" s="2410">
        <v>50</v>
      </c>
      <c r="M65" s="3128">
        <v>0.02</v>
      </c>
      <c r="O65" s="2419" t="s">
        <v>2379</v>
      </c>
      <c r="P65" s="2420" t="s">
        <v>2380</v>
      </c>
      <c r="Q65" s="2421" t="s">
        <v>2381</v>
      </c>
      <c r="R65" s="2420" t="s">
        <v>2382</v>
      </c>
    </row>
    <row r="66" spans="1:18" s="2059" customFormat="1" ht="24.75" thickBot="1">
      <c r="A66" s="795" t="s">
        <v>1777</v>
      </c>
      <c r="B66" s="3033" t="s">
        <v>2825</v>
      </c>
      <c r="C66" s="797">
        <f ca="1">C47-C57</f>
        <v>0</v>
      </c>
      <c r="D66" s="2660" t="s">
        <v>700</v>
      </c>
      <c r="E66" s="2659"/>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84" t="s">
        <v>2475</v>
      </c>
      <c r="B1" s="3685"/>
      <c r="C1" s="3686"/>
      <c r="D1" s="3687">
        <f>SUM(I10,I15,I20,I21,I23)</f>
        <v>0</v>
      </c>
      <c r="E1" s="3687"/>
      <c r="F1" s="3687"/>
      <c r="G1" s="3687"/>
      <c r="H1" s="3687"/>
      <c r="I1" s="3688"/>
    </row>
    <row r="2" spans="1:9">
      <c r="A2" s="3674" t="s">
        <v>2476</v>
      </c>
      <c r="B2" s="3675" t="s">
        <v>2477</v>
      </c>
      <c r="C2" s="3675"/>
      <c r="D2" s="2529" t="s">
        <v>2478</v>
      </c>
      <c r="E2" s="2529" t="s">
        <v>2479</v>
      </c>
      <c r="F2" s="2529" t="s">
        <v>2480</v>
      </c>
      <c r="G2" s="2529" t="s">
        <v>2481</v>
      </c>
      <c r="H2" s="2529" t="s">
        <v>2482</v>
      </c>
      <c r="I2" s="2530" t="s">
        <v>2483</v>
      </c>
    </row>
    <row r="3" spans="1:9">
      <c r="A3" s="3674"/>
      <c r="B3" s="3675" t="s">
        <v>2484</v>
      </c>
      <c r="C3" s="3675"/>
      <c r="D3" s="2531"/>
      <c r="E3" s="2529"/>
      <c r="F3" s="2532"/>
      <c r="G3" s="2532"/>
      <c r="H3" s="2533"/>
      <c r="I3" s="2534">
        <f>ROUND(D3*E3*F3*G3*H3/10000,0)</f>
        <v>0</v>
      </c>
    </row>
    <row r="4" spans="1:9">
      <c r="A4" s="3674"/>
      <c r="B4" s="3675" t="s">
        <v>2485</v>
      </c>
      <c r="C4" s="3675"/>
      <c r="D4" s="2531"/>
      <c r="E4" s="2529"/>
      <c r="F4" s="2532"/>
      <c r="G4" s="2532"/>
      <c r="H4" s="2533"/>
      <c r="I4" s="2534">
        <f t="shared" ref="I4:I9" si="0">ROUND(D4*E4*F4*G4*H4/10000,0)</f>
        <v>0</v>
      </c>
    </row>
    <row r="5" spans="1:9">
      <c r="A5" s="3674"/>
      <c r="B5" s="3675" t="s">
        <v>2486</v>
      </c>
      <c r="C5" s="3675"/>
      <c r="D5" s="2531"/>
      <c r="E5" s="2529"/>
      <c r="F5" s="2532"/>
      <c r="G5" s="2532"/>
      <c r="H5" s="2533"/>
      <c r="I5" s="2534">
        <f t="shared" si="0"/>
        <v>0</v>
      </c>
    </row>
    <row r="6" spans="1:9">
      <c r="A6" s="3674"/>
      <c r="B6" s="3675" t="s">
        <v>2487</v>
      </c>
      <c r="C6" s="3675"/>
      <c r="D6" s="2531"/>
      <c r="E6" s="2529"/>
      <c r="F6" s="2532"/>
      <c r="G6" s="2532"/>
      <c r="H6" s="2533"/>
      <c r="I6" s="2534">
        <f t="shared" si="0"/>
        <v>0</v>
      </c>
    </row>
    <row r="7" spans="1:9">
      <c r="A7" s="3674"/>
      <c r="B7" s="3675" t="s">
        <v>2488</v>
      </c>
      <c r="C7" s="3675"/>
      <c r="D7" s="2531"/>
      <c r="E7" s="2529"/>
      <c r="F7" s="2532"/>
      <c r="G7" s="2532"/>
      <c r="H7" s="2533"/>
      <c r="I7" s="2534">
        <f t="shared" si="0"/>
        <v>0</v>
      </c>
    </row>
    <row r="8" spans="1:9">
      <c r="A8" s="3674"/>
      <c r="B8" s="3675" t="s">
        <v>2489</v>
      </c>
      <c r="C8" s="3675"/>
      <c r="D8" s="2531"/>
      <c r="E8" s="2529"/>
      <c r="F8" s="2532"/>
      <c r="G8" s="2532"/>
      <c r="H8" s="2533"/>
      <c r="I8" s="2534">
        <f t="shared" si="0"/>
        <v>0</v>
      </c>
    </row>
    <row r="9" spans="1:9">
      <c r="A9" s="3674"/>
      <c r="B9" s="3675" t="s">
        <v>2490</v>
      </c>
      <c r="C9" s="3675"/>
      <c r="D9" s="2531"/>
      <c r="E9" s="2529"/>
      <c r="F9" s="2532"/>
      <c r="G9" s="2532"/>
      <c r="H9" s="2533"/>
      <c r="I9" s="2534">
        <f t="shared" si="0"/>
        <v>0</v>
      </c>
    </row>
    <row r="10" spans="1:9">
      <c r="A10" s="3674"/>
      <c r="B10" s="3676" t="s">
        <v>2491</v>
      </c>
      <c r="C10" s="3676"/>
      <c r="D10" s="2535">
        <v>527</v>
      </c>
      <c r="E10" s="2535" t="e">
        <f>ROUND(D1*10000/D10/H9,0)</f>
        <v>#DIV/0!</v>
      </c>
      <c r="F10" s="2536"/>
      <c r="G10" s="2536"/>
      <c r="H10" s="2537"/>
      <c r="I10" s="2538">
        <f>SUM(I3:I9)</f>
        <v>0</v>
      </c>
    </row>
    <row r="11" spans="1:9" ht="14.25">
      <c r="A11" s="3674" t="s">
        <v>2492</v>
      </c>
      <c r="B11" s="3675" t="s">
        <v>2493</v>
      </c>
      <c r="C11" s="3675"/>
      <c r="D11" s="2531" t="s">
        <v>2494</v>
      </c>
      <c r="E11" s="2531" t="s">
        <v>2495</v>
      </c>
      <c r="F11" s="2532" t="s">
        <v>2496</v>
      </c>
      <c r="G11" s="2532" t="s">
        <v>2497</v>
      </c>
      <c r="H11" s="2539" t="s">
        <v>2498</v>
      </c>
      <c r="I11" s="2530" t="s">
        <v>2499</v>
      </c>
    </row>
    <row r="12" spans="1:9">
      <c r="A12" s="3674"/>
      <c r="B12" s="3675" t="s">
        <v>2500</v>
      </c>
      <c r="C12" s="3675"/>
      <c r="D12" s="2531"/>
      <c r="E12" s="2531"/>
      <c r="F12" s="2532"/>
      <c r="G12" s="2533"/>
      <c r="H12" s="2540"/>
      <c r="I12" s="2530">
        <f>ROUND(D12*E12*F12*G12/10000,0)</f>
        <v>0</v>
      </c>
    </row>
    <row r="13" spans="1:9">
      <c r="A13" s="3674"/>
      <c r="B13" s="3675" t="s">
        <v>2501</v>
      </c>
      <c r="C13" s="3675"/>
      <c r="D13" s="2531"/>
      <c r="E13" s="2531"/>
      <c r="F13" s="2532"/>
      <c r="G13" s="2533"/>
      <c r="H13" s="2540"/>
      <c r="I13" s="2530">
        <f>ROUND(D13*E13*F13*G13/10000,0)</f>
        <v>0</v>
      </c>
    </row>
    <row r="14" spans="1:9">
      <c r="A14" s="3674"/>
      <c r="B14" s="3675" t="s">
        <v>2502</v>
      </c>
      <c r="C14" s="3675"/>
      <c r="D14" s="2531"/>
      <c r="E14" s="2531"/>
      <c r="F14" s="2532"/>
      <c r="G14" s="2533"/>
      <c r="H14" s="2540"/>
      <c r="I14" s="2530">
        <f>ROUND(D14*E14*F14*G14/10000,0)</f>
        <v>0</v>
      </c>
    </row>
    <row r="15" spans="1:9">
      <c r="A15" s="3674"/>
      <c r="B15" s="3676" t="s">
        <v>2491</v>
      </c>
      <c r="C15" s="3676"/>
      <c r="D15" s="2535"/>
      <c r="E15" s="2535">
        <f>SUM(E12:E14)</f>
        <v>0</v>
      </c>
      <c r="F15" s="2536"/>
      <c r="G15" s="2533"/>
      <c r="H15" s="2540"/>
      <c r="I15" s="2541">
        <f>SUM(I12:I14)</f>
        <v>0</v>
      </c>
    </row>
    <row r="16" spans="1:9" ht="24">
      <c r="A16" s="3674" t="s">
        <v>2503</v>
      </c>
      <c r="B16" s="3675" t="s">
        <v>2504</v>
      </c>
      <c r="C16" s="3675"/>
      <c r="D16" s="2531" t="s">
        <v>2505</v>
      </c>
      <c r="E16" s="2542" t="s">
        <v>2506</v>
      </c>
      <c r="F16" s="2532" t="s">
        <v>2507</v>
      </c>
      <c r="G16" s="2533" t="s">
        <v>2497</v>
      </c>
      <c r="H16" s="2539" t="s">
        <v>2498</v>
      </c>
      <c r="I16" s="2530" t="s">
        <v>2499</v>
      </c>
    </row>
    <row r="17" spans="1:9" ht="14.25">
      <c r="A17" s="3674"/>
      <c r="B17" s="3675" t="s">
        <v>2508</v>
      </c>
      <c r="C17" s="3675"/>
      <c r="D17" s="2531"/>
      <c r="E17" s="2531"/>
      <c r="F17" s="2532"/>
      <c r="G17" s="2533"/>
      <c r="H17" s="2543"/>
      <c r="I17" s="2544">
        <f>ROUND(D17*E17*F17*G17/10000,0)</f>
        <v>0</v>
      </c>
    </row>
    <row r="18" spans="1:9" ht="14.25">
      <c r="A18" s="3674"/>
      <c r="B18" s="3675" t="s">
        <v>2509</v>
      </c>
      <c r="C18" s="3675"/>
      <c r="D18" s="2531"/>
      <c r="E18" s="2531"/>
      <c r="F18" s="2532"/>
      <c r="G18" s="2533"/>
      <c r="H18" s="2543"/>
      <c r="I18" s="2544">
        <f>ROUND(D18*E18*F18*G18/10000,0)</f>
        <v>0</v>
      </c>
    </row>
    <row r="19" spans="1:9" ht="14.25">
      <c r="A19" s="3674"/>
      <c r="B19" s="3675" t="s">
        <v>2510</v>
      </c>
      <c r="C19" s="3675"/>
      <c r="D19" s="2531"/>
      <c r="E19" s="2531"/>
      <c r="F19" s="2532"/>
      <c r="G19" s="2533"/>
      <c r="H19" s="2543"/>
      <c r="I19" s="2544">
        <f>ROUND(D19*E19*F19*G19/10000,0)</f>
        <v>0</v>
      </c>
    </row>
    <row r="20" spans="1:9">
      <c r="A20" s="3674"/>
      <c r="B20" s="3676" t="s">
        <v>2491</v>
      </c>
      <c r="C20" s="3676"/>
      <c r="D20" s="2535">
        <f>SUM(D17:D19)</f>
        <v>0</v>
      </c>
      <c r="E20" s="2535"/>
      <c r="F20" s="2536"/>
      <c r="G20" s="2533"/>
      <c r="H20" s="2540"/>
      <c r="I20" s="2541">
        <f>SUM(I17:I19)</f>
        <v>0</v>
      </c>
    </row>
    <row r="21" spans="1:9">
      <c r="A21" s="3674" t="s">
        <v>2511</v>
      </c>
      <c r="B21" s="3677"/>
      <c r="C21" s="3677"/>
      <c r="D21" s="3677"/>
      <c r="E21" s="3677"/>
      <c r="F21" s="3677"/>
      <c r="G21" s="3677"/>
      <c r="H21" s="2545">
        <v>0.1</v>
      </c>
      <c r="I21" s="2538">
        <f>ROUND(I10*H21,0)</f>
        <v>0</v>
      </c>
    </row>
    <row r="22" spans="1:9" ht="14.25">
      <c r="A22" s="3678" t="s">
        <v>2512</v>
      </c>
      <c r="B22" s="3679"/>
      <c r="C22" s="3680"/>
      <c r="D22" s="2546" t="s">
        <v>2513</v>
      </c>
      <c r="E22" s="2546" t="s">
        <v>2514</v>
      </c>
      <c r="F22" s="2547" t="s">
        <v>2515</v>
      </c>
      <c r="G22" s="2547" t="s">
        <v>2516</v>
      </c>
      <c r="H22" s="2539" t="s">
        <v>2517</v>
      </c>
      <c r="I22" s="2530" t="s">
        <v>2518</v>
      </c>
    </row>
    <row r="23" spans="1:9" ht="14.25" thickBot="1">
      <c r="A23" s="3681"/>
      <c r="B23" s="3682"/>
      <c r="C23" s="3683"/>
      <c r="D23" s="2548"/>
      <c r="E23" s="2548"/>
      <c r="F23" s="2548"/>
      <c r="G23" s="2549"/>
      <c r="H23" s="2550"/>
      <c r="I23" s="2551">
        <f>ROUND(E23*D23*F23*(1-G23)/10000,0)</f>
        <v>0</v>
      </c>
    </row>
    <row r="26" spans="1:9">
      <c r="A26" s="2552" t="s">
        <v>2519</v>
      </c>
      <c r="B26" s="2552"/>
      <c r="C26" s="2552"/>
      <c r="D26" s="2552"/>
      <c r="E26" s="3671">
        <f>C27-C30-C31-C32</f>
        <v>0</v>
      </c>
      <c r="F26" s="3671"/>
      <c r="G26" s="3671"/>
      <c r="H26" s="3066" t="s">
        <v>2845</v>
      </c>
    </row>
    <row r="27" spans="1:9">
      <c r="A27" s="2553">
        <v>1</v>
      </c>
      <c r="B27" s="2554" t="s">
        <v>2520</v>
      </c>
      <c r="C27" s="2554"/>
      <c r="D27" s="2554"/>
      <c r="E27" s="3672"/>
      <c r="F27" s="3672"/>
      <c r="G27" s="3672"/>
    </row>
    <row r="28" spans="1:9">
      <c r="A28" s="2555" t="s">
        <v>2521</v>
      </c>
      <c r="B28" s="2554" t="s">
        <v>2522</v>
      </c>
      <c r="C28" s="2554"/>
      <c r="D28" s="2554"/>
      <c r="E28" s="3672"/>
      <c r="F28" s="3672"/>
      <c r="G28" s="3672"/>
    </row>
    <row r="29" spans="1:9">
      <c r="A29" s="2555" t="s">
        <v>2523</v>
      </c>
      <c r="B29" s="2554" t="s">
        <v>2464</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673"/>
      <c r="F32" s="3673"/>
      <c r="G32" s="3673"/>
    </row>
    <row r="33" spans="1:7" hidden="1">
      <c r="A33" s="3668" t="s">
        <v>2530</v>
      </c>
      <c r="B33" s="3669"/>
      <c r="C33" s="3669"/>
      <c r="D33" s="3670"/>
      <c r="E33" s="3671"/>
      <c r="F33" s="3671"/>
      <c r="G33" s="3671"/>
    </row>
    <row r="34" spans="1:7" hidden="1">
      <c r="A34" s="2557">
        <v>1</v>
      </c>
      <c r="B34" s="2554" t="s">
        <v>2531</v>
      </c>
      <c r="C34" s="2554"/>
      <c r="D34" s="2554"/>
      <c r="E34" s="3672"/>
      <c r="F34" s="3672"/>
      <c r="G34" s="3672"/>
    </row>
    <row r="35" spans="1:7" hidden="1">
      <c r="A35" s="2557">
        <v>2</v>
      </c>
      <c r="B35" s="2554" t="s">
        <v>2532</v>
      </c>
      <c r="C35" s="2554"/>
      <c r="D35" s="2554"/>
      <c r="E35" s="3672"/>
      <c r="F35" s="3672"/>
      <c r="G35" s="3672"/>
    </row>
    <row r="36" spans="1:7" hidden="1">
      <c r="A36" s="2557">
        <v>3</v>
      </c>
      <c r="B36" s="2554" t="s">
        <v>2533</v>
      </c>
      <c r="C36" s="2554"/>
      <c r="D36" s="2554"/>
      <c r="E36" s="3672"/>
      <c r="F36" s="3672"/>
      <c r="G36" s="3672"/>
    </row>
    <row r="37" spans="1:7" hidden="1">
      <c r="A37" s="2557">
        <v>4</v>
      </c>
      <c r="B37" s="2554" t="s">
        <v>2534</v>
      </c>
      <c r="C37" s="2554"/>
      <c r="D37" s="2554"/>
      <c r="E37" s="3672"/>
      <c r="F37" s="3672"/>
      <c r="G37" s="3672"/>
    </row>
    <row r="38" spans="1:7" hidden="1">
      <c r="A38" s="3668" t="s">
        <v>2535</v>
      </c>
      <c r="B38" s="3669"/>
      <c r="C38" s="3669"/>
      <c r="D38" s="3670"/>
      <c r="E38" s="3671"/>
      <c r="F38" s="3671"/>
      <c r="G38" s="36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0</v>
      </c>
      <c r="C2" s="2108"/>
      <c r="D2" s="2108"/>
      <c r="E2" s="2108"/>
      <c r="F2" s="2108"/>
      <c r="G2" s="2108"/>
    </row>
    <row r="3" spans="1:25" s="2059" customFormat="1" ht="18" customHeight="1">
      <c r="A3" s="1378" t="s">
        <v>1686</v>
      </c>
      <c r="B3" s="423">
        <f ca="1">ROUND(B2*10000/'数据-汇总表'!E3,0)</f>
        <v>0</v>
      </c>
      <c r="C3" s="2108"/>
      <c r="D3" s="2108"/>
      <c r="E3" s="2108"/>
      <c r="F3" s="2108"/>
      <c r="G3" s="2108"/>
    </row>
    <row r="4" spans="1:25" s="2059" customFormat="1" ht="18" customHeight="1">
      <c r="A4" s="424" t="s">
        <v>468</v>
      </c>
      <c r="B4" s="425">
        <f ca="1">ROUND(B2*10000/'数据-汇总表'!D3,0)</f>
        <v>0</v>
      </c>
      <c r="C4" s="2061"/>
      <c r="D4" s="2108"/>
      <c r="E4" s="2108"/>
      <c r="F4" s="2108"/>
      <c r="G4" s="2108"/>
    </row>
    <row r="5" spans="1:25" s="2059" customFormat="1" ht="18" customHeight="1" thickBot="1">
      <c r="A5" s="427"/>
      <c r="B5" s="428">
        <f ca="1">ROUND(B2/('数据-汇总表'!D3/666.67),0)</f>
        <v>0</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1">
        <v>1</v>
      </c>
      <c r="B7" s="746" t="s">
        <v>609</v>
      </c>
      <c r="C7" s="747">
        <f>C8+C9</f>
        <v>0</v>
      </c>
      <c r="D7" s="747"/>
      <c r="E7" s="748"/>
      <c r="F7" s="748"/>
      <c r="G7" s="2501"/>
    </row>
    <row r="8" spans="1:25" s="2183" customFormat="1" ht="13.5" customHeight="1">
      <c r="A8" s="2491" t="s">
        <v>2444</v>
      </c>
      <c r="B8" s="2494" t="s">
        <v>2446</v>
      </c>
      <c r="C8" s="2495"/>
      <c r="D8" s="747"/>
      <c r="E8" s="748"/>
      <c r="F8" s="748"/>
      <c r="G8" s="749"/>
    </row>
    <row r="9" spans="1:25" s="2183" customFormat="1" ht="13.5" customHeight="1">
      <c r="A9" s="2491" t="s">
        <v>2445</v>
      </c>
      <c r="B9" s="2494" t="s">
        <v>2447</v>
      </c>
      <c r="C9" s="2495"/>
      <c r="D9" s="747"/>
      <c r="E9" s="748"/>
      <c r="F9" s="748"/>
      <c r="G9" s="749"/>
    </row>
    <row r="10" spans="1:25" s="2183" customFormat="1" ht="36">
      <c r="A10" s="2491">
        <v>2</v>
      </c>
      <c r="B10" s="746" t="s">
        <v>613</v>
      </c>
      <c r="C10" s="747">
        <f>C11+C14+C15</f>
        <v>0</v>
      </c>
      <c r="D10" s="758">
        <f>'数据-汇总表'!E3</f>
        <v>10000</v>
      </c>
      <c r="E10" s="747">
        <f>'数据-取费表'!B31</f>
        <v>200</v>
      </c>
      <c r="F10" s="759"/>
      <c r="G10" s="757" t="s">
        <v>614</v>
      </c>
    </row>
    <row r="11" spans="1:25" s="2183" customFormat="1" ht="13.5" customHeight="1">
      <c r="A11" s="2491" t="s">
        <v>2444</v>
      </c>
      <c r="B11" s="750" t="s">
        <v>610</v>
      </c>
      <c r="C11" s="751">
        <f>'数据-取费表'!B29</f>
        <v>0</v>
      </c>
      <c r="D11" s="752"/>
      <c r="E11" s="751"/>
      <c r="F11" s="753"/>
      <c r="G11" s="2500" t="s">
        <v>2455</v>
      </c>
    </row>
    <row r="12" spans="1:25" s="2183" customFormat="1" ht="13.5" customHeight="1">
      <c r="A12" s="2498" t="s">
        <v>2452</v>
      </c>
      <c r="B12" s="754" t="s">
        <v>611</v>
      </c>
      <c r="C12" s="755">
        <f>ROUND(D12*E12/10000,0)</f>
        <v>0</v>
      </c>
      <c r="D12" s="756">
        <f>'数据-汇总表'!E5</f>
        <v>0</v>
      </c>
      <c r="E12" s="755">
        <f>'数据-取费表'!B27</f>
        <v>0</v>
      </c>
      <c r="F12" s="753"/>
      <c r="G12" s="757"/>
    </row>
    <row r="13" spans="1:25" s="2183" customFormat="1" ht="13.5" customHeight="1">
      <c r="A13" s="2498" t="s">
        <v>2451</v>
      </c>
      <c r="B13" s="754" t="s">
        <v>612</v>
      </c>
      <c r="C13" s="755">
        <f>ROUND(D13*E13/10000,0)</f>
        <v>200</v>
      </c>
      <c r="D13" s="756">
        <f>'数据-汇总表'!E6</f>
        <v>10000</v>
      </c>
      <c r="E13" s="755">
        <f>'数据-取费表'!B28</f>
        <v>200</v>
      </c>
      <c r="F13" s="753"/>
      <c r="G13" s="757"/>
    </row>
    <row r="14" spans="1:25" s="2183" customFormat="1" ht="13.5" customHeight="1">
      <c r="A14" s="2491" t="s">
        <v>2445</v>
      </c>
      <c r="B14" s="2497" t="s">
        <v>2448</v>
      </c>
      <c r="C14" s="2495"/>
      <c r="D14" s="756"/>
      <c r="E14" s="755"/>
      <c r="F14" s="2496"/>
      <c r="G14" s="2499" t="s">
        <v>2453</v>
      </c>
    </row>
    <row r="15" spans="1:25" s="2183" customFormat="1" ht="13.5" customHeight="1">
      <c r="A15" s="2491" t="s">
        <v>2450</v>
      </c>
      <c r="B15" s="2497" t="s">
        <v>2449</v>
      </c>
      <c r="C15" s="2495"/>
      <c r="D15" s="756"/>
      <c r="E15" s="755"/>
      <c r="F15" s="2496"/>
      <c r="G15" s="2499" t="s">
        <v>2454</v>
      </c>
    </row>
    <row r="16" spans="1:25" s="2184" customFormat="1" ht="48">
      <c r="A16" s="2491">
        <v>3</v>
      </c>
      <c r="B16" s="746" t="s">
        <v>615</v>
      </c>
      <c r="C16" s="2495"/>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2">
        <v>5</v>
      </c>
      <c r="B18" s="746" t="s">
        <v>617</v>
      </c>
      <c r="C18" s="747">
        <f>ROUND((C7+C10+C16)*F18,0)</f>
        <v>0</v>
      </c>
      <c r="D18" s="760"/>
      <c r="E18" s="761"/>
      <c r="F18" s="759">
        <f>'数据-取费表'!Q16</f>
        <v>0.25</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1">
        <v>6</v>
      </c>
      <c r="B19" s="746" t="s">
        <v>619</v>
      </c>
      <c r="C19" s="747">
        <f ca="1">C7+C10+C16+C17+C18</f>
        <v>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1">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1">
        <v>8</v>
      </c>
      <c r="B21" s="746" t="s">
        <v>623</v>
      </c>
      <c r="C21" s="747">
        <f ca="1">C19+C20</f>
        <v>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1">
        <v>9</v>
      </c>
      <c r="B22" s="746" t="s">
        <v>625</v>
      </c>
      <c r="C22" s="747">
        <f ca="1">ROUND(C21*F22,0)</f>
        <v>0</v>
      </c>
      <c r="D22" s="758"/>
      <c r="E22" s="747"/>
      <c r="F22" s="764">
        <f>'数据-取费表'!AP16</f>
        <v>0.85899999999999999</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3">
        <v>10</v>
      </c>
      <c r="B23" s="765" t="s">
        <v>627</v>
      </c>
      <c r="C23" s="766">
        <f ca="1">C22</f>
        <v>0</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c r="E1" s="2648"/>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4"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596" t="s">
        <v>522</v>
      </c>
      <c r="D4" s="3597"/>
      <c r="E4" s="3620" t="s">
        <v>523</v>
      </c>
      <c r="F4" s="3621"/>
      <c r="G4" s="3596" t="s">
        <v>524</v>
      </c>
      <c r="H4" s="3597"/>
      <c r="I4" s="3596" t="s">
        <v>525</v>
      </c>
      <c r="J4" s="3597"/>
      <c r="K4" s="851" t="s">
        <v>526</v>
      </c>
      <c r="L4" s="2133"/>
      <c r="M4" s="2134"/>
      <c r="N4" s="2134"/>
      <c r="O4" s="2134"/>
      <c r="P4" s="3598" t="s">
        <v>527</v>
      </c>
      <c r="Q4" s="3599"/>
      <c r="R4" s="3584" t="s">
        <v>523</v>
      </c>
      <c r="S4" s="3585"/>
      <c r="T4" s="3584" t="s">
        <v>524</v>
      </c>
      <c r="U4" s="3585"/>
      <c r="V4" s="3604" t="s">
        <v>525</v>
      </c>
      <c r="W4" s="3604"/>
      <c r="X4" s="1566"/>
      <c r="Y4" s="3584" t="s">
        <v>527</v>
      </c>
      <c r="Z4" s="3585"/>
      <c r="AA4" s="3579" t="s">
        <v>523</v>
      </c>
      <c r="AB4" s="3579" t="s">
        <v>524</v>
      </c>
      <c r="AC4" s="3579" t="s">
        <v>525</v>
      </c>
    </row>
    <row r="5" spans="1:29" ht="15">
      <c r="A5" s="513"/>
      <c r="B5" s="514"/>
      <c r="C5" s="3607" t="s">
        <v>2930</v>
      </c>
      <c r="D5" s="3608"/>
      <c r="E5" s="3622" t="s">
        <v>2931</v>
      </c>
      <c r="F5" s="3623"/>
      <c r="G5" s="3607" t="s">
        <v>2932</v>
      </c>
      <c r="H5" s="3608"/>
      <c r="I5" s="3607" t="s">
        <v>2933</v>
      </c>
      <c r="J5" s="3608"/>
      <c r="K5" s="852"/>
      <c r="L5" s="2133"/>
      <c r="M5" s="2134"/>
      <c r="N5" s="2134"/>
      <c r="O5" s="2134"/>
      <c r="P5" s="3600"/>
      <c r="Q5" s="3601"/>
      <c r="R5" s="3586"/>
      <c r="S5" s="3587"/>
      <c r="T5" s="3586"/>
      <c r="U5" s="3587"/>
      <c r="V5" s="3604"/>
      <c r="W5" s="3604"/>
      <c r="X5" s="1566"/>
      <c r="Y5" s="3586"/>
      <c r="Z5" s="3587"/>
      <c r="AA5" s="3580"/>
      <c r="AB5" s="3580"/>
      <c r="AC5" s="3580"/>
    </row>
    <row r="6" spans="1:29" ht="15.75" thickBot="1">
      <c r="A6" s="515"/>
      <c r="B6" s="516"/>
      <c r="C6" s="3605" t="s">
        <v>2934</v>
      </c>
      <c r="D6" s="3606"/>
      <c r="E6" s="3624" t="s">
        <v>2934</v>
      </c>
      <c r="F6" s="3625"/>
      <c r="G6" s="3605" t="s">
        <v>2934</v>
      </c>
      <c r="H6" s="3606"/>
      <c r="I6" s="3605" t="s">
        <v>2934</v>
      </c>
      <c r="J6" s="3606"/>
      <c r="K6" s="852" t="s">
        <v>528</v>
      </c>
      <c r="L6" s="2133"/>
      <c r="M6" s="2134"/>
      <c r="N6" s="2134"/>
      <c r="O6" s="2134"/>
      <c r="P6" s="3602"/>
      <c r="Q6" s="3603"/>
      <c r="R6" s="3586"/>
      <c r="S6" s="3587"/>
      <c r="T6" s="3588"/>
      <c r="U6" s="3589"/>
      <c r="V6" s="3604"/>
      <c r="W6" s="3604"/>
      <c r="X6" s="1566"/>
      <c r="Y6" s="3588"/>
      <c r="Z6" s="3589"/>
      <c r="AA6" s="3581"/>
      <c r="AB6" s="3581"/>
      <c r="AC6" s="3581"/>
    </row>
    <row r="7" spans="1:29" s="1218" customFormat="1" ht="15.75" thickBot="1">
      <c r="A7" s="2934"/>
      <c r="B7" s="2941"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5"/>
      <c r="M7" s="2136"/>
      <c r="N7" s="2136"/>
      <c r="O7" s="2136"/>
      <c r="P7" s="3582" t="s">
        <v>530</v>
      </c>
      <c r="Q7" s="3591"/>
      <c r="R7" s="1567" t="s">
        <v>13</v>
      </c>
      <c r="S7" s="1568">
        <f t="shared" ref="S7:S15" si="0">F7</f>
        <v>0</v>
      </c>
      <c r="T7" s="1567" t="s">
        <v>13</v>
      </c>
      <c r="U7" s="1568">
        <f t="shared" ref="U7:U15" si="1">H7</f>
        <v>0</v>
      </c>
      <c r="V7" s="1567" t="s">
        <v>13</v>
      </c>
      <c r="W7" s="1568">
        <f t="shared" ref="W7:W15" si="2">J7</f>
        <v>0</v>
      </c>
      <c r="X7" s="1569"/>
      <c r="Y7" s="3582" t="s">
        <v>530</v>
      </c>
      <c r="Z7" s="3583"/>
      <c r="AA7" s="1570" t="e">
        <f>D7/F7</f>
        <v>#DIV/0!</v>
      </c>
      <c r="AB7" s="1570" t="e">
        <f>D7/H7</f>
        <v>#DIV/0!</v>
      </c>
      <c r="AC7" s="1570" t="e">
        <f>D7/J7</f>
        <v>#DIV/0!</v>
      </c>
    </row>
    <row r="8" spans="1:29" s="1218" customFormat="1" ht="15.75" thickBot="1">
      <c r="A8" s="2935"/>
      <c r="B8" s="2942"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582" t="s">
        <v>533</v>
      </c>
      <c r="Q8" s="3583"/>
      <c r="R8" s="1567" t="s">
        <v>13</v>
      </c>
      <c r="S8" s="1568">
        <f t="shared" si="0"/>
        <v>0</v>
      </c>
      <c r="T8" s="1567" t="s">
        <v>13</v>
      </c>
      <c r="U8" s="1568">
        <f t="shared" si="1"/>
        <v>0</v>
      </c>
      <c r="V8" s="1567" t="s">
        <v>13</v>
      </c>
      <c r="W8" s="1568">
        <f t="shared" si="2"/>
        <v>0</v>
      </c>
      <c r="X8" s="1569"/>
      <c r="Y8" s="3582" t="s">
        <v>533</v>
      </c>
      <c r="Z8" s="3583"/>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590" t="s">
        <v>535</v>
      </c>
      <c r="Q9" s="1149" t="str">
        <f t="shared" ref="Q9:Q15" si="6">B9</f>
        <v>用途</v>
      </c>
      <c r="R9" s="1567" t="s">
        <v>8</v>
      </c>
      <c r="S9" s="1568">
        <f t="shared" si="0"/>
        <v>100</v>
      </c>
      <c r="T9" s="1567" t="s">
        <v>8</v>
      </c>
      <c r="U9" s="1568">
        <f t="shared" si="1"/>
        <v>100</v>
      </c>
      <c r="V9" s="1567" t="s">
        <v>8</v>
      </c>
      <c r="W9" s="1568">
        <f t="shared" si="2"/>
        <v>100</v>
      </c>
      <c r="X9" s="1569"/>
      <c r="Y9" s="3432"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590"/>
      <c r="Q10" s="1149" t="str">
        <f t="shared" si="6"/>
        <v>土地使用年限（年）</v>
      </c>
      <c r="R10" s="1567" t="s">
        <v>8</v>
      </c>
      <c r="S10" s="1568">
        <f t="shared" si="0"/>
        <v>100</v>
      </c>
      <c r="T10" s="1567" t="s">
        <v>8</v>
      </c>
      <c r="U10" s="1568">
        <f t="shared" si="1"/>
        <v>100</v>
      </c>
      <c r="V10" s="1567" t="s">
        <v>8</v>
      </c>
      <c r="W10" s="1568">
        <f t="shared" si="2"/>
        <v>100</v>
      </c>
      <c r="X10" s="1569"/>
      <c r="Y10" s="3432"/>
      <c r="Z10" s="1148" t="str">
        <f t="shared" si="7"/>
        <v>土地使用年限（年）</v>
      </c>
      <c r="AA10" s="1570">
        <f t="shared" si="3"/>
        <v>1</v>
      </c>
      <c r="AB10" s="1570">
        <f t="shared" si="4"/>
        <v>1</v>
      </c>
      <c r="AC10" s="1570">
        <f t="shared" si="5"/>
        <v>1</v>
      </c>
    </row>
    <row r="11" spans="1:29" ht="15">
      <c r="A11" s="2938"/>
      <c r="B11" s="2942"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590"/>
      <c r="Q11" s="1149" t="str">
        <f t="shared" si="6"/>
        <v>容积率</v>
      </c>
      <c r="R11" s="1567" t="s">
        <v>11</v>
      </c>
      <c r="S11" s="1568" t="e">
        <f t="shared" si="0"/>
        <v>#N/A</v>
      </c>
      <c r="T11" s="1567" t="s">
        <v>11</v>
      </c>
      <c r="U11" s="1568" t="e">
        <f t="shared" si="1"/>
        <v>#N/A</v>
      </c>
      <c r="V11" s="1567" t="s">
        <v>11</v>
      </c>
      <c r="W11" s="1568" t="e">
        <f t="shared" si="2"/>
        <v>#N/A</v>
      </c>
      <c r="X11" s="1569"/>
      <c r="Y11" s="3432"/>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590"/>
      <c r="Q12" s="1149">
        <f t="shared" si="6"/>
        <v>111</v>
      </c>
      <c r="R12" s="1567" t="s">
        <v>11</v>
      </c>
      <c r="S12" s="1568">
        <f t="shared" si="0"/>
        <v>100</v>
      </c>
      <c r="T12" s="1567" t="s">
        <v>11</v>
      </c>
      <c r="U12" s="1568">
        <f t="shared" si="1"/>
        <v>100</v>
      </c>
      <c r="V12" s="1567" t="s">
        <v>11</v>
      </c>
      <c r="W12" s="1568">
        <f t="shared" si="2"/>
        <v>100</v>
      </c>
      <c r="X12" s="1569"/>
      <c r="Y12" s="3432"/>
      <c r="Z12" s="1148">
        <f t="shared" si="7"/>
        <v>111</v>
      </c>
      <c r="AA12" s="1570">
        <f>D12/F12</f>
        <v>1</v>
      </c>
      <c r="AB12" s="1570">
        <f>D12/H12</f>
        <v>1</v>
      </c>
      <c r="AC12" s="1570">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590"/>
      <c r="Q13" s="1149">
        <f t="shared" si="6"/>
        <v>111</v>
      </c>
      <c r="R13" s="1567" t="s">
        <v>11</v>
      </c>
      <c r="S13" s="1568">
        <f t="shared" si="0"/>
        <v>100</v>
      </c>
      <c r="T13" s="1567" t="s">
        <v>11</v>
      </c>
      <c r="U13" s="1568">
        <f t="shared" si="1"/>
        <v>100</v>
      </c>
      <c r="V13" s="1567" t="s">
        <v>11</v>
      </c>
      <c r="W13" s="1568">
        <f t="shared" si="2"/>
        <v>100</v>
      </c>
      <c r="X13" s="1569"/>
      <c r="Y13" s="3432"/>
      <c r="Z13" s="1148">
        <f t="shared" si="7"/>
        <v>111</v>
      </c>
      <c r="AA13" s="1570">
        <f t="shared" si="3"/>
        <v>1</v>
      </c>
      <c r="AB13" s="1570">
        <f t="shared" si="4"/>
        <v>1</v>
      </c>
      <c r="AC13" s="1570">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590"/>
      <c r="Q14" s="1149">
        <f t="shared" si="6"/>
        <v>111</v>
      </c>
      <c r="R14" s="1567" t="s">
        <v>11</v>
      </c>
      <c r="S14" s="1568">
        <f t="shared" si="0"/>
        <v>100</v>
      </c>
      <c r="T14" s="1567" t="s">
        <v>11</v>
      </c>
      <c r="U14" s="1568">
        <f t="shared" si="1"/>
        <v>100</v>
      </c>
      <c r="V14" s="1567" t="s">
        <v>11</v>
      </c>
      <c r="W14" s="1568">
        <f t="shared" si="2"/>
        <v>100</v>
      </c>
      <c r="X14" s="1569"/>
      <c r="Y14" s="3432"/>
      <c r="Z14" s="1148">
        <f t="shared" si="7"/>
        <v>111</v>
      </c>
      <c r="AA14" s="1570">
        <f t="shared" si="3"/>
        <v>1</v>
      </c>
      <c r="AB14" s="1570">
        <f t="shared" si="4"/>
        <v>1</v>
      </c>
      <c r="AC14" s="1570">
        <f t="shared" si="5"/>
        <v>1</v>
      </c>
    </row>
    <row r="15" spans="1:29" ht="99.75">
      <c r="A15" s="2932"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592" t="s">
        <v>540</v>
      </c>
      <c r="Q15" s="1571" t="str">
        <f t="shared" si="6"/>
        <v>居住社区成熟度</v>
      </c>
      <c r="R15" s="1572" t="s">
        <v>11</v>
      </c>
      <c r="S15" s="1573">
        <f t="shared" si="0"/>
        <v>100</v>
      </c>
      <c r="T15" s="1572" t="s">
        <v>11</v>
      </c>
      <c r="U15" s="1573">
        <f t="shared" si="1"/>
        <v>100</v>
      </c>
      <c r="V15" s="1572" t="s">
        <v>11</v>
      </c>
      <c r="W15" s="1573">
        <f t="shared" si="2"/>
        <v>100</v>
      </c>
      <c r="X15" s="1566"/>
      <c r="Y15" s="3592"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593"/>
      <c r="Q16" s="1571"/>
      <c r="R16" s="1572"/>
      <c r="S16" s="1573"/>
      <c r="T16" s="1572"/>
      <c r="U16" s="1573"/>
      <c r="V16" s="1572"/>
      <c r="W16" s="1573"/>
      <c r="X16" s="1566"/>
      <c r="Y16" s="3593"/>
      <c r="Z16" s="1574"/>
      <c r="AA16" s="1575">
        <v>1</v>
      </c>
      <c r="AB16" s="1575">
        <v>1</v>
      </c>
      <c r="AC16" s="1575">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593"/>
      <c r="Q17" s="1571" t="str">
        <f>B17</f>
        <v>交通便捷度</v>
      </c>
      <c r="R17" s="1572" t="s">
        <v>11</v>
      </c>
      <c r="S17" s="1573">
        <f>F17</f>
        <v>100</v>
      </c>
      <c r="T17" s="1572" t="s">
        <v>11</v>
      </c>
      <c r="U17" s="1573">
        <f>H17</f>
        <v>100</v>
      </c>
      <c r="V17" s="1572" t="s">
        <v>11</v>
      </c>
      <c r="W17" s="1573">
        <f>J17</f>
        <v>100</v>
      </c>
      <c r="X17" s="1566"/>
      <c r="Y17" s="3593"/>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593"/>
      <c r="Q18" s="1571"/>
      <c r="R18" s="1572"/>
      <c r="S18" s="1573"/>
      <c r="T18" s="1572"/>
      <c r="U18" s="1573"/>
      <c r="V18" s="1572"/>
      <c r="W18" s="1573"/>
      <c r="X18" s="1566"/>
      <c r="Y18" s="3593"/>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593"/>
      <c r="Q19" s="1571" t="str">
        <f>B19</f>
        <v>公共配套设施</v>
      </c>
      <c r="R19" s="1572" t="s">
        <v>11</v>
      </c>
      <c r="S19" s="1573">
        <f>F19</f>
        <v>100</v>
      </c>
      <c r="T19" s="1572" t="s">
        <v>11</v>
      </c>
      <c r="U19" s="1573">
        <f>H19</f>
        <v>100</v>
      </c>
      <c r="V19" s="1572" t="s">
        <v>11</v>
      </c>
      <c r="W19" s="1573">
        <f>J19</f>
        <v>100</v>
      </c>
      <c r="X19" s="1566"/>
      <c r="Y19" s="3593"/>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593"/>
      <c r="Q20" s="1571"/>
      <c r="R20" s="1572"/>
      <c r="S20" s="1573"/>
      <c r="T20" s="1572"/>
      <c r="U20" s="1573"/>
      <c r="V20" s="1572"/>
      <c r="W20" s="1573"/>
      <c r="X20" s="1566"/>
      <c r="Y20" s="3593"/>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593"/>
      <c r="Q21" s="2601" t="str">
        <f>B21</f>
        <v>基础设施水平</v>
      </c>
      <c r="R21" s="1572" t="s">
        <v>11</v>
      </c>
      <c r="S21" s="1573">
        <f>F21</f>
        <v>100</v>
      </c>
      <c r="T21" s="1572" t="s">
        <v>11</v>
      </c>
      <c r="U21" s="1573">
        <f>H21</f>
        <v>100</v>
      </c>
      <c r="V21" s="1572" t="s">
        <v>11</v>
      </c>
      <c r="W21" s="1573">
        <f>J21</f>
        <v>100</v>
      </c>
      <c r="X21" s="2603"/>
      <c r="Y21" s="3593"/>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2"/>
      <c r="M22" s="2134"/>
      <c r="N22" s="2134"/>
      <c r="O22" s="2141"/>
      <c r="P22" s="3593"/>
      <c r="Q22" s="2601"/>
      <c r="R22" s="1572"/>
      <c r="S22" s="1573"/>
      <c r="T22" s="1572"/>
      <c r="U22" s="1573"/>
      <c r="V22" s="1572"/>
      <c r="W22" s="1573"/>
      <c r="X22" s="2603"/>
      <c r="Y22" s="3593"/>
      <c r="Z22" s="2602"/>
      <c r="AA22" s="1575">
        <v>1</v>
      </c>
      <c r="AB22" s="1575">
        <v>1</v>
      </c>
      <c r="AC22" s="1575">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593"/>
      <c r="Q23" s="1571" t="str">
        <f>B23</f>
        <v>自然及人文环境</v>
      </c>
      <c r="R23" s="1572" t="s">
        <v>11</v>
      </c>
      <c r="S23" s="1573">
        <f>F23</f>
        <v>100</v>
      </c>
      <c r="T23" s="1572" t="s">
        <v>11</v>
      </c>
      <c r="U23" s="1573">
        <f>H23</f>
        <v>100</v>
      </c>
      <c r="V23" s="1572" t="s">
        <v>11</v>
      </c>
      <c r="W23" s="1573">
        <f>J23</f>
        <v>100</v>
      </c>
      <c r="X23" s="1566"/>
      <c r="Y23" s="3593"/>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593"/>
      <c r="Q24" s="1571"/>
      <c r="R24" s="1572"/>
      <c r="S24" s="1573"/>
      <c r="T24" s="1572"/>
      <c r="U24" s="1573"/>
      <c r="V24" s="1572"/>
      <c r="W24" s="1573"/>
      <c r="X24" s="1566"/>
      <c r="Y24" s="3593"/>
      <c r="Z24" s="1574"/>
      <c r="AA24" s="1575">
        <v>1</v>
      </c>
      <c r="AB24" s="1575">
        <v>1</v>
      </c>
      <c r="AC24" s="1575">
        <v>1</v>
      </c>
    </row>
    <row r="25" spans="1:29" ht="15">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593"/>
      <c r="Q25" s="1571" t="str">
        <f t="shared" ref="Q25:Q46" si="11">B25</f>
        <v>楼层-1</v>
      </c>
      <c r="R25" s="1572" t="s">
        <v>11</v>
      </c>
      <c r="S25" s="1573">
        <f>F25</f>
        <v>100</v>
      </c>
      <c r="T25" s="1572" t="s">
        <v>11</v>
      </c>
      <c r="U25" s="1573">
        <f>H25</f>
        <v>100</v>
      </c>
      <c r="V25" s="1572" t="s">
        <v>11</v>
      </c>
      <c r="W25" s="1573">
        <f>J25</f>
        <v>100</v>
      </c>
      <c r="X25" s="1566"/>
      <c r="Y25" s="3593"/>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593"/>
      <c r="Q26" s="1571" t="str">
        <f t="shared" si="11"/>
        <v>朝向</v>
      </c>
      <c r="R26" s="1572" t="s">
        <v>11</v>
      </c>
      <c r="S26" s="1573">
        <f>F26</f>
        <v>100</v>
      </c>
      <c r="T26" s="1572" t="s">
        <v>11</v>
      </c>
      <c r="U26" s="1573">
        <f>H26</f>
        <v>100</v>
      </c>
      <c r="V26" s="1572" t="s">
        <v>11</v>
      </c>
      <c r="W26" s="1573">
        <f>J26</f>
        <v>100</v>
      </c>
      <c r="X26" s="1566"/>
      <c r="Y26" s="3593"/>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593"/>
      <c r="Q27" s="1149" t="str">
        <f t="shared" si="11"/>
        <v>道路级别</v>
      </c>
      <c r="R27" s="1567" t="s">
        <v>11</v>
      </c>
      <c r="S27" s="1568">
        <f>F27</f>
        <v>100</v>
      </c>
      <c r="T27" s="1567" t="s">
        <v>11</v>
      </c>
      <c r="U27" s="1568">
        <f>H27</f>
        <v>100</v>
      </c>
      <c r="V27" s="1567" t="s">
        <v>11</v>
      </c>
      <c r="W27" s="1568">
        <f>J27</f>
        <v>100</v>
      </c>
      <c r="X27" s="1569"/>
      <c r="Y27" s="3593"/>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593"/>
      <c r="Q28" s="1571">
        <f t="shared" si="11"/>
        <v>111</v>
      </c>
      <c r="R28" s="1572" t="s">
        <v>11</v>
      </c>
      <c r="S28" s="1573">
        <f t="shared" ref="S28:S46" si="12">F28</f>
        <v>100</v>
      </c>
      <c r="T28" s="1572" t="s">
        <v>11</v>
      </c>
      <c r="U28" s="1573">
        <f t="shared" ref="U28:U46" si="13">H28</f>
        <v>100</v>
      </c>
      <c r="V28" s="1572" t="s">
        <v>11</v>
      </c>
      <c r="W28" s="1573">
        <f t="shared" ref="W28:W46" si="14">J28</f>
        <v>100</v>
      </c>
      <c r="X28" s="1566"/>
      <c r="Y28" s="3593"/>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593"/>
      <c r="Q29" s="1571">
        <f t="shared" si="11"/>
        <v>111</v>
      </c>
      <c r="R29" s="1572" t="s">
        <v>11</v>
      </c>
      <c r="S29" s="1573">
        <f t="shared" si="12"/>
        <v>100</v>
      </c>
      <c r="T29" s="1572" t="s">
        <v>11</v>
      </c>
      <c r="U29" s="1573">
        <f t="shared" si="13"/>
        <v>100</v>
      </c>
      <c r="V29" s="1572" t="s">
        <v>11</v>
      </c>
      <c r="W29" s="1573">
        <f t="shared" si="14"/>
        <v>100</v>
      </c>
      <c r="X29" s="1566"/>
      <c r="Y29" s="3593"/>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593"/>
      <c r="Q30" s="1571">
        <f t="shared" si="11"/>
        <v>111</v>
      </c>
      <c r="R30" s="1572" t="s">
        <v>11</v>
      </c>
      <c r="S30" s="1573">
        <f t="shared" si="12"/>
        <v>100</v>
      </c>
      <c r="T30" s="1572" t="s">
        <v>11</v>
      </c>
      <c r="U30" s="1573">
        <f t="shared" si="13"/>
        <v>100</v>
      </c>
      <c r="V30" s="1572" t="s">
        <v>11</v>
      </c>
      <c r="W30" s="1573">
        <f t="shared" si="14"/>
        <v>100</v>
      </c>
      <c r="X30" s="1566"/>
      <c r="Y30" s="3593"/>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593"/>
      <c r="Q31" s="1571">
        <f t="shared" si="11"/>
        <v>111</v>
      </c>
      <c r="R31" s="1572" t="s">
        <v>11</v>
      </c>
      <c r="S31" s="1573">
        <f t="shared" si="12"/>
        <v>100</v>
      </c>
      <c r="T31" s="1572" t="s">
        <v>11</v>
      </c>
      <c r="U31" s="1573">
        <f t="shared" si="13"/>
        <v>100</v>
      </c>
      <c r="V31" s="1572" t="s">
        <v>11</v>
      </c>
      <c r="W31" s="1573">
        <f t="shared" si="14"/>
        <v>100</v>
      </c>
      <c r="X31" s="1566"/>
      <c r="Y31" s="3593"/>
      <c r="Z31" s="1574">
        <f t="shared" si="15"/>
        <v>111</v>
      </c>
      <c r="AA31" s="1575">
        <f t="shared" si="3"/>
        <v>1</v>
      </c>
      <c r="AB31" s="1575">
        <f t="shared" si="4"/>
        <v>1</v>
      </c>
      <c r="AC31" s="1575">
        <f t="shared" si="5"/>
        <v>1</v>
      </c>
    </row>
    <row r="32" spans="1:29" ht="15">
      <c r="A32" s="2929"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594" t="s">
        <v>550</v>
      </c>
      <c r="Q32" s="1571" t="str">
        <f t="shared" si="11"/>
        <v>建筑类型</v>
      </c>
      <c r="R32" s="1572" t="s">
        <v>11</v>
      </c>
      <c r="S32" s="1573">
        <f t="shared" si="12"/>
        <v>100</v>
      </c>
      <c r="T32" s="1572" t="s">
        <v>11</v>
      </c>
      <c r="U32" s="1573">
        <f t="shared" si="13"/>
        <v>100</v>
      </c>
      <c r="V32" s="1572" t="s">
        <v>11</v>
      </c>
      <c r="W32" s="1573">
        <f t="shared" si="14"/>
        <v>100</v>
      </c>
      <c r="X32" s="1566"/>
      <c r="Y32" s="3595"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595"/>
      <c r="Q33" s="1604" t="str">
        <f t="shared" si="11"/>
        <v>项目建筑规模</v>
      </c>
      <c r="R33" s="1576" t="s">
        <v>11</v>
      </c>
      <c r="S33" s="1577" t="e">
        <f t="shared" si="12"/>
        <v>#N/A</v>
      </c>
      <c r="T33" s="1576" t="s">
        <v>11</v>
      </c>
      <c r="U33" s="1577" t="e">
        <f t="shared" si="13"/>
        <v>#N/A</v>
      </c>
      <c r="V33" s="1576" t="s">
        <v>11</v>
      </c>
      <c r="W33" s="1577" t="e">
        <f t="shared" si="14"/>
        <v>#N/A</v>
      </c>
      <c r="X33" s="1578"/>
      <c r="Y33" s="3595"/>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595"/>
      <c r="Q34" s="1571" t="str">
        <f t="shared" si="11"/>
        <v>建筑结构</v>
      </c>
      <c r="R34" s="1572" t="s">
        <v>11</v>
      </c>
      <c r="S34" s="1573">
        <f t="shared" si="12"/>
        <v>100</v>
      </c>
      <c r="T34" s="1572" t="s">
        <v>11</v>
      </c>
      <c r="U34" s="1573">
        <f t="shared" si="13"/>
        <v>100</v>
      </c>
      <c r="V34" s="1572" t="s">
        <v>11</v>
      </c>
      <c r="W34" s="1573">
        <f t="shared" si="14"/>
        <v>100</v>
      </c>
      <c r="X34" s="1566"/>
      <c r="Y34" s="3595"/>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595"/>
      <c r="Q35" s="1571" t="str">
        <f t="shared" si="11"/>
        <v>建筑品质</v>
      </c>
      <c r="R35" s="1572" t="s">
        <v>11</v>
      </c>
      <c r="S35" s="1573">
        <f t="shared" si="12"/>
        <v>100</v>
      </c>
      <c r="T35" s="1572" t="s">
        <v>11</v>
      </c>
      <c r="U35" s="1573">
        <f t="shared" si="13"/>
        <v>100</v>
      </c>
      <c r="V35" s="1572" t="s">
        <v>11</v>
      </c>
      <c r="W35" s="1573">
        <f t="shared" si="14"/>
        <v>100</v>
      </c>
      <c r="X35" s="1566"/>
      <c r="Y35" s="3595"/>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595"/>
      <c r="Q36" s="1571" t="str">
        <f t="shared" si="11"/>
        <v>公共部分装修</v>
      </c>
      <c r="R36" s="1572" t="s">
        <v>11</v>
      </c>
      <c r="S36" s="1573">
        <f t="shared" si="12"/>
        <v>100</v>
      </c>
      <c r="T36" s="1572" t="s">
        <v>11</v>
      </c>
      <c r="U36" s="1573">
        <f t="shared" si="13"/>
        <v>100</v>
      </c>
      <c r="V36" s="1572" t="s">
        <v>11</v>
      </c>
      <c r="W36" s="1573">
        <f t="shared" si="14"/>
        <v>100</v>
      </c>
      <c r="X36" s="1566"/>
      <c r="Y36" s="3595"/>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595"/>
      <c r="Q37" s="1149" t="str">
        <f t="shared" si="11"/>
        <v>成新度</v>
      </c>
      <c r="R37" s="1567" t="s">
        <v>11</v>
      </c>
      <c r="S37" s="1568" t="e">
        <f t="shared" si="12"/>
        <v>#N/A</v>
      </c>
      <c r="T37" s="1567" t="s">
        <v>11</v>
      </c>
      <c r="U37" s="1568" t="e">
        <f t="shared" si="13"/>
        <v>#N/A</v>
      </c>
      <c r="V37" s="1567" t="s">
        <v>11</v>
      </c>
      <c r="W37" s="1568" t="e">
        <f t="shared" si="14"/>
        <v>#N/A</v>
      </c>
      <c r="X37" s="1569"/>
      <c r="Y37" s="3595"/>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595" t="s">
        <v>550</v>
      </c>
      <c r="Q38" s="1571" t="str">
        <f t="shared" si="11"/>
        <v>物业管理</v>
      </c>
      <c r="R38" s="1572" t="s">
        <v>11</v>
      </c>
      <c r="S38" s="1573">
        <f t="shared" si="12"/>
        <v>100</v>
      </c>
      <c r="T38" s="1572" t="s">
        <v>11</v>
      </c>
      <c r="U38" s="1573">
        <f t="shared" si="13"/>
        <v>100</v>
      </c>
      <c r="V38" s="1572" t="s">
        <v>11</v>
      </c>
      <c r="W38" s="1573">
        <f t="shared" si="14"/>
        <v>100</v>
      </c>
      <c r="X38" s="1566"/>
      <c r="Y38" s="3595" t="s">
        <v>550</v>
      </c>
      <c r="Z38" s="1574" t="str">
        <f t="shared" si="15"/>
        <v>物业管理</v>
      </c>
      <c r="AA38" s="1575">
        <f t="shared" si="3"/>
        <v>1</v>
      </c>
      <c r="AB38" s="1575">
        <f t="shared" si="4"/>
        <v>1</v>
      </c>
      <c r="AC38" s="1575">
        <f t="shared" si="5"/>
        <v>1</v>
      </c>
    </row>
    <row r="39" spans="1:29" ht="15">
      <c r="A39" s="592"/>
      <c r="B39" s="1895"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595"/>
      <c r="Q39" s="1571" t="str">
        <f t="shared" si="11"/>
        <v>市政基础设施</v>
      </c>
      <c r="R39" s="1572" t="s">
        <v>11</v>
      </c>
      <c r="S39" s="1573">
        <f t="shared" si="12"/>
        <v>100</v>
      </c>
      <c r="T39" s="1572" t="s">
        <v>11</v>
      </c>
      <c r="U39" s="1573">
        <f t="shared" si="13"/>
        <v>100</v>
      </c>
      <c r="V39" s="1572" t="s">
        <v>11</v>
      </c>
      <c r="W39" s="1573">
        <f t="shared" si="14"/>
        <v>100</v>
      </c>
      <c r="X39" s="1566"/>
      <c r="Y39" s="3595"/>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595"/>
      <c r="Q40" s="1571" t="str">
        <f t="shared" si="11"/>
        <v>房型</v>
      </c>
      <c r="R40" s="1572" t="s">
        <v>11</v>
      </c>
      <c r="S40" s="1573">
        <f t="shared" si="12"/>
        <v>100</v>
      </c>
      <c r="T40" s="1572" t="s">
        <v>11</v>
      </c>
      <c r="U40" s="1573">
        <f t="shared" si="13"/>
        <v>100</v>
      </c>
      <c r="V40" s="1572" t="s">
        <v>11</v>
      </c>
      <c r="W40" s="1573">
        <f t="shared" si="14"/>
        <v>100</v>
      </c>
      <c r="X40" s="1566"/>
      <c r="Y40" s="3595"/>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595"/>
      <c r="Q41" s="1604" t="str">
        <f t="shared" si="11"/>
        <v>单套/主力户型建筑面积</v>
      </c>
      <c r="R41" s="1576" t="s">
        <v>11</v>
      </c>
      <c r="S41" s="1577">
        <f t="shared" si="12"/>
        <v>100</v>
      </c>
      <c r="T41" s="1576" t="s">
        <v>11</v>
      </c>
      <c r="U41" s="1577">
        <f t="shared" si="13"/>
        <v>100</v>
      </c>
      <c r="V41" s="1576" t="s">
        <v>11</v>
      </c>
      <c r="W41" s="1577">
        <f t="shared" si="14"/>
        <v>100</v>
      </c>
      <c r="X41" s="1578"/>
      <c r="Y41" s="3595"/>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595"/>
      <c r="Q42" s="1571" t="str">
        <f t="shared" si="11"/>
        <v>内部装修</v>
      </c>
      <c r="R42" s="1572" t="s">
        <v>11</v>
      </c>
      <c r="S42" s="1573">
        <f t="shared" si="12"/>
        <v>100</v>
      </c>
      <c r="T42" s="1572" t="s">
        <v>11</v>
      </c>
      <c r="U42" s="1573">
        <f t="shared" si="13"/>
        <v>100</v>
      </c>
      <c r="V42" s="1572" t="s">
        <v>11</v>
      </c>
      <c r="W42" s="1573">
        <f t="shared" si="14"/>
        <v>100</v>
      </c>
      <c r="X42" s="1566"/>
      <c r="Y42" s="3595"/>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595"/>
      <c r="Q43" s="1571" t="str">
        <f t="shared" si="11"/>
        <v>内部装修维护情况</v>
      </c>
      <c r="R43" s="1572" t="s">
        <v>11</v>
      </c>
      <c r="S43" s="1573">
        <f t="shared" si="12"/>
        <v>100</v>
      </c>
      <c r="T43" s="1572" t="s">
        <v>11</v>
      </c>
      <c r="U43" s="1573">
        <f t="shared" si="13"/>
        <v>100</v>
      </c>
      <c r="V43" s="1572" t="s">
        <v>11</v>
      </c>
      <c r="W43" s="1573">
        <f t="shared" si="14"/>
        <v>100</v>
      </c>
      <c r="X43" s="1566"/>
      <c r="Y43" s="3595"/>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595"/>
      <c r="Q44" s="1149">
        <f t="shared" si="11"/>
        <v>111</v>
      </c>
      <c r="R44" s="1567" t="s">
        <v>11</v>
      </c>
      <c r="S44" s="1568">
        <f t="shared" si="12"/>
        <v>100</v>
      </c>
      <c r="T44" s="1567" t="s">
        <v>11</v>
      </c>
      <c r="U44" s="1568">
        <f t="shared" si="13"/>
        <v>100</v>
      </c>
      <c r="V44" s="1567" t="s">
        <v>11</v>
      </c>
      <c r="W44" s="1568">
        <f t="shared" si="14"/>
        <v>100</v>
      </c>
      <c r="X44" s="1569"/>
      <c r="Y44" s="3595"/>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595"/>
      <c r="Q45" s="1571">
        <f t="shared" si="11"/>
        <v>111</v>
      </c>
      <c r="R45" s="1572" t="s">
        <v>11</v>
      </c>
      <c r="S45" s="1573">
        <f t="shared" si="12"/>
        <v>100</v>
      </c>
      <c r="T45" s="1572" t="s">
        <v>11</v>
      </c>
      <c r="U45" s="1573">
        <f t="shared" si="13"/>
        <v>100</v>
      </c>
      <c r="V45" s="1572" t="s">
        <v>11</v>
      </c>
      <c r="W45" s="1573">
        <f t="shared" si="14"/>
        <v>100</v>
      </c>
      <c r="X45" s="1566"/>
      <c r="Y45" s="3595"/>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691"/>
      <c r="Q46" s="1571">
        <f t="shared" si="11"/>
        <v>111</v>
      </c>
      <c r="R46" s="1572" t="s">
        <v>10</v>
      </c>
      <c r="S46" s="1573">
        <f t="shared" si="12"/>
        <v>100</v>
      </c>
      <c r="T46" s="1572" t="s">
        <v>10</v>
      </c>
      <c r="U46" s="1573">
        <f t="shared" si="13"/>
        <v>100</v>
      </c>
      <c r="V46" s="1572" t="s">
        <v>10</v>
      </c>
      <c r="W46" s="1573">
        <f t="shared" si="14"/>
        <v>100</v>
      </c>
      <c r="X46" s="1566"/>
      <c r="Y46" s="3691"/>
      <c r="Z46" s="1574">
        <f t="shared" si="15"/>
        <v>111</v>
      </c>
      <c r="AA46" s="1575">
        <f t="shared" si="3"/>
        <v>1</v>
      </c>
      <c r="AB46" s="1575">
        <f t="shared" si="4"/>
        <v>1</v>
      </c>
      <c r="AC46" s="1575">
        <f t="shared" si="5"/>
        <v>1</v>
      </c>
    </row>
    <row r="47" spans="1:29" ht="15">
      <c r="A47" s="605" t="s">
        <v>736</v>
      </c>
      <c r="B47" s="885"/>
      <c r="C47" s="2649" t="s">
        <v>9</v>
      </c>
      <c r="D47" s="2650"/>
      <c r="E47" s="2651"/>
      <c r="F47" s="2652"/>
      <c r="G47" s="2653"/>
      <c r="H47" s="2654"/>
      <c r="I47" s="2651"/>
      <c r="J47" s="2654"/>
      <c r="K47" s="1605"/>
      <c r="L47" s="2144"/>
      <c r="M47" s="2145"/>
      <c r="N47" s="2134"/>
      <c r="O47" s="2145"/>
      <c r="P47" s="3590" t="str">
        <f>A47</f>
        <v>成交单价（元/平方米）</v>
      </c>
      <c r="Q47" s="3590"/>
      <c r="R47" s="3690">
        <f>E47</f>
        <v>0</v>
      </c>
      <c r="S47" s="3690"/>
      <c r="T47" s="3690">
        <f>G47</f>
        <v>0</v>
      </c>
      <c r="U47" s="3690"/>
      <c r="V47" s="3690">
        <f>I47</f>
        <v>0</v>
      </c>
      <c r="W47" s="3690"/>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06"/>
      <c r="L48" s="2144"/>
      <c r="M48" s="2145"/>
      <c r="N48" s="2145"/>
      <c r="O48" s="2145"/>
      <c r="P48" s="3590" t="str">
        <f>A48</f>
        <v>比较价格（元/平方米）</v>
      </c>
      <c r="Q48" s="3590"/>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07"/>
      <c r="L49" s="2144"/>
      <c r="M49" s="2145"/>
      <c r="N49" s="2145"/>
      <c r="O49" s="2145"/>
      <c r="P49" s="3611" t="str">
        <f>A49</f>
        <v>估价对象XX用房的比较价格（楼面单价，元/平方米）</v>
      </c>
      <c r="Q49" s="3612"/>
      <c r="R49" s="3689" t="e">
        <f>IF(F1="售价",ROUND(AVERAGE(R48:V48),0),ROUND(AVERAGE(R48:V48),1))</f>
        <v>#DIV/0!</v>
      </c>
      <c r="S49" s="3689"/>
      <c r="T49" s="3689"/>
      <c r="U49" s="3689"/>
      <c r="V49" s="3689"/>
      <c r="W49" s="36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2560</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596" t="s">
        <v>522</v>
      </c>
      <c r="D4" s="3597"/>
      <c r="E4" s="3620" t="s">
        <v>523</v>
      </c>
      <c r="F4" s="3621"/>
      <c r="G4" s="3596" t="s">
        <v>524</v>
      </c>
      <c r="H4" s="3597"/>
      <c r="I4" s="3596" t="s">
        <v>525</v>
      </c>
      <c r="J4" s="3597"/>
      <c r="K4" s="512" t="s">
        <v>526</v>
      </c>
      <c r="L4" s="2133"/>
      <c r="M4" s="2134"/>
      <c r="N4" s="2134"/>
      <c r="O4" s="2134"/>
      <c r="P4" s="3598" t="s">
        <v>527</v>
      </c>
      <c r="Q4" s="3599"/>
      <c r="R4" s="3584" t="s">
        <v>523</v>
      </c>
      <c r="S4" s="3585"/>
      <c r="T4" s="3584" t="s">
        <v>524</v>
      </c>
      <c r="U4" s="3585"/>
      <c r="V4" s="3604" t="s">
        <v>525</v>
      </c>
      <c r="W4" s="3604"/>
      <c r="X4" s="1566"/>
      <c r="Y4" s="3584" t="s">
        <v>527</v>
      </c>
      <c r="Z4" s="3585"/>
      <c r="AA4" s="3579" t="s">
        <v>523</v>
      </c>
      <c r="AB4" s="3604" t="s">
        <v>524</v>
      </c>
      <c r="AC4" s="3579" t="s">
        <v>525</v>
      </c>
    </row>
    <row r="5" spans="1:29" ht="15">
      <c r="A5" s="513"/>
      <c r="B5" s="514"/>
      <c r="C5" s="3607" t="s">
        <v>2930</v>
      </c>
      <c r="D5" s="3608"/>
      <c r="E5" s="3622" t="s">
        <v>2931</v>
      </c>
      <c r="F5" s="3623"/>
      <c r="G5" s="3607" t="s">
        <v>2932</v>
      </c>
      <c r="H5" s="3608"/>
      <c r="I5" s="3607" t="s">
        <v>2933</v>
      </c>
      <c r="J5" s="3608"/>
      <c r="K5" s="512"/>
      <c r="L5" s="2133"/>
      <c r="M5" s="2134"/>
      <c r="N5" s="2134"/>
      <c r="O5" s="2134"/>
      <c r="P5" s="3600"/>
      <c r="Q5" s="3601"/>
      <c r="R5" s="3586"/>
      <c r="S5" s="3587"/>
      <c r="T5" s="3586"/>
      <c r="U5" s="3587"/>
      <c r="V5" s="3604"/>
      <c r="W5" s="3604"/>
      <c r="X5" s="1566"/>
      <c r="Y5" s="3586"/>
      <c r="Z5" s="3587"/>
      <c r="AA5" s="3580"/>
      <c r="AB5" s="3604"/>
      <c r="AC5" s="3580"/>
    </row>
    <row r="6" spans="1:29" ht="15.75" thickBot="1">
      <c r="A6" s="515"/>
      <c r="B6" s="516"/>
      <c r="C6" s="3605" t="s">
        <v>2934</v>
      </c>
      <c r="D6" s="3606"/>
      <c r="E6" s="3624" t="s">
        <v>2934</v>
      </c>
      <c r="F6" s="3625"/>
      <c r="G6" s="3605" t="s">
        <v>2934</v>
      </c>
      <c r="H6" s="3606"/>
      <c r="I6" s="3605" t="s">
        <v>2934</v>
      </c>
      <c r="J6" s="3606"/>
      <c r="K6" s="512" t="s">
        <v>528</v>
      </c>
      <c r="L6" s="2133"/>
      <c r="M6" s="2134"/>
      <c r="N6" s="2134"/>
      <c r="O6" s="2134"/>
      <c r="P6" s="3602"/>
      <c r="Q6" s="3603"/>
      <c r="R6" s="3586"/>
      <c r="S6" s="3587"/>
      <c r="T6" s="3588"/>
      <c r="U6" s="3589"/>
      <c r="V6" s="3604"/>
      <c r="W6" s="3604"/>
      <c r="X6" s="1566"/>
      <c r="Y6" s="3588"/>
      <c r="Z6" s="3589"/>
      <c r="AA6" s="3581"/>
      <c r="AB6" s="3604"/>
      <c r="AC6" s="3581"/>
    </row>
    <row r="7" spans="1:29" s="1218" customFormat="1" ht="15.75" thickBot="1">
      <c r="A7" s="2934"/>
      <c r="B7" s="2941"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5"/>
      <c r="M7" s="2136"/>
      <c r="N7" s="2136"/>
      <c r="O7" s="2136"/>
      <c r="P7" s="3582" t="s">
        <v>530</v>
      </c>
      <c r="Q7" s="3591"/>
      <c r="R7" s="1567" t="s">
        <v>8</v>
      </c>
      <c r="S7" s="1568">
        <f t="shared" ref="S7:S15" si="0">F7</f>
        <v>0</v>
      </c>
      <c r="T7" s="1567" t="s">
        <v>8</v>
      </c>
      <c r="U7" s="1568">
        <f t="shared" ref="U7:U15" si="1">H7</f>
        <v>0</v>
      </c>
      <c r="V7" s="1567" t="s">
        <v>8</v>
      </c>
      <c r="W7" s="1568">
        <f t="shared" ref="W7:W15" si="2">J7</f>
        <v>0</v>
      </c>
      <c r="X7" s="1569"/>
      <c r="Y7" s="3582" t="s">
        <v>530</v>
      </c>
      <c r="Z7" s="3583"/>
      <c r="AA7" s="1570" t="e">
        <f>D7/F7</f>
        <v>#DIV/0!</v>
      </c>
      <c r="AB7" s="1570" t="e">
        <f>D7/H7</f>
        <v>#DIV/0!</v>
      </c>
      <c r="AC7" s="1570"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582" t="s">
        <v>533</v>
      </c>
      <c r="Q8" s="3583"/>
      <c r="R8" s="1567" t="s">
        <v>8</v>
      </c>
      <c r="S8" s="1568">
        <f t="shared" si="0"/>
        <v>0</v>
      </c>
      <c r="T8" s="1567" t="s">
        <v>8</v>
      </c>
      <c r="U8" s="1568">
        <f t="shared" si="1"/>
        <v>0</v>
      </c>
      <c r="V8" s="1567" t="s">
        <v>8</v>
      </c>
      <c r="W8" s="1568">
        <f t="shared" si="2"/>
        <v>0</v>
      </c>
      <c r="X8" s="1569"/>
      <c r="Y8" s="3582" t="s">
        <v>533</v>
      </c>
      <c r="Z8" s="3583"/>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590" t="s">
        <v>535</v>
      </c>
      <c r="Q9" s="1149" t="str">
        <f t="shared" ref="Q9:Q15" si="6">B9</f>
        <v>用途</v>
      </c>
      <c r="R9" s="1567" t="s">
        <v>8</v>
      </c>
      <c r="S9" s="1568">
        <f t="shared" si="0"/>
        <v>100</v>
      </c>
      <c r="T9" s="1567" t="s">
        <v>8</v>
      </c>
      <c r="U9" s="1568">
        <f t="shared" si="1"/>
        <v>100</v>
      </c>
      <c r="V9" s="1567" t="s">
        <v>8</v>
      </c>
      <c r="W9" s="1568">
        <f t="shared" si="2"/>
        <v>100</v>
      </c>
      <c r="X9" s="1569"/>
      <c r="Y9" s="3432"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590"/>
      <c r="Q10" s="1149" t="str">
        <f t="shared" si="6"/>
        <v>土地使用年限（年）</v>
      </c>
      <c r="R10" s="1567" t="s">
        <v>8</v>
      </c>
      <c r="S10" s="1568">
        <f t="shared" si="0"/>
        <v>100</v>
      </c>
      <c r="T10" s="1567" t="s">
        <v>8</v>
      </c>
      <c r="U10" s="1568">
        <f t="shared" si="1"/>
        <v>100</v>
      </c>
      <c r="V10" s="1567" t="s">
        <v>8</v>
      </c>
      <c r="W10" s="1568">
        <f t="shared" si="2"/>
        <v>100</v>
      </c>
      <c r="X10" s="1569"/>
      <c r="Y10" s="3432"/>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590"/>
      <c r="Q11" s="1149" t="str">
        <f t="shared" si="6"/>
        <v>容积率</v>
      </c>
      <c r="R11" s="1567" t="s">
        <v>8</v>
      </c>
      <c r="S11" s="1568" t="e">
        <f t="shared" si="0"/>
        <v>#N/A</v>
      </c>
      <c r="T11" s="1567" t="s">
        <v>8</v>
      </c>
      <c r="U11" s="1568" t="e">
        <f t="shared" si="1"/>
        <v>#N/A</v>
      </c>
      <c r="V11" s="1567" t="s">
        <v>8</v>
      </c>
      <c r="W11" s="1568" t="e">
        <f t="shared" si="2"/>
        <v>#N/A</v>
      </c>
      <c r="X11" s="1569"/>
      <c r="Y11" s="3432"/>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590"/>
      <c r="Q12" s="1149">
        <f t="shared" si="6"/>
        <v>111</v>
      </c>
      <c r="R12" s="1567" t="s">
        <v>8</v>
      </c>
      <c r="S12" s="1568">
        <f t="shared" si="0"/>
        <v>100</v>
      </c>
      <c r="T12" s="1567" t="s">
        <v>8</v>
      </c>
      <c r="U12" s="1568">
        <f t="shared" si="1"/>
        <v>100</v>
      </c>
      <c r="V12" s="1567" t="s">
        <v>8</v>
      </c>
      <c r="W12" s="1568">
        <f t="shared" si="2"/>
        <v>100</v>
      </c>
      <c r="X12" s="1569"/>
      <c r="Y12" s="3432"/>
      <c r="Z12" s="1148">
        <f t="shared" si="7"/>
        <v>111</v>
      </c>
      <c r="AA12" s="1570">
        <f>D12/F12</f>
        <v>1</v>
      </c>
      <c r="AB12" s="1570">
        <f>D12/H12</f>
        <v>1</v>
      </c>
      <c r="AC12" s="1570">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590"/>
      <c r="Q13" s="1149">
        <f t="shared" si="6"/>
        <v>111</v>
      </c>
      <c r="R13" s="1567" t="s">
        <v>8</v>
      </c>
      <c r="S13" s="1568">
        <f t="shared" si="0"/>
        <v>100</v>
      </c>
      <c r="T13" s="1567" t="s">
        <v>8</v>
      </c>
      <c r="U13" s="1568">
        <f t="shared" si="1"/>
        <v>100</v>
      </c>
      <c r="V13" s="1567" t="s">
        <v>8</v>
      </c>
      <c r="W13" s="1568">
        <f t="shared" si="2"/>
        <v>100</v>
      </c>
      <c r="X13" s="1569"/>
      <c r="Y13" s="3432"/>
      <c r="Z13" s="1148">
        <f t="shared" si="7"/>
        <v>111</v>
      </c>
      <c r="AA13" s="1570">
        <f t="shared" si="3"/>
        <v>1</v>
      </c>
      <c r="AB13" s="1570">
        <f t="shared" si="4"/>
        <v>1</v>
      </c>
      <c r="AC13" s="1570">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590"/>
      <c r="Q14" s="1149">
        <f t="shared" si="6"/>
        <v>111</v>
      </c>
      <c r="R14" s="1567" t="s">
        <v>8</v>
      </c>
      <c r="S14" s="1568">
        <f t="shared" si="0"/>
        <v>100</v>
      </c>
      <c r="T14" s="1567" t="s">
        <v>8</v>
      </c>
      <c r="U14" s="1568">
        <f t="shared" si="1"/>
        <v>100</v>
      </c>
      <c r="V14" s="1567" t="s">
        <v>8</v>
      </c>
      <c r="W14" s="1568">
        <f t="shared" si="2"/>
        <v>100</v>
      </c>
      <c r="X14" s="1569"/>
      <c r="Y14" s="3432"/>
      <c r="Z14" s="1148">
        <f t="shared" si="7"/>
        <v>111</v>
      </c>
      <c r="AA14" s="1570">
        <f t="shared" si="3"/>
        <v>1</v>
      </c>
      <c r="AB14" s="1570">
        <f t="shared" si="4"/>
        <v>1</v>
      </c>
      <c r="AC14" s="1570">
        <f t="shared" si="5"/>
        <v>1</v>
      </c>
    </row>
    <row r="15" spans="1:29" ht="71.25">
      <c r="A15" s="2932"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592" t="s">
        <v>540</v>
      </c>
      <c r="Q15" s="1571" t="str">
        <f t="shared" si="6"/>
        <v>商业繁华度</v>
      </c>
      <c r="R15" s="1572" t="s">
        <v>8</v>
      </c>
      <c r="S15" s="1573">
        <f t="shared" si="0"/>
        <v>100</v>
      </c>
      <c r="T15" s="1572" t="s">
        <v>8</v>
      </c>
      <c r="U15" s="1573">
        <f t="shared" si="1"/>
        <v>100</v>
      </c>
      <c r="V15" s="1572" t="s">
        <v>8</v>
      </c>
      <c r="W15" s="1573">
        <f t="shared" si="2"/>
        <v>100</v>
      </c>
      <c r="X15" s="1566"/>
      <c r="Y15" s="3592"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93"/>
      <c r="Q16" s="1571"/>
      <c r="R16" s="1572"/>
      <c r="S16" s="1573"/>
      <c r="T16" s="1572"/>
      <c r="U16" s="1573"/>
      <c r="V16" s="1572"/>
      <c r="W16" s="1573"/>
      <c r="X16" s="1566"/>
      <c r="Y16" s="3593"/>
      <c r="Z16" s="1574"/>
      <c r="AA16" s="1575">
        <v>1</v>
      </c>
      <c r="AB16" s="1575">
        <v>1</v>
      </c>
      <c r="AC16" s="1575">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593"/>
      <c r="Q17" s="1571" t="str">
        <f>B17</f>
        <v>交通便捷度</v>
      </c>
      <c r="R17" s="1572" t="s">
        <v>8</v>
      </c>
      <c r="S17" s="1573">
        <f>F17</f>
        <v>100</v>
      </c>
      <c r="T17" s="1572" t="s">
        <v>8</v>
      </c>
      <c r="U17" s="1573">
        <f>H17</f>
        <v>100</v>
      </c>
      <c r="V17" s="1572" t="s">
        <v>8</v>
      </c>
      <c r="W17" s="1573">
        <f>J17</f>
        <v>100</v>
      </c>
      <c r="X17" s="1566"/>
      <c r="Y17" s="3593"/>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93"/>
      <c r="Q18" s="1571"/>
      <c r="R18" s="1572"/>
      <c r="S18" s="1573"/>
      <c r="T18" s="1572"/>
      <c r="U18" s="1573"/>
      <c r="V18" s="1572"/>
      <c r="W18" s="1573"/>
      <c r="X18" s="1566"/>
      <c r="Y18" s="3593"/>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593"/>
      <c r="Q19" s="1571" t="str">
        <f>B19</f>
        <v>公共配套设施</v>
      </c>
      <c r="R19" s="1572" t="s">
        <v>8</v>
      </c>
      <c r="S19" s="1573">
        <f>F19</f>
        <v>100</v>
      </c>
      <c r="T19" s="1572" t="s">
        <v>8</v>
      </c>
      <c r="U19" s="1573">
        <f>H19</f>
        <v>100</v>
      </c>
      <c r="V19" s="1572" t="s">
        <v>8</v>
      </c>
      <c r="W19" s="1573">
        <f>J19</f>
        <v>100</v>
      </c>
      <c r="X19" s="1566"/>
      <c r="Y19" s="3593"/>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593"/>
      <c r="Q20" s="1571"/>
      <c r="R20" s="1572"/>
      <c r="S20" s="1573"/>
      <c r="T20" s="1572"/>
      <c r="U20" s="1573"/>
      <c r="V20" s="1572"/>
      <c r="W20" s="1573"/>
      <c r="X20" s="1566"/>
      <c r="Y20" s="3593"/>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593"/>
      <c r="Q21" s="2601" t="str">
        <f>B21</f>
        <v>基础设施水平</v>
      </c>
      <c r="R21" s="1572" t="s">
        <v>8</v>
      </c>
      <c r="S21" s="1573">
        <f>F21</f>
        <v>100</v>
      </c>
      <c r="T21" s="1572" t="s">
        <v>8</v>
      </c>
      <c r="U21" s="1573">
        <f>H21</f>
        <v>100</v>
      </c>
      <c r="V21" s="1572" t="s">
        <v>8</v>
      </c>
      <c r="W21" s="1573">
        <f>J21</f>
        <v>100</v>
      </c>
      <c r="X21" s="2603"/>
      <c r="Y21" s="3593"/>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4"/>
      <c r="L22" s="2142"/>
      <c r="M22" s="2134"/>
      <c r="N22" s="2134"/>
      <c r="O22" s="2141"/>
      <c r="P22" s="3593"/>
      <c r="Q22" s="2601"/>
      <c r="R22" s="1572"/>
      <c r="S22" s="1573"/>
      <c r="T22" s="1572"/>
      <c r="U22" s="1573"/>
      <c r="V22" s="1572"/>
      <c r="W22" s="1573"/>
      <c r="X22" s="2603"/>
      <c r="Y22" s="3593"/>
      <c r="Z22" s="2602"/>
      <c r="AA22" s="1575">
        <v>1</v>
      </c>
      <c r="AB22" s="1575">
        <v>1</v>
      </c>
      <c r="AC22" s="1575">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593"/>
      <c r="Q23" s="1571" t="str">
        <f>B23</f>
        <v>自然及人文环境</v>
      </c>
      <c r="R23" s="1572" t="s">
        <v>8</v>
      </c>
      <c r="S23" s="1573">
        <f>F23</f>
        <v>100</v>
      </c>
      <c r="T23" s="1572" t="s">
        <v>8</v>
      </c>
      <c r="U23" s="1573">
        <f>H23</f>
        <v>100</v>
      </c>
      <c r="V23" s="1572" t="s">
        <v>8</v>
      </c>
      <c r="W23" s="1573">
        <f>J23</f>
        <v>100</v>
      </c>
      <c r="X23" s="1566"/>
      <c r="Y23" s="3593"/>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593"/>
      <c r="Q24" s="1571"/>
      <c r="R24" s="1572"/>
      <c r="S24" s="1573"/>
      <c r="T24" s="1572"/>
      <c r="U24" s="1573"/>
      <c r="V24" s="1572"/>
      <c r="W24" s="1573"/>
      <c r="X24" s="1566"/>
      <c r="Y24" s="3593"/>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593"/>
      <c r="Q25" s="1571" t="str">
        <f t="shared" ref="Q25:Q46" si="11">B25</f>
        <v>临街状况</v>
      </c>
      <c r="R25" s="1572" t="s">
        <v>8</v>
      </c>
      <c r="S25" s="1573">
        <f>F25</f>
        <v>100</v>
      </c>
      <c r="T25" s="1572" t="s">
        <v>8</v>
      </c>
      <c r="U25" s="1573">
        <f>H25</f>
        <v>100</v>
      </c>
      <c r="V25" s="1572" t="s">
        <v>8</v>
      </c>
      <c r="W25" s="1573">
        <f>J25</f>
        <v>100</v>
      </c>
      <c r="X25" s="1566"/>
      <c r="Y25" s="3593"/>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593"/>
      <c r="Q26" s="1571" t="str">
        <f t="shared" si="11"/>
        <v>平面位置/可视性</v>
      </c>
      <c r="R26" s="1572" t="s">
        <v>8</v>
      </c>
      <c r="S26" s="1573">
        <f>F26</f>
        <v>100</v>
      </c>
      <c r="T26" s="1572" t="s">
        <v>8</v>
      </c>
      <c r="U26" s="1573">
        <f>H26</f>
        <v>100</v>
      </c>
      <c r="V26" s="1572" t="s">
        <v>8</v>
      </c>
      <c r="W26" s="1573">
        <f>J26</f>
        <v>100</v>
      </c>
      <c r="X26" s="1566"/>
      <c r="Y26" s="3593"/>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593"/>
      <c r="Q27" s="1149" t="str">
        <f t="shared" si="11"/>
        <v>人流量</v>
      </c>
      <c r="R27" s="1567" t="s">
        <v>8</v>
      </c>
      <c r="S27" s="1568">
        <f>F27</f>
        <v>100</v>
      </c>
      <c r="T27" s="1567" t="s">
        <v>8</v>
      </c>
      <c r="U27" s="1568">
        <f>H27</f>
        <v>100</v>
      </c>
      <c r="V27" s="1567" t="s">
        <v>8</v>
      </c>
      <c r="W27" s="1568">
        <f>J27</f>
        <v>100</v>
      </c>
      <c r="X27" s="1569"/>
      <c r="Y27" s="3593"/>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59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93"/>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593"/>
      <c r="Q29" s="1571">
        <f t="shared" si="11"/>
        <v>111</v>
      </c>
      <c r="R29" s="1572" t="s">
        <v>8</v>
      </c>
      <c r="S29" s="1573">
        <f t="shared" si="12"/>
        <v>100</v>
      </c>
      <c r="T29" s="1572" t="s">
        <v>8</v>
      </c>
      <c r="U29" s="1573">
        <f t="shared" si="13"/>
        <v>100</v>
      </c>
      <c r="V29" s="1572" t="s">
        <v>8</v>
      </c>
      <c r="W29" s="1573">
        <f t="shared" si="14"/>
        <v>100</v>
      </c>
      <c r="X29" s="1566"/>
      <c r="Y29" s="3593"/>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593"/>
      <c r="Q30" s="1571">
        <f t="shared" si="11"/>
        <v>111</v>
      </c>
      <c r="R30" s="1572" t="s">
        <v>8</v>
      </c>
      <c r="S30" s="1573">
        <f t="shared" si="12"/>
        <v>100</v>
      </c>
      <c r="T30" s="1572" t="s">
        <v>8</v>
      </c>
      <c r="U30" s="1573">
        <f t="shared" si="13"/>
        <v>100</v>
      </c>
      <c r="V30" s="1572" t="s">
        <v>8</v>
      </c>
      <c r="W30" s="1573">
        <f t="shared" si="14"/>
        <v>100</v>
      </c>
      <c r="X30" s="1566"/>
      <c r="Y30" s="3593"/>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593"/>
      <c r="Q31" s="1571">
        <f t="shared" si="11"/>
        <v>111</v>
      </c>
      <c r="R31" s="1572" t="s">
        <v>8</v>
      </c>
      <c r="S31" s="1573">
        <f t="shared" si="12"/>
        <v>100</v>
      </c>
      <c r="T31" s="1572" t="s">
        <v>8</v>
      </c>
      <c r="U31" s="1573">
        <f t="shared" si="13"/>
        <v>100</v>
      </c>
      <c r="V31" s="1572" t="s">
        <v>8</v>
      </c>
      <c r="W31" s="1573">
        <f t="shared" si="14"/>
        <v>100</v>
      </c>
      <c r="X31" s="1566"/>
      <c r="Y31" s="3593"/>
      <c r="Z31" s="1574">
        <f t="shared" si="15"/>
        <v>111</v>
      </c>
      <c r="AA31" s="1575">
        <f t="shared" si="3"/>
        <v>1</v>
      </c>
      <c r="AB31" s="1575">
        <f t="shared" si="4"/>
        <v>1</v>
      </c>
      <c r="AC31" s="1575">
        <f t="shared" si="5"/>
        <v>1</v>
      </c>
    </row>
    <row r="32" spans="1:29" ht="15">
      <c r="A32" s="2929"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594" t="s">
        <v>550</v>
      </c>
      <c r="Q32" s="1571" t="str">
        <f t="shared" si="11"/>
        <v>商业类型</v>
      </c>
      <c r="R32" s="1572" t="s">
        <v>8</v>
      </c>
      <c r="S32" s="1573">
        <f t="shared" si="12"/>
        <v>100</v>
      </c>
      <c r="T32" s="1572" t="s">
        <v>8</v>
      </c>
      <c r="U32" s="1573">
        <f t="shared" si="13"/>
        <v>100</v>
      </c>
      <c r="V32" s="1572" t="s">
        <v>8</v>
      </c>
      <c r="W32" s="1573">
        <f t="shared" si="14"/>
        <v>100</v>
      </c>
      <c r="X32" s="1566"/>
      <c r="Y32" s="3595"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595"/>
      <c r="Q33" s="1604" t="str">
        <f t="shared" si="11"/>
        <v>项目建筑规模</v>
      </c>
      <c r="R33" s="1576" t="s">
        <v>8</v>
      </c>
      <c r="S33" s="1577" t="e">
        <f t="shared" si="12"/>
        <v>#N/A</v>
      </c>
      <c r="T33" s="1576" t="s">
        <v>8</v>
      </c>
      <c r="U33" s="1577" t="e">
        <f t="shared" si="13"/>
        <v>#N/A</v>
      </c>
      <c r="V33" s="1576" t="s">
        <v>8</v>
      </c>
      <c r="W33" s="1577" t="e">
        <f t="shared" si="14"/>
        <v>#N/A</v>
      </c>
      <c r="X33" s="1578"/>
      <c r="Y33" s="3595"/>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595"/>
      <c r="Q34" s="1571" t="str">
        <f t="shared" si="11"/>
        <v>建筑结构</v>
      </c>
      <c r="R34" s="1572" t="s">
        <v>8</v>
      </c>
      <c r="S34" s="1573">
        <f t="shared" si="12"/>
        <v>100</v>
      </c>
      <c r="T34" s="1572" t="s">
        <v>8</v>
      </c>
      <c r="U34" s="1573">
        <f t="shared" si="13"/>
        <v>100</v>
      </c>
      <c r="V34" s="1572" t="s">
        <v>8</v>
      </c>
      <c r="W34" s="1573">
        <f t="shared" si="14"/>
        <v>100</v>
      </c>
      <c r="X34" s="1566"/>
      <c r="Y34" s="3595"/>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595"/>
      <c r="Q35" s="1571" t="str">
        <f t="shared" si="11"/>
        <v>公共部分装修</v>
      </c>
      <c r="R35" s="1572" t="s">
        <v>8</v>
      </c>
      <c r="S35" s="1573">
        <f t="shared" si="12"/>
        <v>100</v>
      </c>
      <c r="T35" s="1572" t="s">
        <v>8</v>
      </c>
      <c r="U35" s="1573">
        <f t="shared" si="13"/>
        <v>100</v>
      </c>
      <c r="V35" s="1572" t="s">
        <v>8</v>
      </c>
      <c r="W35" s="1573">
        <f t="shared" si="14"/>
        <v>100</v>
      </c>
      <c r="X35" s="1566"/>
      <c r="Y35" s="3595"/>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595"/>
      <c r="Q36" s="1571" t="str">
        <f t="shared" si="11"/>
        <v>成新度</v>
      </c>
      <c r="R36" s="1572" t="s">
        <v>8</v>
      </c>
      <c r="S36" s="1573" t="e">
        <f t="shared" si="12"/>
        <v>#N/A</v>
      </c>
      <c r="T36" s="1572" t="s">
        <v>8</v>
      </c>
      <c r="U36" s="1573" t="e">
        <f t="shared" si="13"/>
        <v>#N/A</v>
      </c>
      <c r="V36" s="1572" t="s">
        <v>8</v>
      </c>
      <c r="W36" s="1573" t="e">
        <f t="shared" si="14"/>
        <v>#N/A</v>
      </c>
      <c r="X36" s="1566"/>
      <c r="Y36" s="3595"/>
      <c r="Z36" s="1574" t="str">
        <f t="shared" si="15"/>
        <v>成新度</v>
      </c>
      <c r="AA36" s="1575" t="e">
        <f t="shared" si="3"/>
        <v>#N/A</v>
      </c>
      <c r="AB36" s="1575" t="e">
        <f t="shared" si="4"/>
        <v>#N/A</v>
      </c>
      <c r="AC36" s="1575" t="e">
        <f t="shared" si="5"/>
        <v>#N/A</v>
      </c>
    </row>
    <row r="37" spans="1:29" s="1218" customFormat="1" ht="15">
      <c r="A37" s="598"/>
      <c r="B37" s="1895"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595"/>
      <c r="Q37" s="1149" t="str">
        <f t="shared" si="11"/>
        <v>市政基础设施</v>
      </c>
      <c r="R37" s="1567" t="s">
        <v>8</v>
      </c>
      <c r="S37" s="1568">
        <f t="shared" si="12"/>
        <v>100</v>
      </c>
      <c r="T37" s="1567" t="s">
        <v>8</v>
      </c>
      <c r="U37" s="1568">
        <f t="shared" si="13"/>
        <v>100</v>
      </c>
      <c r="V37" s="1567" t="s">
        <v>8</v>
      </c>
      <c r="W37" s="1568">
        <f t="shared" si="14"/>
        <v>100</v>
      </c>
      <c r="X37" s="1569"/>
      <c r="Y37" s="3595"/>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595" t="s">
        <v>766</v>
      </c>
      <c r="Q38" s="1571" t="str">
        <f t="shared" si="11"/>
        <v>业态</v>
      </c>
      <c r="R38" s="1572" t="s">
        <v>8</v>
      </c>
      <c r="S38" s="1573">
        <f t="shared" si="12"/>
        <v>100</v>
      </c>
      <c r="T38" s="1572" t="s">
        <v>8</v>
      </c>
      <c r="U38" s="1573">
        <f t="shared" si="13"/>
        <v>100</v>
      </c>
      <c r="V38" s="1572" t="s">
        <v>8</v>
      </c>
      <c r="W38" s="1573">
        <f t="shared" si="14"/>
        <v>100</v>
      </c>
      <c r="X38" s="1566"/>
      <c r="Y38" s="3595"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95"/>
      <c r="Q39" s="1571" t="str">
        <f t="shared" si="11"/>
        <v>层高</v>
      </c>
      <c r="R39" s="1572" t="s">
        <v>8</v>
      </c>
      <c r="S39" s="1573">
        <f t="shared" si="12"/>
        <v>100</v>
      </c>
      <c r="T39" s="1572" t="s">
        <v>8</v>
      </c>
      <c r="U39" s="1573">
        <f t="shared" si="13"/>
        <v>100</v>
      </c>
      <c r="V39" s="1572" t="s">
        <v>8</v>
      </c>
      <c r="W39" s="1573">
        <f t="shared" si="14"/>
        <v>100</v>
      </c>
      <c r="X39" s="1566"/>
      <c r="Y39" s="3595"/>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595"/>
      <c r="Q40" s="1571" t="str">
        <f t="shared" si="11"/>
        <v>单套建筑面积</v>
      </c>
      <c r="R40" s="1572" t="s">
        <v>8</v>
      </c>
      <c r="S40" s="1573">
        <f t="shared" si="12"/>
        <v>100</v>
      </c>
      <c r="T40" s="1572" t="s">
        <v>8</v>
      </c>
      <c r="U40" s="1573">
        <f t="shared" si="13"/>
        <v>100</v>
      </c>
      <c r="V40" s="1572" t="s">
        <v>8</v>
      </c>
      <c r="W40" s="1573">
        <f t="shared" si="14"/>
        <v>100</v>
      </c>
      <c r="X40" s="1566"/>
      <c r="Y40" s="3595"/>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595"/>
      <c r="Q41" s="1604" t="str">
        <f t="shared" si="11"/>
        <v>进深比</v>
      </c>
      <c r="R41" s="1576" t="s">
        <v>8</v>
      </c>
      <c r="S41" s="1577">
        <f t="shared" si="12"/>
        <v>100</v>
      </c>
      <c r="T41" s="1576" t="s">
        <v>8</v>
      </c>
      <c r="U41" s="1577">
        <f t="shared" si="13"/>
        <v>100</v>
      </c>
      <c r="V41" s="1576" t="s">
        <v>8</v>
      </c>
      <c r="W41" s="1577">
        <f t="shared" si="14"/>
        <v>100</v>
      </c>
      <c r="X41" s="1578"/>
      <c r="Y41" s="3595"/>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595"/>
      <c r="Q42" s="1571" t="str">
        <f t="shared" si="11"/>
        <v>内部装修</v>
      </c>
      <c r="R42" s="1572" t="s">
        <v>8</v>
      </c>
      <c r="S42" s="1573">
        <f t="shared" si="12"/>
        <v>100</v>
      </c>
      <c r="T42" s="1572" t="s">
        <v>8</v>
      </c>
      <c r="U42" s="1573">
        <f t="shared" si="13"/>
        <v>100</v>
      </c>
      <c r="V42" s="1572" t="s">
        <v>8</v>
      </c>
      <c r="W42" s="1573">
        <f t="shared" si="14"/>
        <v>100</v>
      </c>
      <c r="X42" s="1566"/>
      <c r="Y42" s="3595"/>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595"/>
      <c r="Q43" s="1571" t="str">
        <f t="shared" si="11"/>
        <v>内部装修维护情况</v>
      </c>
      <c r="R43" s="1572" t="s">
        <v>8</v>
      </c>
      <c r="S43" s="1573">
        <f t="shared" si="12"/>
        <v>100</v>
      </c>
      <c r="T43" s="1572" t="s">
        <v>8</v>
      </c>
      <c r="U43" s="1573">
        <f t="shared" si="13"/>
        <v>100</v>
      </c>
      <c r="V43" s="1572" t="s">
        <v>8</v>
      </c>
      <c r="W43" s="1573">
        <f t="shared" si="14"/>
        <v>100</v>
      </c>
      <c r="X43" s="1566"/>
      <c r="Y43" s="3595"/>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595"/>
      <c r="Q44" s="1149">
        <f t="shared" si="11"/>
        <v>111</v>
      </c>
      <c r="R44" s="1567" t="s">
        <v>8</v>
      </c>
      <c r="S44" s="1568">
        <f t="shared" si="12"/>
        <v>100</v>
      </c>
      <c r="T44" s="1567" t="s">
        <v>8</v>
      </c>
      <c r="U44" s="1568">
        <f t="shared" si="13"/>
        <v>100</v>
      </c>
      <c r="V44" s="1567" t="s">
        <v>8</v>
      </c>
      <c r="W44" s="1568">
        <f t="shared" si="14"/>
        <v>100</v>
      </c>
      <c r="X44" s="1569"/>
      <c r="Y44" s="3595"/>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595"/>
      <c r="Q45" s="1571">
        <f t="shared" si="11"/>
        <v>111</v>
      </c>
      <c r="R45" s="1572" t="s">
        <v>8</v>
      </c>
      <c r="S45" s="1573">
        <f t="shared" si="12"/>
        <v>100</v>
      </c>
      <c r="T45" s="1572" t="s">
        <v>8</v>
      </c>
      <c r="U45" s="1573">
        <f t="shared" si="13"/>
        <v>100</v>
      </c>
      <c r="V45" s="1572" t="s">
        <v>8</v>
      </c>
      <c r="W45" s="1573">
        <f t="shared" si="14"/>
        <v>100</v>
      </c>
      <c r="X45" s="1566"/>
      <c r="Y45" s="3595"/>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691"/>
      <c r="Q46" s="1571">
        <f t="shared" si="11"/>
        <v>111</v>
      </c>
      <c r="R46" s="1572" t="s">
        <v>8</v>
      </c>
      <c r="S46" s="1573">
        <f t="shared" si="12"/>
        <v>100</v>
      </c>
      <c r="T46" s="1572" t="s">
        <v>8</v>
      </c>
      <c r="U46" s="1573">
        <f t="shared" si="13"/>
        <v>100</v>
      </c>
      <c r="V46" s="1572" t="s">
        <v>8</v>
      </c>
      <c r="W46" s="1573">
        <f t="shared" si="14"/>
        <v>100</v>
      </c>
      <c r="X46" s="1566"/>
      <c r="Y46" s="3691"/>
      <c r="Z46" s="1574">
        <f t="shared" si="15"/>
        <v>111</v>
      </c>
      <c r="AA46" s="1575">
        <f t="shared" si="3"/>
        <v>1</v>
      </c>
      <c r="AB46" s="1575">
        <f t="shared" si="4"/>
        <v>1</v>
      </c>
      <c r="AC46" s="1575">
        <f t="shared" si="5"/>
        <v>1</v>
      </c>
    </row>
    <row r="47" spans="1:29" ht="15">
      <c r="A47" s="605" t="s">
        <v>736</v>
      </c>
      <c r="B47" s="885"/>
      <c r="C47" s="2649" t="s">
        <v>1</v>
      </c>
      <c r="D47" s="2650"/>
      <c r="E47" s="2651"/>
      <c r="F47" s="2652"/>
      <c r="G47" s="2653"/>
      <c r="H47" s="2654"/>
      <c r="I47" s="2651"/>
      <c r="J47" s="2654"/>
      <c r="K47" s="1610"/>
      <c r="L47" s="2144"/>
      <c r="M47" s="2145"/>
      <c r="N47" s="2134"/>
      <c r="O47" s="2145"/>
      <c r="P47" s="3590" t="str">
        <f>A47</f>
        <v>成交单价（元/平方米）</v>
      </c>
      <c r="Q47" s="3590"/>
      <c r="R47" s="3690">
        <f>E47</f>
        <v>0</v>
      </c>
      <c r="S47" s="3690"/>
      <c r="T47" s="3690">
        <f>G47</f>
        <v>0</v>
      </c>
      <c r="U47" s="3690"/>
      <c r="V47" s="3690">
        <f>I47</f>
        <v>0</v>
      </c>
      <c r="W47" s="3690"/>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11"/>
      <c r="L48" s="2144"/>
      <c r="M48" s="2145"/>
      <c r="N48" s="2134"/>
      <c r="O48" s="2145"/>
      <c r="P48" s="3590" t="str">
        <f>A48</f>
        <v>比较价格（元/平方米）</v>
      </c>
      <c r="Q48" s="3590"/>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12"/>
      <c r="L49" s="2144"/>
      <c r="M49" s="2145"/>
      <c r="N49" s="2134"/>
      <c r="O49" s="2145"/>
      <c r="P49" s="3611" t="str">
        <f>A49</f>
        <v>估价对象XX用房的比较价格（楼面单价，元/平方米）</v>
      </c>
      <c r="Q49" s="3612"/>
      <c r="R49" s="3689" t="e">
        <f>IF(F1="售价",ROUND(AVERAGE(R48:V48),0),ROUND(AVERAGE(R48:V48),1))</f>
        <v>#DIV/0!</v>
      </c>
      <c r="S49" s="3689"/>
      <c r="T49" s="3689"/>
      <c r="U49" s="3689"/>
      <c r="V49" s="3689"/>
      <c r="W49" s="36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2560</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4" zoomScale="80" zoomScaleNormal="80" workbookViewId="0">
      <selection activeCell="L54" sqref="L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29" t="s">
        <v>3024</v>
      </c>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f>ROUND(B3*D3/10000,0)</f>
        <v>47136</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f>C50</f>
        <v>47136</v>
      </c>
      <c r="C3" s="850" t="s">
        <v>722</v>
      </c>
      <c r="D3" s="849">
        <f>SUMIF('数据-汇总表'!$C19:$C33,D1,'数据-汇总表'!$E19:$E33)</f>
        <v>10000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596" t="s">
        <v>522</v>
      </c>
      <c r="D4" s="3597"/>
      <c r="E4" s="3620" t="s">
        <v>523</v>
      </c>
      <c r="F4" s="3621"/>
      <c r="G4" s="3596" t="s">
        <v>524</v>
      </c>
      <c r="H4" s="3597"/>
      <c r="I4" s="3596" t="s">
        <v>525</v>
      </c>
      <c r="J4" s="3597"/>
      <c r="K4" s="512" t="s">
        <v>526</v>
      </c>
      <c r="L4" s="2133"/>
      <c r="M4" s="2134"/>
      <c r="N4" s="2134"/>
      <c r="O4" s="2134"/>
      <c r="P4" s="3696" t="s">
        <v>527</v>
      </c>
      <c r="Q4" s="3599"/>
      <c r="R4" s="3584" t="s">
        <v>523</v>
      </c>
      <c r="S4" s="3585"/>
      <c r="T4" s="3584" t="s">
        <v>524</v>
      </c>
      <c r="U4" s="3585"/>
      <c r="V4" s="3604" t="s">
        <v>525</v>
      </c>
      <c r="W4" s="3604"/>
      <c r="X4" s="1566"/>
      <c r="Y4" s="3584" t="s">
        <v>527</v>
      </c>
      <c r="Z4" s="3585"/>
      <c r="AA4" s="3579" t="s">
        <v>523</v>
      </c>
      <c r="AB4" s="3579" t="s">
        <v>524</v>
      </c>
      <c r="AC4" s="3579" t="s">
        <v>525</v>
      </c>
    </row>
    <row r="5" spans="1:29" ht="15">
      <c r="A5" s="513"/>
      <c r="B5" s="514"/>
      <c r="C5" s="3607" t="s">
        <v>2930</v>
      </c>
      <c r="D5" s="3608"/>
      <c r="E5" s="3622" t="s">
        <v>2931</v>
      </c>
      <c r="F5" s="3623"/>
      <c r="G5" s="3607" t="s">
        <v>2932</v>
      </c>
      <c r="H5" s="3608"/>
      <c r="I5" s="3607" t="s">
        <v>2933</v>
      </c>
      <c r="J5" s="3608"/>
      <c r="K5" s="512"/>
      <c r="L5" s="2133"/>
      <c r="M5" s="2134"/>
      <c r="N5" s="2134"/>
      <c r="O5" s="2134"/>
      <c r="P5" s="3697"/>
      <c r="Q5" s="3601"/>
      <c r="R5" s="3586"/>
      <c r="S5" s="3587"/>
      <c r="T5" s="3586"/>
      <c r="U5" s="3587"/>
      <c r="V5" s="3604"/>
      <c r="W5" s="3604"/>
      <c r="X5" s="1566"/>
      <c r="Y5" s="3586"/>
      <c r="Z5" s="3587"/>
      <c r="AA5" s="3580"/>
      <c r="AB5" s="3580"/>
      <c r="AC5" s="3580"/>
    </row>
    <row r="6" spans="1:29" ht="15.75" customHeight="1" thickBot="1">
      <c r="A6" s="515"/>
      <c r="B6" s="516"/>
      <c r="C6" s="3692" t="s">
        <v>3098</v>
      </c>
      <c r="D6" s="3693"/>
      <c r="E6" s="3694" t="s">
        <v>3049</v>
      </c>
      <c r="F6" s="3625"/>
      <c r="G6" s="3695" t="s">
        <v>3114</v>
      </c>
      <c r="H6" s="3606"/>
      <c r="I6" s="3695" t="s">
        <v>3099</v>
      </c>
      <c r="J6" s="3606"/>
      <c r="K6" s="512" t="s">
        <v>528</v>
      </c>
      <c r="L6" s="2133"/>
      <c r="M6" s="2134"/>
      <c r="N6" s="2134"/>
      <c r="O6" s="2134"/>
      <c r="P6" s="3698"/>
      <c r="Q6" s="3603"/>
      <c r="R6" s="3586"/>
      <c r="S6" s="3587"/>
      <c r="T6" s="3588"/>
      <c r="U6" s="3589"/>
      <c r="V6" s="3604"/>
      <c r="W6" s="3604"/>
      <c r="X6" s="1566"/>
      <c r="Y6" s="3588"/>
      <c r="Z6" s="3589"/>
      <c r="AA6" s="3581"/>
      <c r="AB6" s="3581"/>
      <c r="AC6" s="3581"/>
    </row>
    <row r="7" spans="1:29" s="1218" customFormat="1" ht="15.75" thickBot="1">
      <c r="A7" s="2934"/>
      <c r="B7" s="2941" t="s">
        <v>529</v>
      </c>
      <c r="C7" s="517">
        <f>'数据-取费表'!B2</f>
        <v>43230</v>
      </c>
      <c r="D7" s="518">
        <v>100</v>
      </c>
      <c r="E7" s="519">
        <v>43221</v>
      </c>
      <c r="F7" s="520">
        <f>SUMIF(59:59,YEAR(E7)&amp;"-"&amp;MONTH(E7),60:60)</f>
        <v>100</v>
      </c>
      <c r="G7" s="519">
        <v>43221</v>
      </c>
      <c r="H7" s="518">
        <f>SUMIF(59:59,YEAR(G7)&amp;"-"&amp;MONTH(G7),60:60)</f>
        <v>100</v>
      </c>
      <c r="I7" s="519">
        <v>43221</v>
      </c>
      <c r="J7" s="518">
        <f>SUMIF(59:59,YEAR(I7)&amp;"-"&amp;MONTH(I7),60:60)</f>
        <v>100</v>
      </c>
      <c r="K7" s="522"/>
      <c r="L7" s="2135"/>
      <c r="M7" s="2136"/>
      <c r="N7" s="2136"/>
      <c r="O7" s="2136"/>
      <c r="P7" s="3591" t="s">
        <v>530</v>
      </c>
      <c r="Q7" s="3591"/>
      <c r="R7" s="1567" t="s">
        <v>8</v>
      </c>
      <c r="S7" s="1568">
        <f t="shared" ref="S7:S15" si="0">F7</f>
        <v>100</v>
      </c>
      <c r="T7" s="1567" t="s">
        <v>8</v>
      </c>
      <c r="U7" s="1568">
        <f t="shared" ref="U7:U15" si="1">H7</f>
        <v>100</v>
      </c>
      <c r="V7" s="1567" t="s">
        <v>8</v>
      </c>
      <c r="W7" s="1568">
        <f t="shared" ref="W7:W15" si="2">J7</f>
        <v>100</v>
      </c>
      <c r="X7" s="1569"/>
      <c r="Y7" s="3582" t="s">
        <v>530</v>
      </c>
      <c r="Z7" s="3583"/>
      <c r="AA7" s="1570">
        <f>D7/F7</f>
        <v>1</v>
      </c>
      <c r="AB7" s="1570">
        <f>D7/H7</f>
        <v>1</v>
      </c>
      <c r="AC7" s="1570">
        <f>D7/J7</f>
        <v>1</v>
      </c>
    </row>
    <row r="8" spans="1:29" s="1218" customFormat="1" ht="15.75" thickBot="1">
      <c r="A8" s="2935"/>
      <c r="B8" s="2942" t="s">
        <v>531</v>
      </c>
      <c r="C8" s="523" t="s">
        <v>576</v>
      </c>
      <c r="D8" s="518">
        <v>100</v>
      </c>
      <c r="E8" s="523" t="s">
        <v>3050</v>
      </c>
      <c r="F8" s="520">
        <f>SUMIF(62:62,E8,63:63)-SUMIF(62:62,C8,63:63)+100</f>
        <v>100</v>
      </c>
      <c r="G8" s="523" t="s">
        <v>3050</v>
      </c>
      <c r="H8" s="518">
        <f>SUMIF(62:62,G8,63:63)-SUMIF(62:62,C8,63:63)+100</f>
        <v>100</v>
      </c>
      <c r="I8" s="523" t="s">
        <v>3050</v>
      </c>
      <c r="J8" s="518">
        <f>SUMIF(62:62,I8,63:63)-SUMIF(62:62,C8,63:63)+100</f>
        <v>100</v>
      </c>
      <c r="K8" s="522"/>
      <c r="L8" s="2135"/>
      <c r="M8" s="2136"/>
      <c r="N8" s="2136"/>
      <c r="O8" s="2136"/>
      <c r="P8" s="3591" t="s">
        <v>533</v>
      </c>
      <c r="Q8" s="3583"/>
      <c r="R8" s="1567" t="s">
        <v>8</v>
      </c>
      <c r="S8" s="1568">
        <f t="shared" si="0"/>
        <v>100</v>
      </c>
      <c r="T8" s="1567" t="s">
        <v>8</v>
      </c>
      <c r="U8" s="1568">
        <f t="shared" si="1"/>
        <v>100</v>
      </c>
      <c r="V8" s="1567" t="s">
        <v>8</v>
      </c>
      <c r="W8" s="1568">
        <f t="shared" si="2"/>
        <v>100</v>
      </c>
      <c r="X8" s="1569"/>
      <c r="Y8" s="3582" t="s">
        <v>533</v>
      </c>
      <c r="Z8" s="3583"/>
      <c r="AA8" s="1570">
        <f t="shared" ref="AA8:AA47" si="3">D8/F8</f>
        <v>1</v>
      </c>
      <c r="AB8" s="1570">
        <f t="shared" ref="AB8:AB47" si="4">D8/H8</f>
        <v>1</v>
      </c>
      <c r="AC8" s="1570">
        <f t="shared" ref="AC8:AC47" si="5">D8/J8</f>
        <v>1</v>
      </c>
    </row>
    <row r="9" spans="1:29" s="1218" customFormat="1" ht="15">
      <c r="A9" s="2936"/>
      <c r="B9" s="2943" t="s">
        <v>2760</v>
      </c>
      <c r="C9" s="3191" t="s">
        <v>3025</v>
      </c>
      <c r="D9" s="252">
        <v>100</v>
      </c>
      <c r="E9" s="858" t="s">
        <v>1678</v>
      </c>
      <c r="F9" s="252">
        <f>SUMIF(64:64,E9,65:65)-SUMIF(64:64,C9,65:65)+100</f>
        <v>100</v>
      </c>
      <c r="G9" s="856" t="s">
        <v>1678</v>
      </c>
      <c r="H9" s="252">
        <f>SUMIF(64:64,G9,65:65)-SUMIF(64:64,C9,65:65)+100</f>
        <v>100</v>
      </c>
      <c r="I9" s="856" t="s">
        <v>1678</v>
      </c>
      <c r="J9" s="252">
        <f>SUMIF(64:64,I9,65:65)-SUMIF(64:64,C9,65:65)+100</f>
        <v>100</v>
      </c>
      <c r="K9" s="522"/>
      <c r="L9" s="2135"/>
      <c r="M9" s="2136"/>
      <c r="N9" s="2136"/>
      <c r="O9" s="2136"/>
      <c r="P9" s="3590" t="s">
        <v>535</v>
      </c>
      <c r="Q9" s="1149" t="str">
        <f t="shared" ref="Q9:Q15" si="6">B9</f>
        <v>用途</v>
      </c>
      <c r="R9" s="1567" t="s">
        <v>8</v>
      </c>
      <c r="S9" s="1568">
        <f t="shared" si="0"/>
        <v>100</v>
      </c>
      <c r="T9" s="1567" t="s">
        <v>8</v>
      </c>
      <c r="U9" s="1568">
        <f t="shared" si="1"/>
        <v>100</v>
      </c>
      <c r="V9" s="1567" t="s">
        <v>8</v>
      </c>
      <c r="W9" s="1568">
        <f t="shared" si="2"/>
        <v>100</v>
      </c>
      <c r="X9" s="1569"/>
      <c r="Y9" s="3432" t="s">
        <v>536</v>
      </c>
      <c r="Z9" s="1148" t="str">
        <f t="shared" ref="Z9:Z15" si="7">Q9</f>
        <v>用途</v>
      </c>
      <c r="AA9" s="1570">
        <f t="shared" si="3"/>
        <v>1</v>
      </c>
      <c r="AB9" s="1570">
        <f t="shared" si="4"/>
        <v>1</v>
      </c>
      <c r="AC9" s="1570">
        <f t="shared" si="5"/>
        <v>1</v>
      </c>
    </row>
    <row r="10" spans="1:29" s="1336" customFormat="1" ht="27.75" thickBot="1">
      <c r="A10" s="2937"/>
      <c r="B10" s="2942" t="s">
        <v>2761</v>
      </c>
      <c r="C10" s="859" t="s">
        <v>3026</v>
      </c>
      <c r="D10" s="253">
        <v>100</v>
      </c>
      <c r="E10" s="859" t="s">
        <v>3051</v>
      </c>
      <c r="F10" s="253">
        <f>SUMIF(66:66,E10,67:67)-SUMIF(66:66,C10,67:67)+100</f>
        <v>99</v>
      </c>
      <c r="G10" s="860" t="s">
        <v>3051</v>
      </c>
      <c r="H10" s="253">
        <f>SUMIF(66:66,G10,67:67)-SUMIF(66:66,C10,67:67)+100</f>
        <v>99</v>
      </c>
      <c r="I10" s="859" t="s">
        <v>3051</v>
      </c>
      <c r="J10" s="253">
        <f>SUMIF(66:66,I10,67:67)-SUMIF(66:66,C10,67:67)+100</f>
        <v>99</v>
      </c>
      <c r="K10" s="582">
        <v>1</v>
      </c>
      <c r="L10" s="2138"/>
      <c r="M10" s="2178"/>
      <c r="N10" s="2178"/>
      <c r="O10" s="2178"/>
      <c r="P10" s="3590"/>
      <c r="Q10" s="1149" t="str">
        <f t="shared" si="6"/>
        <v>土地使用年限（年）</v>
      </c>
      <c r="R10" s="1567" t="s">
        <v>8</v>
      </c>
      <c r="S10" s="1568">
        <f t="shared" si="0"/>
        <v>99</v>
      </c>
      <c r="T10" s="1567" t="s">
        <v>8</v>
      </c>
      <c r="U10" s="1568">
        <f t="shared" si="1"/>
        <v>99</v>
      </c>
      <c r="V10" s="1567" t="s">
        <v>8</v>
      </c>
      <c r="W10" s="1568">
        <f t="shared" si="2"/>
        <v>99</v>
      </c>
      <c r="X10" s="1569"/>
      <c r="Y10" s="3432"/>
      <c r="Z10" s="1148" t="str">
        <f t="shared" si="7"/>
        <v>土地使用年限（年）</v>
      </c>
      <c r="AA10" s="1570">
        <f t="shared" si="3"/>
        <v>1.0101010101010102</v>
      </c>
      <c r="AB10" s="1570">
        <f t="shared" si="4"/>
        <v>1.0101010101010102</v>
      </c>
      <c r="AC10" s="1570">
        <f t="shared" si="5"/>
        <v>1.0101010101010102</v>
      </c>
    </row>
    <row r="11" spans="1:29" ht="15" hidden="1">
      <c r="A11" s="2938"/>
      <c r="B11" s="2942"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40"/>
      <c r="M11" s="2134"/>
      <c r="N11" s="2134"/>
      <c r="O11" s="2134"/>
      <c r="P11" s="3590"/>
      <c r="Q11" s="1149" t="str">
        <f t="shared" si="6"/>
        <v>容积率</v>
      </c>
      <c r="R11" s="1567" t="s">
        <v>8</v>
      </c>
      <c r="S11" s="1568">
        <f t="shared" si="0"/>
        <v>100</v>
      </c>
      <c r="T11" s="1567" t="s">
        <v>8</v>
      </c>
      <c r="U11" s="1568">
        <f t="shared" si="1"/>
        <v>100</v>
      </c>
      <c r="V11" s="1567" t="s">
        <v>8</v>
      </c>
      <c r="W11" s="1568">
        <f t="shared" si="2"/>
        <v>100</v>
      </c>
      <c r="X11" s="1569"/>
      <c r="Y11" s="3432"/>
      <c r="Z11" s="1148" t="str">
        <f t="shared" si="7"/>
        <v>容积率</v>
      </c>
      <c r="AA11" s="1570">
        <f t="shared" si="3"/>
        <v>1</v>
      </c>
      <c r="AB11" s="1570">
        <f t="shared" si="4"/>
        <v>1</v>
      </c>
      <c r="AC11" s="1570">
        <f t="shared" si="5"/>
        <v>1</v>
      </c>
    </row>
    <row r="12" spans="1:29" s="1218" customFormat="1" ht="15" hidden="1">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590"/>
      <c r="Q12" s="1149">
        <f t="shared" si="6"/>
        <v>111</v>
      </c>
      <c r="R12" s="1567" t="s">
        <v>8</v>
      </c>
      <c r="S12" s="1568">
        <f t="shared" si="0"/>
        <v>100</v>
      </c>
      <c r="T12" s="1567" t="s">
        <v>8</v>
      </c>
      <c r="U12" s="1568">
        <f t="shared" si="1"/>
        <v>100</v>
      </c>
      <c r="V12" s="1567" t="s">
        <v>8</v>
      </c>
      <c r="W12" s="1568">
        <f t="shared" si="2"/>
        <v>100</v>
      </c>
      <c r="X12" s="1569"/>
      <c r="Y12" s="3432"/>
      <c r="Z12" s="1148">
        <f t="shared" si="7"/>
        <v>111</v>
      </c>
      <c r="AA12" s="1570">
        <f>D12/F12</f>
        <v>1</v>
      </c>
      <c r="AB12" s="1570">
        <f>D12/H12</f>
        <v>1</v>
      </c>
      <c r="AC12" s="1570">
        <f>D12/J12</f>
        <v>1</v>
      </c>
    </row>
    <row r="13" spans="1:29" ht="15" hidden="1">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590"/>
      <c r="Q13" s="1149">
        <f t="shared" si="6"/>
        <v>111</v>
      </c>
      <c r="R13" s="1567" t="s">
        <v>8</v>
      </c>
      <c r="S13" s="1568">
        <f t="shared" si="0"/>
        <v>100</v>
      </c>
      <c r="T13" s="1567" t="s">
        <v>8</v>
      </c>
      <c r="U13" s="1568">
        <f t="shared" si="1"/>
        <v>100</v>
      </c>
      <c r="V13" s="1567" t="s">
        <v>8</v>
      </c>
      <c r="W13" s="1568">
        <f t="shared" si="2"/>
        <v>100</v>
      </c>
      <c r="X13" s="1569"/>
      <c r="Y13" s="3432"/>
      <c r="Z13" s="1148">
        <f t="shared" si="7"/>
        <v>111</v>
      </c>
      <c r="AA13" s="1570">
        <f t="shared" si="3"/>
        <v>1</v>
      </c>
      <c r="AB13" s="1570">
        <f t="shared" si="4"/>
        <v>1</v>
      </c>
      <c r="AC13" s="1570">
        <f t="shared" si="5"/>
        <v>1</v>
      </c>
    </row>
    <row r="14" spans="1:29" ht="15.75" hidden="1"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590"/>
      <c r="Q14" s="1149">
        <f t="shared" si="6"/>
        <v>111</v>
      </c>
      <c r="R14" s="1567" t="s">
        <v>8</v>
      </c>
      <c r="S14" s="1568">
        <f t="shared" si="0"/>
        <v>100</v>
      </c>
      <c r="T14" s="1567" t="s">
        <v>8</v>
      </c>
      <c r="U14" s="1568">
        <f t="shared" si="1"/>
        <v>100</v>
      </c>
      <c r="V14" s="1567" t="s">
        <v>8</v>
      </c>
      <c r="W14" s="1568">
        <f t="shared" si="2"/>
        <v>100</v>
      </c>
      <c r="X14" s="1569"/>
      <c r="Y14" s="3432"/>
      <c r="Z14" s="1148">
        <f t="shared" si="7"/>
        <v>111</v>
      </c>
      <c r="AA14" s="1570">
        <f t="shared" si="3"/>
        <v>1</v>
      </c>
      <c r="AB14" s="1570">
        <f t="shared" si="4"/>
        <v>1</v>
      </c>
      <c r="AC14" s="1570">
        <f t="shared" si="5"/>
        <v>1</v>
      </c>
    </row>
    <row r="15" spans="1:29" ht="99.75">
      <c r="A15" s="2932" t="s">
        <v>2758</v>
      </c>
      <c r="B15" s="545" t="s">
        <v>542</v>
      </c>
      <c r="C15" s="546" t="str">
        <f>估价对象房地状况!C5</f>
        <v>估价对象位于西直门商圈，估价对象周边主要以居住为主，办公楼项目较少，办公集聚程度一般。</v>
      </c>
      <c r="D15" s="547">
        <v>100</v>
      </c>
      <c r="E15" s="3240" t="s">
        <v>3103</v>
      </c>
      <c r="F15" s="547">
        <f>SUMIF(77:77,E16,78:78)-SUMIF(77:77,C16,78:78)+100</f>
        <v>102</v>
      </c>
      <c r="G15" s="3241" t="s">
        <v>3104</v>
      </c>
      <c r="H15" s="547">
        <f>SUMIF(77:77,G16,78:78)-SUMIF(77:77,C16,78:78)+100</f>
        <v>102</v>
      </c>
      <c r="I15" s="3241" t="s">
        <v>3095</v>
      </c>
      <c r="J15" s="547">
        <f>SUMIF(77:77,I16,78:78)-SUMIF(77:77,C16,78:78)+100</f>
        <v>102</v>
      </c>
      <c r="K15" s="896">
        <v>2</v>
      </c>
      <c r="L15" s="2142"/>
      <c r="M15" s="2134"/>
      <c r="N15" s="2134"/>
      <c r="O15" s="2134"/>
      <c r="P15" s="3592" t="s">
        <v>540</v>
      </c>
      <c r="Q15" s="1571" t="str">
        <f t="shared" si="6"/>
        <v>办公集聚程度</v>
      </c>
      <c r="R15" s="1572" t="s">
        <v>8</v>
      </c>
      <c r="S15" s="1573">
        <f t="shared" si="0"/>
        <v>102</v>
      </c>
      <c r="T15" s="1572" t="s">
        <v>8</v>
      </c>
      <c r="U15" s="1573">
        <f t="shared" si="1"/>
        <v>102</v>
      </c>
      <c r="V15" s="1572" t="s">
        <v>8</v>
      </c>
      <c r="W15" s="1573">
        <f t="shared" si="2"/>
        <v>102</v>
      </c>
      <c r="X15" s="1566"/>
      <c r="Y15" s="3592" t="s">
        <v>540</v>
      </c>
      <c r="Z15" s="1574" t="str">
        <f t="shared" si="7"/>
        <v>办公集聚程度</v>
      </c>
      <c r="AA15" s="1575">
        <f t="shared" si="3"/>
        <v>0.98039215686274506</v>
      </c>
      <c r="AB15" s="1575">
        <f t="shared" si="4"/>
        <v>0.98039215686274506</v>
      </c>
      <c r="AC15" s="1575">
        <f t="shared" si="5"/>
        <v>0.98039215686274506</v>
      </c>
    </row>
    <row r="16" spans="1:29" ht="15">
      <c r="A16" s="530"/>
      <c r="B16" s="551"/>
      <c r="C16" s="552" t="s">
        <v>3052</v>
      </c>
      <c r="D16" s="553"/>
      <c r="E16" s="574" t="s">
        <v>3027</v>
      </c>
      <c r="F16" s="553"/>
      <c r="G16" s="552" t="s">
        <v>3027</v>
      </c>
      <c r="H16" s="557"/>
      <c r="I16" s="574" t="s">
        <v>3027</v>
      </c>
      <c r="J16" s="553"/>
      <c r="K16" s="897"/>
      <c r="L16" s="2142"/>
      <c r="M16" s="2134"/>
      <c r="N16" s="2134"/>
      <c r="O16" s="2134"/>
      <c r="P16" s="3593"/>
      <c r="Q16" s="1571"/>
      <c r="R16" s="1572"/>
      <c r="S16" s="1573"/>
      <c r="T16" s="1572"/>
      <c r="U16" s="1573"/>
      <c r="V16" s="1572"/>
      <c r="W16" s="1573"/>
      <c r="X16" s="1566"/>
      <c r="Y16" s="3593"/>
      <c r="Z16" s="1574"/>
      <c r="AA16" s="1575">
        <v>1</v>
      </c>
      <c r="AB16" s="1575">
        <v>1</v>
      </c>
      <c r="AC16" s="1575">
        <v>1</v>
      </c>
    </row>
    <row r="17" spans="1:29" ht="294">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3097</v>
      </c>
      <c r="F17" s="557">
        <f>SUMIF(79:79,E18,80:80)-SUMIF(79:79,C18,80:80)+100</f>
        <v>100</v>
      </c>
      <c r="G17" s="560" t="s">
        <v>3105</v>
      </c>
      <c r="H17" s="563">
        <f>SUMIF(79:79,G18,80:80)-SUMIF(79:79,C18,80:80)+100</f>
        <v>100</v>
      </c>
      <c r="I17" s="562" t="s">
        <v>3106</v>
      </c>
      <c r="J17" s="563">
        <f>SUMIF(79:79,I18,80:80)-SUMIF(79:79,C18,80:80)+100</f>
        <v>99</v>
      </c>
      <c r="K17" s="896">
        <v>1</v>
      </c>
      <c r="L17" s="2142"/>
      <c r="M17" s="2134"/>
      <c r="N17" s="2134"/>
      <c r="O17" s="2134"/>
      <c r="P17" s="3593"/>
      <c r="Q17" s="1571" t="str">
        <f>B17</f>
        <v>交通便捷度</v>
      </c>
      <c r="R17" s="1572" t="s">
        <v>8</v>
      </c>
      <c r="S17" s="1573">
        <f>F17</f>
        <v>100</v>
      </c>
      <c r="T17" s="1572" t="s">
        <v>8</v>
      </c>
      <c r="U17" s="1573">
        <f>H17</f>
        <v>100</v>
      </c>
      <c r="V17" s="1572" t="s">
        <v>8</v>
      </c>
      <c r="W17" s="1573">
        <f>J17</f>
        <v>99</v>
      </c>
      <c r="X17" s="1566"/>
      <c r="Y17" s="3593"/>
      <c r="Z17" s="1574" t="str">
        <f>Q17</f>
        <v>交通便捷度</v>
      </c>
      <c r="AA17" s="1575">
        <f t="shared" si="3"/>
        <v>1</v>
      </c>
      <c r="AB17" s="1575">
        <f t="shared" si="4"/>
        <v>1</v>
      </c>
      <c r="AC17" s="1575">
        <f t="shared" si="5"/>
        <v>1.0101010101010102</v>
      </c>
    </row>
    <row r="18" spans="1:29" ht="15">
      <c r="A18" s="530"/>
      <c r="B18" s="564"/>
      <c r="C18" s="565" t="s">
        <v>3027</v>
      </c>
      <c r="D18" s="557"/>
      <c r="E18" s="567" t="s">
        <v>3027</v>
      </c>
      <c r="F18" s="557"/>
      <c r="G18" s="566" t="s">
        <v>3027</v>
      </c>
      <c r="H18" s="553"/>
      <c r="I18" s="566" t="s">
        <v>3052</v>
      </c>
      <c r="J18" s="553"/>
      <c r="K18" s="897"/>
      <c r="L18" s="2142"/>
      <c r="M18" s="2134"/>
      <c r="N18" s="2134"/>
      <c r="O18" s="2134"/>
      <c r="P18" s="3593"/>
      <c r="Q18" s="1571"/>
      <c r="R18" s="1572"/>
      <c r="S18" s="1573"/>
      <c r="T18" s="1572"/>
      <c r="U18" s="1573"/>
      <c r="V18" s="1572"/>
      <c r="W18" s="1573"/>
      <c r="X18" s="1566"/>
      <c r="Y18" s="3593"/>
      <c r="Z18" s="1574"/>
      <c r="AA18" s="1575">
        <v>1</v>
      </c>
      <c r="AB18" s="1575">
        <v>1</v>
      </c>
      <c r="AC18" s="1575">
        <v>1</v>
      </c>
    </row>
    <row r="19" spans="1:29" ht="42.75">
      <c r="A19" s="530"/>
      <c r="B19" s="2625" t="s">
        <v>2550</v>
      </c>
      <c r="C19" s="571" t="str">
        <f>估价对象房地状况!C7</f>
        <v>估价对象所在区域公共配套设施齐备</v>
      </c>
      <c r="D19" s="563">
        <v>100</v>
      </c>
      <c r="E19" s="3192" t="s">
        <v>3093</v>
      </c>
      <c r="F19" s="563">
        <f>SUMIF(81:81,E20,82:82)-SUMIF(81:81,C20,82:82)+100</f>
        <v>100</v>
      </c>
      <c r="G19" s="3192" t="s">
        <v>3093</v>
      </c>
      <c r="H19" s="557">
        <f>SUMIF(81:81,G20,82:82)-SUMIF(81:81,C20,82:82)+100</f>
        <v>100</v>
      </c>
      <c r="I19" s="3192" t="s">
        <v>3093</v>
      </c>
      <c r="J19" s="557">
        <f>SUMIF(81:81,I20,82:82)-SUMIF(81:81,C20,82:82)+100</f>
        <v>100</v>
      </c>
      <c r="K19" s="896"/>
      <c r="L19" s="2142"/>
      <c r="M19" s="2134"/>
      <c r="N19" s="2134"/>
      <c r="O19" s="2134"/>
      <c r="P19" s="3593"/>
      <c r="Q19" s="1571" t="str">
        <f>B19</f>
        <v>公共配套设施</v>
      </c>
      <c r="R19" s="1572" t="s">
        <v>8</v>
      </c>
      <c r="S19" s="1573">
        <f>F19</f>
        <v>100</v>
      </c>
      <c r="T19" s="1572" t="s">
        <v>8</v>
      </c>
      <c r="U19" s="1573">
        <f>H19</f>
        <v>100</v>
      </c>
      <c r="V19" s="1572" t="s">
        <v>8</v>
      </c>
      <c r="W19" s="1573">
        <f>J19</f>
        <v>100</v>
      </c>
      <c r="X19" s="1566"/>
      <c r="Y19" s="3593"/>
      <c r="Z19" s="1574" t="str">
        <f>Q19</f>
        <v>公共配套设施</v>
      </c>
      <c r="AA19" s="1575">
        <f t="shared" si="3"/>
        <v>1</v>
      </c>
      <c r="AB19" s="1575">
        <f t="shared" si="4"/>
        <v>1</v>
      </c>
      <c r="AC19" s="1575">
        <f t="shared" si="5"/>
        <v>1</v>
      </c>
    </row>
    <row r="20" spans="1:29" ht="15">
      <c r="A20" s="530"/>
      <c r="B20" s="564"/>
      <c r="C20" s="552" t="s">
        <v>3028</v>
      </c>
      <c r="D20" s="553"/>
      <c r="E20" s="556" t="s">
        <v>3028</v>
      </c>
      <c r="F20" s="553"/>
      <c r="G20" s="554" t="s">
        <v>3028</v>
      </c>
      <c r="H20" s="553"/>
      <c r="I20" s="554" t="s">
        <v>3028</v>
      </c>
      <c r="J20" s="553"/>
      <c r="K20" s="897"/>
      <c r="L20" s="2142"/>
      <c r="M20" s="2134"/>
      <c r="N20" s="2134"/>
      <c r="O20" s="2134"/>
      <c r="P20" s="3593"/>
      <c r="Q20" s="1571"/>
      <c r="R20" s="1572"/>
      <c r="S20" s="1573"/>
      <c r="T20" s="1572"/>
      <c r="U20" s="1573"/>
      <c r="V20" s="1572"/>
      <c r="W20" s="1573"/>
      <c r="X20" s="1566"/>
      <c r="Y20" s="3593"/>
      <c r="Z20" s="1574"/>
      <c r="AA20" s="1575">
        <v>1</v>
      </c>
      <c r="AB20" s="1575">
        <v>1</v>
      </c>
      <c r="AC20" s="1575">
        <v>1</v>
      </c>
    </row>
    <row r="21" spans="1:29" ht="42.75">
      <c r="A21" s="530"/>
      <c r="B21" s="2613" t="s">
        <v>2562</v>
      </c>
      <c r="C21" s="571" t="str">
        <f>估价对象房地状况!C8</f>
        <v>估价对象所在区域基础设施水平达到七通</v>
      </c>
      <c r="D21" s="563">
        <v>100</v>
      </c>
      <c r="E21" s="3192" t="s">
        <v>3094</v>
      </c>
      <c r="F21" s="563">
        <f>SUMIF(83:83,E22,84:84)-SUMIF(83:83,C22,84:84)+100</f>
        <v>100</v>
      </c>
      <c r="G21" s="3192" t="s">
        <v>3094</v>
      </c>
      <c r="H21" s="563">
        <f>SUMIF(83:83,G22,84:84)-SUMIF(83:83,C22,84:84)+100</f>
        <v>100</v>
      </c>
      <c r="I21" s="3192" t="s">
        <v>3094</v>
      </c>
      <c r="J21" s="563">
        <f>SUMIF(83:83,I22,84:84)-SUMIF(83:83,C22,84:84)+100</f>
        <v>100</v>
      </c>
      <c r="K21" s="896"/>
      <c r="L21" s="2142"/>
      <c r="M21" s="2134"/>
      <c r="N21" s="2134"/>
      <c r="O21" s="2134"/>
      <c r="P21" s="3593"/>
      <c r="Q21" s="2601" t="str">
        <f>B21</f>
        <v>基础设施水平</v>
      </c>
      <c r="R21" s="1572" t="s">
        <v>8</v>
      </c>
      <c r="S21" s="1573">
        <f>F21</f>
        <v>100</v>
      </c>
      <c r="T21" s="1572" t="s">
        <v>8</v>
      </c>
      <c r="U21" s="1573">
        <f>H21</f>
        <v>100</v>
      </c>
      <c r="V21" s="1572" t="s">
        <v>8</v>
      </c>
      <c r="W21" s="1573">
        <f>J21</f>
        <v>100</v>
      </c>
      <c r="X21" s="2603"/>
      <c r="Y21" s="3593"/>
      <c r="Z21" s="2602" t="str">
        <f>Q21</f>
        <v>基础设施水平</v>
      </c>
      <c r="AA21" s="1575">
        <f t="shared" ref="AA21" si="8">D21/F21</f>
        <v>1</v>
      </c>
      <c r="AB21" s="1575">
        <f t="shared" ref="AB21" si="9">D21/H21</f>
        <v>1</v>
      </c>
      <c r="AC21" s="1575">
        <f t="shared" ref="AC21" si="10">D21/J21</f>
        <v>1</v>
      </c>
    </row>
    <row r="22" spans="1:29" ht="15">
      <c r="A22" s="530"/>
      <c r="B22" s="576"/>
      <c r="C22" s="565" t="s">
        <v>3029</v>
      </c>
      <c r="D22" s="553"/>
      <c r="E22" s="574" t="s">
        <v>3029</v>
      </c>
      <c r="F22" s="553"/>
      <c r="G22" s="552" t="s">
        <v>3029</v>
      </c>
      <c r="H22" s="553"/>
      <c r="I22" s="552" t="s">
        <v>3029</v>
      </c>
      <c r="J22" s="553"/>
      <c r="K22" s="2624"/>
      <c r="L22" s="2142"/>
      <c r="M22" s="2134"/>
      <c r="N22" s="2134"/>
      <c r="O22" s="2134"/>
      <c r="P22" s="3593"/>
      <c r="Q22" s="2601"/>
      <c r="R22" s="1572"/>
      <c r="S22" s="1573"/>
      <c r="T22" s="1572"/>
      <c r="U22" s="1573"/>
      <c r="V22" s="1572"/>
      <c r="W22" s="1573"/>
      <c r="X22" s="2603"/>
      <c r="Y22" s="3593"/>
      <c r="Z22" s="2602"/>
      <c r="AA22" s="1575">
        <v>1</v>
      </c>
      <c r="AB22" s="1575">
        <v>1</v>
      </c>
      <c r="AC22" s="1575">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40" t="s">
        <v>3107</v>
      </c>
      <c r="F23" s="557">
        <f>SUMIF(85:85,E24,86:86)-SUMIF(85:85,C24,86:86)+100</f>
        <v>100</v>
      </c>
      <c r="G23" s="3240" t="s">
        <v>3108</v>
      </c>
      <c r="H23" s="557">
        <f>SUMIF(85:85,G24,86:86)-SUMIF(85:85,C24,86:86)+100</f>
        <v>100</v>
      </c>
      <c r="I23" s="3240" t="s">
        <v>3109</v>
      </c>
      <c r="J23" s="557">
        <f>SUMIF(85:85,I24,86:86)-SUMIF(85:85,C24,86:86)+100</f>
        <v>100</v>
      </c>
      <c r="K23" s="896">
        <v>2</v>
      </c>
      <c r="L23" s="2142"/>
      <c r="M23" s="2134"/>
      <c r="N23" s="2134"/>
      <c r="O23" s="2134"/>
      <c r="P23" s="3593"/>
      <c r="Q23" s="1571" t="str">
        <f>B23</f>
        <v>环境质量</v>
      </c>
      <c r="R23" s="1572" t="s">
        <v>8</v>
      </c>
      <c r="S23" s="1573">
        <f>F23</f>
        <v>100</v>
      </c>
      <c r="T23" s="1572" t="s">
        <v>8</v>
      </c>
      <c r="U23" s="1573">
        <f>H23</f>
        <v>100</v>
      </c>
      <c r="V23" s="1572" t="s">
        <v>8</v>
      </c>
      <c r="W23" s="1573">
        <f>J23</f>
        <v>100</v>
      </c>
      <c r="X23" s="1566"/>
      <c r="Y23" s="3593"/>
      <c r="Z23" s="1574" t="str">
        <f>Q23</f>
        <v>环境质量</v>
      </c>
      <c r="AA23" s="1575">
        <f t="shared" si="3"/>
        <v>1</v>
      </c>
      <c r="AB23" s="1575">
        <f t="shared" si="4"/>
        <v>1</v>
      </c>
      <c r="AC23" s="1575">
        <f t="shared" si="5"/>
        <v>1</v>
      </c>
    </row>
    <row r="24" spans="1:29" ht="15">
      <c r="A24" s="530"/>
      <c r="B24" s="576"/>
      <c r="C24" s="552" t="s">
        <v>3028</v>
      </c>
      <c r="D24" s="553"/>
      <c r="E24" s="556" t="s">
        <v>3028</v>
      </c>
      <c r="F24" s="553"/>
      <c r="G24" s="554" t="s">
        <v>3028</v>
      </c>
      <c r="H24" s="553"/>
      <c r="I24" s="554" t="s">
        <v>3028</v>
      </c>
      <c r="J24" s="553"/>
      <c r="K24" s="897"/>
      <c r="L24" s="2142"/>
      <c r="M24" s="2134"/>
      <c r="N24" s="2134"/>
      <c r="O24" s="2134"/>
      <c r="P24" s="3593"/>
      <c r="Q24" s="1571"/>
      <c r="R24" s="1572"/>
      <c r="S24" s="1573"/>
      <c r="T24" s="1572"/>
      <c r="U24" s="1573"/>
      <c r="V24" s="1572"/>
      <c r="W24" s="1573"/>
      <c r="X24" s="1566"/>
      <c r="Y24" s="3593"/>
      <c r="Z24" s="1574"/>
      <c r="AA24" s="1575">
        <v>1</v>
      </c>
      <c r="AB24" s="1575">
        <v>1</v>
      </c>
      <c r="AC24" s="1575">
        <v>1</v>
      </c>
    </row>
    <row r="25" spans="1:29" ht="27" hidden="1">
      <c r="A25" s="513"/>
      <c r="B25" s="558" t="s">
        <v>548</v>
      </c>
      <c r="C25" s="3193"/>
      <c r="D25" s="538">
        <v>100</v>
      </c>
      <c r="E25" s="3193"/>
      <c r="F25" s="538">
        <f>SUMIF(87:87,E26,88:88)-SUMIF(87:87,C26,88:88)+100</f>
        <v>100</v>
      </c>
      <c r="G25" s="3193"/>
      <c r="H25" s="538">
        <f>SUMIF(87:87,G26,88:88)-SUMIF(87:87,C26,88:88)+100</f>
        <v>100</v>
      </c>
      <c r="I25" s="3199"/>
      <c r="J25" s="538">
        <f>SUMIF(87:87,I26,88:88)-SUMIF(87:87,C26,88:88)+100</f>
        <v>100</v>
      </c>
      <c r="K25" s="896">
        <v>1</v>
      </c>
      <c r="L25" s="2142"/>
      <c r="M25" s="2134"/>
      <c r="N25" s="2134"/>
      <c r="O25" s="2134"/>
      <c r="P25" s="3593"/>
      <c r="Q25" s="1571" t="str">
        <f>B25</f>
        <v>毗邻道路的类型与等级</v>
      </c>
      <c r="R25" s="1572" t="s">
        <v>8</v>
      </c>
      <c r="S25" s="1573">
        <f>F25</f>
        <v>100</v>
      </c>
      <c r="T25" s="1572" t="s">
        <v>8</v>
      </c>
      <c r="U25" s="1573">
        <f>H25</f>
        <v>100</v>
      </c>
      <c r="V25" s="1572" t="s">
        <v>8</v>
      </c>
      <c r="W25" s="1573">
        <f>J25</f>
        <v>100</v>
      </c>
      <c r="X25" s="1566"/>
      <c r="Y25" s="3593"/>
      <c r="Z25" s="1574" t="str">
        <f>Q25</f>
        <v>毗邻道路的类型与等级</v>
      </c>
      <c r="AA25" s="1575">
        <f t="shared" si="3"/>
        <v>1</v>
      </c>
      <c r="AB25" s="1575">
        <f t="shared" si="4"/>
        <v>1</v>
      </c>
      <c r="AC25" s="1575">
        <f t="shared" si="5"/>
        <v>1</v>
      </c>
    </row>
    <row r="26" spans="1:29" ht="15" hidden="1">
      <c r="A26" s="513"/>
      <c r="B26" s="564"/>
      <c r="C26" s="578"/>
      <c r="D26" s="538"/>
      <c r="E26" s="581"/>
      <c r="F26" s="538"/>
      <c r="G26" s="578"/>
      <c r="H26" s="538"/>
      <c r="I26" s="581"/>
      <c r="J26" s="538"/>
      <c r="K26" s="897"/>
      <c r="L26" s="2142"/>
      <c r="M26" s="2134"/>
      <c r="N26" s="2134"/>
      <c r="O26" s="2134"/>
      <c r="P26" s="3593"/>
      <c r="Q26" s="1571"/>
      <c r="R26" s="1572"/>
      <c r="S26" s="1573"/>
      <c r="T26" s="1572"/>
      <c r="U26" s="1573"/>
      <c r="V26" s="1572"/>
      <c r="W26" s="1573"/>
      <c r="X26" s="1566"/>
      <c r="Y26" s="3593"/>
      <c r="Z26" s="1574"/>
      <c r="AA26" s="1575">
        <v>1</v>
      </c>
      <c r="AB26" s="1575">
        <v>1</v>
      </c>
      <c r="AC26" s="1575">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593"/>
      <c r="Q27" s="1571" t="str">
        <f t="shared" ref="Q27:Q47" si="11">B27</f>
        <v>楼层</v>
      </c>
      <c r="R27" s="1572" t="s">
        <v>8</v>
      </c>
      <c r="S27" s="1573">
        <f>F27</f>
        <v>100</v>
      </c>
      <c r="T27" s="1572" t="s">
        <v>8</v>
      </c>
      <c r="U27" s="1573">
        <f>H27</f>
        <v>100</v>
      </c>
      <c r="V27" s="1572" t="s">
        <v>8</v>
      </c>
      <c r="W27" s="1573">
        <f>J27</f>
        <v>100</v>
      </c>
      <c r="X27" s="1566"/>
      <c r="Y27" s="3593"/>
      <c r="Z27" s="1574" t="str">
        <f>Q27</f>
        <v>楼层</v>
      </c>
      <c r="AA27" s="1575">
        <f t="shared" si="3"/>
        <v>1</v>
      </c>
      <c r="AB27" s="1575">
        <f t="shared" si="4"/>
        <v>1</v>
      </c>
      <c r="AC27" s="1575">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593"/>
      <c r="Q28" s="1149" t="str">
        <f t="shared" si="11"/>
        <v>朝向</v>
      </c>
      <c r="R28" s="1567" t="s">
        <v>8</v>
      </c>
      <c r="S28" s="1568">
        <f>F28</f>
        <v>100</v>
      </c>
      <c r="T28" s="1567" t="s">
        <v>8</v>
      </c>
      <c r="U28" s="1568">
        <f>H28</f>
        <v>100</v>
      </c>
      <c r="V28" s="1567" t="s">
        <v>8</v>
      </c>
      <c r="W28" s="1568">
        <f>J28</f>
        <v>100</v>
      </c>
      <c r="X28" s="1569"/>
      <c r="Y28" s="3593"/>
      <c r="Z28" s="1148" t="str">
        <f>Q28</f>
        <v>朝向</v>
      </c>
      <c r="AA28" s="1575">
        <f>D28/F28</f>
        <v>1</v>
      </c>
      <c r="AB28" s="1575">
        <f>D28/H28</f>
        <v>1</v>
      </c>
      <c r="AC28" s="1575">
        <f>D28/J28</f>
        <v>1</v>
      </c>
    </row>
    <row r="29" spans="1:29" ht="27.75" thickBot="1">
      <c r="A29" s="530"/>
      <c r="B29" s="3200" t="s">
        <v>548</v>
      </c>
      <c r="C29" s="3193" t="s">
        <v>3113</v>
      </c>
      <c r="D29" s="538">
        <v>100</v>
      </c>
      <c r="E29" s="3193" t="s">
        <v>3110</v>
      </c>
      <c r="F29" s="538">
        <f>SUMIF(93:93,E29,94:94)-SUMIF(93:93,C29,94:94)+100</f>
        <v>100</v>
      </c>
      <c r="G29" s="3193" t="s">
        <v>3053</v>
      </c>
      <c r="H29" s="538">
        <f>SUMIF(93:93,G29,94:94)-SUMIF(93:93,C29,94:94)+100</f>
        <v>98</v>
      </c>
      <c r="I29" s="3199" t="s">
        <v>3096</v>
      </c>
      <c r="J29" s="538">
        <f>SUMIF(93:93,I29,94:94)-SUMIF(93:93,C29,94:94)+100</f>
        <v>96</v>
      </c>
      <c r="K29" s="579"/>
      <c r="L29" s="2142"/>
      <c r="M29" s="2134"/>
      <c r="N29" s="2134"/>
      <c r="O29" s="2134"/>
      <c r="P29" s="3593"/>
      <c r="Q29" s="1571" t="str">
        <f t="shared" si="11"/>
        <v>毗邻道路的类型与等级</v>
      </c>
      <c r="R29" s="1572" t="s">
        <v>8</v>
      </c>
      <c r="S29" s="1573">
        <f t="shared" ref="S29:S47" si="12">F29</f>
        <v>100</v>
      </c>
      <c r="T29" s="1572" t="s">
        <v>8</v>
      </c>
      <c r="U29" s="1573">
        <f t="shared" ref="U29:U47" si="13">H29</f>
        <v>98</v>
      </c>
      <c r="V29" s="1572" t="s">
        <v>8</v>
      </c>
      <c r="W29" s="1573">
        <f t="shared" ref="W29:W47" si="14">J29</f>
        <v>96</v>
      </c>
      <c r="X29" s="1566"/>
      <c r="Y29" s="3593"/>
      <c r="Z29" s="1574" t="str">
        <f t="shared" ref="Z29:Z47" si="15">Q29</f>
        <v>毗邻道路的类型与等级</v>
      </c>
      <c r="AA29" s="1575">
        <f t="shared" si="3"/>
        <v>1</v>
      </c>
      <c r="AB29" s="1575">
        <f t="shared" si="4"/>
        <v>1.0204081632653061</v>
      </c>
      <c r="AC29" s="1575">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593"/>
      <c r="Q30" s="1571">
        <f t="shared" si="11"/>
        <v>111</v>
      </c>
      <c r="R30" s="1572" t="s">
        <v>8</v>
      </c>
      <c r="S30" s="1573">
        <f t="shared" si="12"/>
        <v>100</v>
      </c>
      <c r="T30" s="1572" t="s">
        <v>8</v>
      </c>
      <c r="U30" s="1573">
        <f t="shared" si="13"/>
        <v>100</v>
      </c>
      <c r="V30" s="1572" t="s">
        <v>8</v>
      </c>
      <c r="W30" s="1573">
        <f t="shared" si="14"/>
        <v>100</v>
      </c>
      <c r="X30" s="1566"/>
      <c r="Y30" s="3593"/>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593"/>
      <c r="Q31" s="1571">
        <f t="shared" si="11"/>
        <v>111</v>
      </c>
      <c r="R31" s="1572" t="s">
        <v>8</v>
      </c>
      <c r="S31" s="1573">
        <f t="shared" si="12"/>
        <v>100</v>
      </c>
      <c r="T31" s="1572" t="s">
        <v>8</v>
      </c>
      <c r="U31" s="1573">
        <f t="shared" si="13"/>
        <v>100</v>
      </c>
      <c r="V31" s="1572" t="s">
        <v>8</v>
      </c>
      <c r="W31" s="1573">
        <f t="shared" si="14"/>
        <v>100</v>
      </c>
      <c r="X31" s="1566"/>
      <c r="Y31" s="3593"/>
      <c r="Z31" s="1574">
        <f t="shared" si="15"/>
        <v>111</v>
      </c>
      <c r="AA31" s="1575">
        <f t="shared" si="3"/>
        <v>1</v>
      </c>
      <c r="AB31" s="1575">
        <f t="shared" si="4"/>
        <v>1</v>
      </c>
      <c r="AC31" s="1575">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593"/>
      <c r="Q32" s="1571">
        <f t="shared" si="11"/>
        <v>111</v>
      </c>
      <c r="R32" s="1572" t="s">
        <v>8</v>
      </c>
      <c r="S32" s="1573">
        <f t="shared" si="12"/>
        <v>100</v>
      </c>
      <c r="T32" s="1572" t="s">
        <v>8</v>
      </c>
      <c r="U32" s="1573">
        <f t="shared" si="13"/>
        <v>100</v>
      </c>
      <c r="V32" s="1572" t="s">
        <v>8</v>
      </c>
      <c r="W32" s="1573">
        <f t="shared" si="14"/>
        <v>100</v>
      </c>
      <c r="X32" s="1566"/>
      <c r="Y32" s="3593"/>
      <c r="Z32" s="1574">
        <f t="shared" si="15"/>
        <v>111</v>
      </c>
      <c r="AA32" s="1575">
        <f t="shared" si="3"/>
        <v>1</v>
      </c>
      <c r="AB32" s="1575">
        <f t="shared" si="4"/>
        <v>1</v>
      </c>
      <c r="AC32" s="1575">
        <f t="shared" si="5"/>
        <v>1</v>
      </c>
    </row>
    <row r="33" spans="1:29" ht="15">
      <c r="A33" s="2929" t="s">
        <v>2759</v>
      </c>
      <c r="B33" s="170" t="s">
        <v>780</v>
      </c>
      <c r="C33" s="3194" t="s">
        <v>3030</v>
      </c>
      <c r="D33" s="595">
        <v>100</v>
      </c>
      <c r="E33" s="914" t="s">
        <v>3035</v>
      </c>
      <c r="F33" s="573">
        <f>SUMIF(101:101,E33,102:102)-SUMIF(101:101,C33,102:102)+100</f>
        <v>103</v>
      </c>
      <c r="G33" s="914" t="s">
        <v>3035</v>
      </c>
      <c r="H33" s="538">
        <f>SUMIF(101:101,G33,102:102)-SUMIF(101:101,C33,102:102)+100</f>
        <v>103</v>
      </c>
      <c r="I33" s="914" t="s">
        <v>3035</v>
      </c>
      <c r="J33" s="595">
        <f>SUMIF(101:101,I33,102:102)-SUMIF(101:101,C33,102:102)+100</f>
        <v>103</v>
      </c>
      <c r="K33" s="582">
        <v>3</v>
      </c>
      <c r="L33" s="2142"/>
      <c r="M33" s="2134"/>
      <c r="N33" s="2134"/>
      <c r="O33" s="2134"/>
      <c r="P33" s="3594" t="s">
        <v>550</v>
      </c>
      <c r="Q33" s="1571" t="str">
        <f t="shared" si="11"/>
        <v>建筑类型</v>
      </c>
      <c r="R33" s="1572" t="s">
        <v>8</v>
      </c>
      <c r="S33" s="1573">
        <f t="shared" si="12"/>
        <v>103</v>
      </c>
      <c r="T33" s="1572" t="s">
        <v>8</v>
      </c>
      <c r="U33" s="1573">
        <f t="shared" si="13"/>
        <v>103</v>
      </c>
      <c r="V33" s="1572" t="s">
        <v>8</v>
      </c>
      <c r="W33" s="1573">
        <f t="shared" si="14"/>
        <v>103</v>
      </c>
      <c r="X33" s="1566"/>
      <c r="Y33" s="3595" t="s">
        <v>550</v>
      </c>
      <c r="Z33" s="1574" t="str">
        <f t="shared" si="15"/>
        <v>建筑类型</v>
      </c>
      <c r="AA33" s="1575">
        <f t="shared" si="3"/>
        <v>0.970873786407767</v>
      </c>
      <c r="AB33" s="1575">
        <f t="shared" si="4"/>
        <v>0.970873786407767</v>
      </c>
      <c r="AC33" s="1575">
        <f t="shared" si="5"/>
        <v>0.970873786407767</v>
      </c>
    </row>
    <row r="34" spans="1:29" s="1337" customFormat="1" ht="15">
      <c r="A34" s="601"/>
      <c r="B34" s="525" t="s">
        <v>726</v>
      </c>
      <c r="C34" s="3253">
        <v>1291.48</v>
      </c>
      <c r="D34" s="253">
        <v>100</v>
      </c>
      <c r="E34" s="532">
        <v>160000</v>
      </c>
      <c r="F34" s="861">
        <f>LOOKUP(E34,104:104,105:105)-LOOKUP(C34,104:104,105:105)+100</f>
        <v>104</v>
      </c>
      <c r="G34" s="531">
        <v>146000</v>
      </c>
      <c r="H34" s="253">
        <f>LOOKUP(G34,104:104,105:105)-LOOKUP(C34,104:104,105:105)+100</f>
        <v>103</v>
      </c>
      <c r="I34" s="531">
        <v>7000</v>
      </c>
      <c r="J34" s="253">
        <f>LOOKUP(I34,104:104,105:105)-LOOKUP(C34,104:104,105:105)+100</f>
        <v>100</v>
      </c>
      <c r="K34" s="579"/>
      <c r="L34" s="2140"/>
      <c r="M34" s="2171"/>
      <c r="N34" s="2171"/>
      <c r="O34" s="2171"/>
      <c r="P34" s="3595"/>
      <c r="Q34" s="1604" t="str">
        <f t="shared" si="11"/>
        <v>项目建筑规模</v>
      </c>
      <c r="R34" s="1576" t="s">
        <v>8</v>
      </c>
      <c r="S34" s="1577">
        <f t="shared" si="12"/>
        <v>104</v>
      </c>
      <c r="T34" s="1576" t="s">
        <v>8</v>
      </c>
      <c r="U34" s="1577">
        <f t="shared" si="13"/>
        <v>103</v>
      </c>
      <c r="V34" s="1576" t="s">
        <v>8</v>
      </c>
      <c r="W34" s="1577">
        <f t="shared" si="14"/>
        <v>100</v>
      </c>
      <c r="X34" s="1578"/>
      <c r="Y34" s="3595"/>
      <c r="Z34" s="1579" t="str">
        <f t="shared" si="15"/>
        <v>项目建筑规模</v>
      </c>
      <c r="AA34" s="1575">
        <f t="shared" si="3"/>
        <v>0.96153846153846156</v>
      </c>
      <c r="AB34" s="1575">
        <f t="shared" si="4"/>
        <v>0.970873786407767</v>
      </c>
      <c r="AC34" s="1575">
        <f t="shared" si="5"/>
        <v>1</v>
      </c>
    </row>
    <row r="35" spans="1:29" ht="15">
      <c r="A35" s="592"/>
      <c r="B35" s="525" t="s">
        <v>727</v>
      </c>
      <c r="C35" s="572" t="s">
        <v>3033</v>
      </c>
      <c r="D35" s="538">
        <v>100</v>
      </c>
      <c r="E35" s="572" t="s">
        <v>3033</v>
      </c>
      <c r="F35" s="573">
        <f>SUMIF(106:106,E35,107:107)-SUMIF(106:106,C35,107:107)+100</f>
        <v>100</v>
      </c>
      <c r="G35" s="572" t="s">
        <v>3033</v>
      </c>
      <c r="H35" s="538">
        <f>SUMIF(106:106,G35,107:107)-SUMIF(106:106,C35,107:107)+100</f>
        <v>100</v>
      </c>
      <c r="I35" s="572" t="s">
        <v>3033</v>
      </c>
      <c r="J35" s="538">
        <f>SUMIF(106:106,I35,107:107)-SUMIF(106:106,C35,107:107)+100</f>
        <v>100</v>
      </c>
      <c r="K35" s="582">
        <v>1</v>
      </c>
      <c r="L35" s="2142"/>
      <c r="M35" s="2134"/>
      <c r="N35" s="2134"/>
      <c r="O35" s="2134"/>
      <c r="P35" s="3595"/>
      <c r="Q35" s="1571" t="str">
        <f t="shared" si="11"/>
        <v>建筑结构</v>
      </c>
      <c r="R35" s="1572" t="s">
        <v>8</v>
      </c>
      <c r="S35" s="1573">
        <f t="shared" si="12"/>
        <v>100</v>
      </c>
      <c r="T35" s="1572" t="s">
        <v>8</v>
      </c>
      <c r="U35" s="1573">
        <f t="shared" si="13"/>
        <v>100</v>
      </c>
      <c r="V35" s="1572" t="s">
        <v>8</v>
      </c>
      <c r="W35" s="1573">
        <f t="shared" si="14"/>
        <v>100</v>
      </c>
      <c r="X35" s="1566"/>
      <c r="Y35" s="3595"/>
      <c r="Z35" s="1574" t="str">
        <f t="shared" si="15"/>
        <v>建筑结构</v>
      </c>
      <c r="AA35" s="1575">
        <f t="shared" si="3"/>
        <v>1</v>
      </c>
      <c r="AB35" s="1575">
        <f t="shared" si="4"/>
        <v>1</v>
      </c>
      <c r="AC35" s="1575">
        <f t="shared" si="5"/>
        <v>1</v>
      </c>
    </row>
    <row r="36" spans="1:29" ht="15">
      <c r="A36" s="592"/>
      <c r="B36" s="525" t="s">
        <v>763</v>
      </c>
      <c r="C36" s="572" t="s">
        <v>3043</v>
      </c>
      <c r="D36" s="538">
        <v>100</v>
      </c>
      <c r="E36" s="572" t="s">
        <v>3045</v>
      </c>
      <c r="F36" s="573">
        <f>SUMIF(108:108,E36,109:109)-SUMIF(108:108,C36,109:109)+100</f>
        <v>95</v>
      </c>
      <c r="G36" s="572" t="s">
        <v>3045</v>
      </c>
      <c r="H36" s="538">
        <f>SUMIF(108:108,G36,109:109)-SUMIF(108:108,C36,109:109)+100</f>
        <v>95</v>
      </c>
      <c r="I36" s="572" t="s">
        <v>3045</v>
      </c>
      <c r="J36" s="538">
        <f>SUMIF(108:108,I36,109:109)-SUMIF(108:108,C36,109:109)+100</f>
        <v>95</v>
      </c>
      <c r="K36" s="582">
        <v>5</v>
      </c>
      <c r="L36" s="2142"/>
      <c r="M36" s="2134"/>
      <c r="N36" s="2134"/>
      <c r="O36" s="2134"/>
      <c r="P36" s="3595"/>
      <c r="Q36" s="1571" t="str">
        <f t="shared" si="11"/>
        <v>公共部分装修</v>
      </c>
      <c r="R36" s="1572" t="s">
        <v>8</v>
      </c>
      <c r="S36" s="1573">
        <f t="shared" si="12"/>
        <v>95</v>
      </c>
      <c r="T36" s="1572" t="s">
        <v>8</v>
      </c>
      <c r="U36" s="1573">
        <f t="shared" si="13"/>
        <v>95</v>
      </c>
      <c r="V36" s="1572" t="s">
        <v>8</v>
      </c>
      <c r="W36" s="1573">
        <f t="shared" si="14"/>
        <v>95</v>
      </c>
      <c r="X36" s="1566"/>
      <c r="Y36" s="3595"/>
      <c r="Z36" s="1574" t="str">
        <f t="shared" si="15"/>
        <v>公共部分装修</v>
      </c>
      <c r="AA36" s="1575">
        <f t="shared" si="3"/>
        <v>1.0526315789473684</v>
      </c>
      <c r="AB36" s="1575">
        <f t="shared" si="4"/>
        <v>1.0526315789473684</v>
      </c>
      <c r="AC36" s="1575">
        <f t="shared" si="5"/>
        <v>1.0526315789473684</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2"/>
      <c r="M37" s="2134"/>
      <c r="N37" s="2134"/>
      <c r="O37" s="2134"/>
      <c r="P37" s="3595"/>
      <c r="Q37" s="1571" t="str">
        <f t="shared" si="11"/>
        <v>成新度</v>
      </c>
      <c r="R37" s="1572" t="s">
        <v>8</v>
      </c>
      <c r="S37" s="1573">
        <f t="shared" si="12"/>
        <v>100</v>
      </c>
      <c r="T37" s="1572" t="s">
        <v>8</v>
      </c>
      <c r="U37" s="1573">
        <f t="shared" si="13"/>
        <v>100</v>
      </c>
      <c r="V37" s="1572" t="s">
        <v>8</v>
      </c>
      <c r="W37" s="1573">
        <f t="shared" si="14"/>
        <v>100</v>
      </c>
      <c r="X37" s="1566"/>
      <c r="Y37" s="3595"/>
      <c r="Z37" s="1574" t="str">
        <f t="shared" si="15"/>
        <v>成新度</v>
      </c>
      <c r="AA37" s="1575">
        <f t="shared" si="3"/>
        <v>1</v>
      </c>
      <c r="AB37" s="1575">
        <f t="shared" si="4"/>
        <v>1</v>
      </c>
      <c r="AC37" s="1575">
        <f t="shared" si="5"/>
        <v>1</v>
      </c>
    </row>
    <row r="38" spans="1:29" s="1218"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595"/>
      <c r="Q38" s="1149" t="str">
        <f t="shared" si="11"/>
        <v>写字楼等级</v>
      </c>
      <c r="R38" s="1567" t="s">
        <v>8</v>
      </c>
      <c r="S38" s="1568">
        <f t="shared" si="12"/>
        <v>100</v>
      </c>
      <c r="T38" s="1567" t="s">
        <v>8</v>
      </c>
      <c r="U38" s="1568">
        <f t="shared" si="13"/>
        <v>100</v>
      </c>
      <c r="V38" s="1567" t="s">
        <v>8</v>
      </c>
      <c r="W38" s="1568">
        <f t="shared" si="14"/>
        <v>100</v>
      </c>
      <c r="X38" s="1569"/>
      <c r="Y38" s="3595"/>
      <c r="Z38" s="1148" t="str">
        <f t="shared" si="15"/>
        <v>写字楼等级</v>
      </c>
      <c r="AA38" s="1570">
        <f t="shared" si="3"/>
        <v>1</v>
      </c>
      <c r="AB38" s="1570">
        <f t="shared" si="4"/>
        <v>1</v>
      </c>
      <c r="AC38" s="1570">
        <f t="shared" si="5"/>
        <v>1</v>
      </c>
    </row>
    <row r="39" spans="1:29" ht="15">
      <c r="A39" s="592"/>
      <c r="B39" s="525" t="s">
        <v>782</v>
      </c>
      <c r="C39" s="572" t="s">
        <v>3039</v>
      </c>
      <c r="D39" s="538">
        <v>100</v>
      </c>
      <c r="E39" s="572" t="s">
        <v>3037</v>
      </c>
      <c r="F39" s="573">
        <f>SUMIF(115:115,E39,116:116)-SUMIF(115:115,C39,116:116)+100</f>
        <v>102</v>
      </c>
      <c r="G39" s="572" t="s">
        <v>3037</v>
      </c>
      <c r="H39" s="538">
        <f>SUMIF(115:115,G39,116:116)-SUMIF(115:115,C39,116:116)+100</f>
        <v>102</v>
      </c>
      <c r="I39" s="572" t="s">
        <v>3037</v>
      </c>
      <c r="J39" s="538">
        <f>SUMIF(115:115,I39,116:116)-SUMIF(115:115,C39,116:116)+100</f>
        <v>102</v>
      </c>
      <c r="K39" s="582">
        <v>2</v>
      </c>
      <c r="L39" s="2142"/>
      <c r="M39" s="2134"/>
      <c r="N39" s="2134"/>
      <c r="O39" s="2134"/>
      <c r="P39" s="3595" t="s">
        <v>550</v>
      </c>
      <c r="Q39" s="1571" t="str">
        <f t="shared" si="11"/>
        <v>物业管理</v>
      </c>
      <c r="R39" s="1572" t="s">
        <v>8</v>
      </c>
      <c r="S39" s="1573">
        <f t="shared" si="12"/>
        <v>102</v>
      </c>
      <c r="T39" s="1572" t="s">
        <v>8</v>
      </c>
      <c r="U39" s="1573">
        <f t="shared" si="13"/>
        <v>102</v>
      </c>
      <c r="V39" s="1572" t="s">
        <v>8</v>
      </c>
      <c r="W39" s="1573">
        <f t="shared" si="14"/>
        <v>102</v>
      </c>
      <c r="X39" s="1566"/>
      <c r="Y39" s="3595" t="s">
        <v>550</v>
      </c>
      <c r="Z39" s="1574" t="str">
        <f t="shared" si="15"/>
        <v>物业管理</v>
      </c>
      <c r="AA39" s="1575">
        <f t="shared" si="3"/>
        <v>0.98039215686274506</v>
      </c>
      <c r="AB39" s="1575">
        <f t="shared" si="4"/>
        <v>0.98039215686274506</v>
      </c>
      <c r="AC39" s="1575">
        <f t="shared" si="5"/>
        <v>0.98039215686274506</v>
      </c>
    </row>
    <row r="40" spans="1:29" ht="15">
      <c r="A40" s="592"/>
      <c r="B40" s="1895" t="s">
        <v>2569</v>
      </c>
      <c r="C40" s="572" t="s">
        <v>3029</v>
      </c>
      <c r="D40" s="538">
        <v>100</v>
      </c>
      <c r="E40" s="572" t="s">
        <v>3029</v>
      </c>
      <c r="F40" s="573">
        <f>SUMIF(117:117,E40,118:118)-SUMIF(117:117,C40,118:118)+100</f>
        <v>100</v>
      </c>
      <c r="G40" s="572" t="s">
        <v>3029</v>
      </c>
      <c r="H40" s="538">
        <f>SUMIF(117:117,G40,118:118)-SUMIF(117:117,C40,118:118)+100</f>
        <v>100</v>
      </c>
      <c r="I40" s="572" t="s">
        <v>3029</v>
      </c>
      <c r="J40" s="538">
        <f>SUMIF(117:117,I40,118:118)-SUMIF(117:117,C40,118:118)+100</f>
        <v>100</v>
      </c>
      <c r="K40" s="582"/>
      <c r="L40" s="2142"/>
      <c r="M40" s="2134"/>
      <c r="N40" s="2134"/>
      <c r="O40" s="2134"/>
      <c r="P40" s="3595"/>
      <c r="Q40" s="1571" t="str">
        <f t="shared" si="11"/>
        <v>市政基础设施</v>
      </c>
      <c r="R40" s="1572" t="s">
        <v>8</v>
      </c>
      <c r="S40" s="1573">
        <f t="shared" si="12"/>
        <v>100</v>
      </c>
      <c r="T40" s="1572" t="s">
        <v>8</v>
      </c>
      <c r="U40" s="1573">
        <f t="shared" si="13"/>
        <v>100</v>
      </c>
      <c r="V40" s="1572" t="s">
        <v>8</v>
      </c>
      <c r="W40" s="1573">
        <f t="shared" si="14"/>
        <v>100</v>
      </c>
      <c r="X40" s="1566"/>
      <c r="Y40" s="3595"/>
      <c r="Z40" s="1574" t="str">
        <f t="shared" si="15"/>
        <v>市政基础设施</v>
      </c>
      <c r="AA40" s="1575">
        <f t="shared" si="3"/>
        <v>1</v>
      </c>
      <c r="AB40" s="1575">
        <f t="shared" si="4"/>
        <v>1</v>
      </c>
      <c r="AC40" s="1575">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595"/>
      <c r="Q41" s="1571" t="str">
        <f t="shared" si="11"/>
        <v>层高</v>
      </c>
      <c r="R41" s="1572" t="s">
        <v>8</v>
      </c>
      <c r="S41" s="1573">
        <f t="shared" si="12"/>
        <v>100</v>
      </c>
      <c r="T41" s="1572" t="s">
        <v>8</v>
      </c>
      <c r="U41" s="1573">
        <f t="shared" si="13"/>
        <v>100</v>
      </c>
      <c r="V41" s="1572" t="s">
        <v>8</v>
      </c>
      <c r="W41" s="1573">
        <f t="shared" si="14"/>
        <v>100</v>
      </c>
      <c r="X41" s="1566"/>
      <c r="Y41" s="3595"/>
      <c r="Z41" s="1574" t="str">
        <f t="shared" si="15"/>
        <v>层高</v>
      </c>
      <c r="AA41" s="1575">
        <f t="shared" si="3"/>
        <v>1</v>
      </c>
      <c r="AB41" s="1575">
        <f t="shared" si="4"/>
        <v>1</v>
      </c>
      <c r="AC41" s="1575">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595"/>
      <c r="Q42" s="1604" t="str">
        <f t="shared" si="11"/>
        <v>单套建筑面积</v>
      </c>
      <c r="R42" s="1576" t="s">
        <v>8</v>
      </c>
      <c r="S42" s="1577">
        <f t="shared" si="12"/>
        <v>100</v>
      </c>
      <c r="T42" s="1576" t="s">
        <v>8</v>
      </c>
      <c r="U42" s="1577">
        <f t="shared" si="13"/>
        <v>100</v>
      </c>
      <c r="V42" s="1576" t="s">
        <v>8</v>
      </c>
      <c r="W42" s="1577">
        <f t="shared" si="14"/>
        <v>100</v>
      </c>
      <c r="X42" s="1578"/>
      <c r="Y42" s="3595"/>
      <c r="Z42" s="1579" t="str">
        <f t="shared" si="15"/>
        <v>单套建筑面积</v>
      </c>
      <c r="AA42" s="1575">
        <f t="shared" si="3"/>
        <v>1</v>
      </c>
      <c r="AB42" s="1575">
        <f t="shared" si="4"/>
        <v>1</v>
      </c>
      <c r="AC42" s="1575">
        <f t="shared" si="5"/>
        <v>1</v>
      </c>
    </row>
    <row r="43" spans="1:29" ht="15">
      <c r="A43" s="592"/>
      <c r="B43" s="525" t="s">
        <v>770</v>
      </c>
      <c r="C43" s="572" t="s">
        <v>3043</v>
      </c>
      <c r="D43" s="538">
        <v>100</v>
      </c>
      <c r="E43" s="572" t="s">
        <v>3045</v>
      </c>
      <c r="F43" s="573">
        <f>SUMIF(123:123,E43,124:124)-SUMIF(123:123,C43,124:124)+100</f>
        <v>98</v>
      </c>
      <c r="G43" s="572" t="s">
        <v>3045</v>
      </c>
      <c r="H43" s="538">
        <f>SUMIF(123:123,G43,124:124)-SUMIF(123:123,C43,124:124)+100</f>
        <v>98</v>
      </c>
      <c r="I43" s="572" t="s">
        <v>3045</v>
      </c>
      <c r="J43" s="538">
        <f>SUMIF(123:123,I43,124:124)-SUMIF(123:123,C43,124:124)+100</f>
        <v>98</v>
      </c>
      <c r="K43" s="582">
        <v>2</v>
      </c>
      <c r="L43" s="2142"/>
      <c r="M43" s="2134"/>
      <c r="N43" s="2134"/>
      <c r="O43" s="2134"/>
      <c r="P43" s="3595"/>
      <c r="Q43" s="1571" t="str">
        <f t="shared" si="11"/>
        <v>内部装修</v>
      </c>
      <c r="R43" s="1572" t="s">
        <v>8</v>
      </c>
      <c r="S43" s="1573">
        <f t="shared" si="12"/>
        <v>98</v>
      </c>
      <c r="T43" s="1572" t="s">
        <v>8</v>
      </c>
      <c r="U43" s="1573">
        <f t="shared" si="13"/>
        <v>98</v>
      </c>
      <c r="V43" s="1572" t="s">
        <v>8</v>
      </c>
      <c r="W43" s="1573">
        <f t="shared" si="14"/>
        <v>98</v>
      </c>
      <c r="X43" s="1566"/>
      <c r="Y43" s="3595"/>
      <c r="Z43" s="1574" t="str">
        <f t="shared" si="15"/>
        <v>内部装修</v>
      </c>
      <c r="AA43" s="1575">
        <f t="shared" si="3"/>
        <v>1.0204081632653061</v>
      </c>
      <c r="AB43" s="1575">
        <f t="shared" si="4"/>
        <v>1.0204081632653061</v>
      </c>
      <c r="AC43" s="1575">
        <f t="shared" si="5"/>
        <v>1.0204081632653061</v>
      </c>
    </row>
    <row r="44" spans="1:29" ht="27">
      <c r="A44" s="592"/>
      <c r="B44" s="525" t="s">
        <v>735</v>
      </c>
      <c r="C44" s="572" t="s">
        <v>3027</v>
      </c>
      <c r="D44" s="538">
        <v>100</v>
      </c>
      <c r="E44" s="597" t="s">
        <v>3027</v>
      </c>
      <c r="F44" s="573">
        <f>SUMIF(125:125,E44,126:126)-SUMIF(125:125,C44,126:126)+100</f>
        <v>100</v>
      </c>
      <c r="G44" s="597" t="s">
        <v>3027</v>
      </c>
      <c r="H44" s="538">
        <f>SUMIF(125:125,G44,126:126)-SUMIF(125:125,C44,126:126)+100</f>
        <v>100</v>
      </c>
      <c r="I44" s="597" t="s">
        <v>3027</v>
      </c>
      <c r="J44" s="538">
        <f>SUMIF(125:125,I44,126:126)-SUMIF(125:125,C44,126:126)+100</f>
        <v>100</v>
      </c>
      <c r="K44" s="582"/>
      <c r="L44" s="2142"/>
      <c r="M44" s="2134"/>
      <c r="N44" s="2134"/>
      <c r="O44" s="2134"/>
      <c r="P44" s="3595"/>
      <c r="Q44" s="1571" t="str">
        <f t="shared" si="11"/>
        <v>内部装修维护情况</v>
      </c>
      <c r="R44" s="1572" t="s">
        <v>8</v>
      </c>
      <c r="S44" s="1573">
        <f t="shared" si="12"/>
        <v>100</v>
      </c>
      <c r="T44" s="1572" t="s">
        <v>8</v>
      </c>
      <c r="U44" s="1573">
        <f t="shared" si="13"/>
        <v>100</v>
      </c>
      <c r="V44" s="1572" t="s">
        <v>8</v>
      </c>
      <c r="W44" s="1573">
        <f t="shared" si="14"/>
        <v>100</v>
      </c>
      <c r="X44" s="1566"/>
      <c r="Y44" s="3595"/>
      <c r="Z44" s="1574" t="str">
        <f t="shared" si="15"/>
        <v>内部装修维护情况</v>
      </c>
      <c r="AA44" s="1575">
        <f t="shared" si="3"/>
        <v>1</v>
      </c>
      <c r="AB44" s="1575">
        <f t="shared" si="4"/>
        <v>1</v>
      </c>
      <c r="AC44" s="1575">
        <f t="shared" si="5"/>
        <v>1</v>
      </c>
    </row>
    <row r="45" spans="1:29" s="1218" customFormat="1" ht="15">
      <c r="A45" s="598"/>
      <c r="B45" s="3198" t="s">
        <v>3048</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5"/>
      <c r="M45" s="2136"/>
      <c r="N45" s="2136"/>
      <c r="O45" s="2136"/>
      <c r="P45" s="3595"/>
      <c r="Q45" s="1149" t="str">
        <f t="shared" si="11"/>
        <v>建成年代</v>
      </c>
      <c r="R45" s="1567" t="s">
        <v>8</v>
      </c>
      <c r="S45" s="1568">
        <f t="shared" si="12"/>
        <v>94.5</v>
      </c>
      <c r="T45" s="1567" t="s">
        <v>8</v>
      </c>
      <c r="U45" s="1568">
        <f t="shared" si="13"/>
        <v>95.5</v>
      </c>
      <c r="V45" s="1567" t="s">
        <v>8</v>
      </c>
      <c r="W45" s="1568">
        <f t="shared" si="14"/>
        <v>93</v>
      </c>
      <c r="X45" s="1569"/>
      <c r="Y45" s="3595"/>
      <c r="Z45" s="1148" t="str">
        <f t="shared" si="15"/>
        <v>建成年代</v>
      </c>
      <c r="AA45" s="1570">
        <f t="shared" si="3"/>
        <v>1.0582010582010581</v>
      </c>
      <c r="AB45" s="1570">
        <f t="shared" si="4"/>
        <v>1.0471204188481675</v>
      </c>
      <c r="AC45" s="1570">
        <f t="shared" si="5"/>
        <v>1.075268817204301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595"/>
      <c r="Q46" s="1571">
        <f t="shared" si="11"/>
        <v>111</v>
      </c>
      <c r="R46" s="1572" t="s">
        <v>8</v>
      </c>
      <c r="S46" s="1573">
        <f t="shared" si="12"/>
        <v>100</v>
      </c>
      <c r="T46" s="1572" t="s">
        <v>8</v>
      </c>
      <c r="U46" s="1573">
        <f t="shared" si="13"/>
        <v>100</v>
      </c>
      <c r="V46" s="1572" t="s">
        <v>8</v>
      </c>
      <c r="W46" s="1573">
        <f t="shared" si="14"/>
        <v>100</v>
      </c>
      <c r="X46" s="1566"/>
      <c r="Y46" s="3595"/>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691"/>
      <c r="Q47" s="1571">
        <f t="shared" si="11"/>
        <v>111</v>
      </c>
      <c r="R47" s="1572" t="s">
        <v>8</v>
      </c>
      <c r="S47" s="1573">
        <f t="shared" si="12"/>
        <v>100</v>
      </c>
      <c r="T47" s="1572" t="s">
        <v>8</v>
      </c>
      <c r="U47" s="1573">
        <f t="shared" si="13"/>
        <v>100</v>
      </c>
      <c r="V47" s="1572" t="s">
        <v>8</v>
      </c>
      <c r="W47" s="1573">
        <f t="shared" si="14"/>
        <v>100</v>
      </c>
      <c r="X47" s="1566"/>
      <c r="Y47" s="3691"/>
      <c r="Z47" s="1574">
        <f t="shared" si="15"/>
        <v>111</v>
      </c>
      <c r="AA47" s="1575">
        <f t="shared" si="3"/>
        <v>1</v>
      </c>
      <c r="AB47" s="1575">
        <f t="shared" si="4"/>
        <v>1</v>
      </c>
      <c r="AC47" s="1575">
        <f t="shared" si="5"/>
        <v>1</v>
      </c>
    </row>
    <row r="48" spans="1:29" ht="15">
      <c r="A48" s="605" t="s">
        <v>736</v>
      </c>
      <c r="B48" s="885"/>
      <c r="C48" s="2649" t="s">
        <v>1</v>
      </c>
      <c r="D48" s="2650"/>
      <c r="E48" s="2651">
        <v>43359</v>
      </c>
      <c r="F48" s="2652"/>
      <c r="G48" s="2653">
        <v>41948</v>
      </c>
      <c r="H48" s="2654"/>
      <c r="I48" s="2651">
        <v>45991</v>
      </c>
      <c r="J48" s="2654"/>
      <c r="K48" s="1610"/>
      <c r="L48" s="2144"/>
      <c r="M48" s="2134"/>
      <c r="N48" s="2134"/>
      <c r="O48" s="2134"/>
      <c r="P48" s="3612" t="str">
        <f>A48</f>
        <v>成交单价（元/平方米）</v>
      </c>
      <c r="Q48" s="3590"/>
      <c r="R48" s="3690">
        <f>E48</f>
        <v>43359</v>
      </c>
      <c r="S48" s="3690"/>
      <c r="T48" s="3690">
        <f>G48</f>
        <v>41948</v>
      </c>
      <c r="U48" s="3690"/>
      <c r="V48" s="3690">
        <f>I48</f>
        <v>45991</v>
      </c>
      <c r="W48" s="3690"/>
      <c r="X48" s="1558"/>
      <c r="Y48" s="1580"/>
      <c r="Z48" s="1558"/>
      <c r="AA48" s="1558"/>
      <c r="AB48" s="1558"/>
      <c r="AC48" s="1558"/>
    </row>
    <row r="49" spans="1:29" ht="15.75" thickBot="1">
      <c r="A49" s="613" t="s">
        <v>2764</v>
      </c>
      <c r="B49" s="886"/>
      <c r="C49" s="2655">
        <f>R50</f>
        <v>47136</v>
      </c>
      <c r="D49" s="2656"/>
      <c r="E49" s="2657">
        <f>R49</f>
        <v>44668</v>
      </c>
      <c r="F49" s="2657"/>
      <c r="G49" s="2655">
        <f>T49</f>
        <v>44058</v>
      </c>
      <c r="H49" s="2656"/>
      <c r="I49" s="2657">
        <f>V49</f>
        <v>52682</v>
      </c>
      <c r="J49" s="2656"/>
      <c r="K49" s="1611"/>
      <c r="L49" s="2144"/>
      <c r="M49" s="2134"/>
      <c r="N49" s="2134"/>
      <c r="O49" s="2134"/>
      <c r="P49" s="3612" t="str">
        <f>A49</f>
        <v>比较价格（元/平方米）</v>
      </c>
      <c r="Q49" s="3590"/>
      <c r="R49" s="3690">
        <f>IF(F1="售价",ROUND(PRODUCT(R48,AA7:AA47),0),ROUND(PRODUCT(R48,AA7:AA47),1))</f>
        <v>44668</v>
      </c>
      <c r="S49" s="3690"/>
      <c r="T49" s="3690">
        <f>IF(F1="售价",ROUND(PRODUCT(T48,AB7:AB47),0),ROUND(PRODUCT(T48,AB7:AB47),1))</f>
        <v>44058</v>
      </c>
      <c r="U49" s="3690"/>
      <c r="V49" s="3690">
        <f>IF(F1="售价",ROUND(PRODUCT(V48,AC7:AC47),0),ROUND(PRODUCT(V48,AC7:AC47),1))</f>
        <v>52682</v>
      </c>
      <c r="W49" s="3690"/>
      <c r="X49" s="1558"/>
      <c r="Y49" s="1558"/>
      <c r="Z49" s="1558"/>
      <c r="AA49" s="1558"/>
      <c r="AB49" s="1558"/>
      <c r="AC49" s="1558"/>
    </row>
    <row r="50" spans="1:29" ht="15.75" thickBot="1">
      <c r="A50" s="619" t="s">
        <v>2936</v>
      </c>
      <c r="B50" s="620"/>
      <c r="C50" s="2658">
        <f>R50</f>
        <v>47136</v>
      </c>
      <c r="D50" s="2658"/>
      <c r="E50" s="2658"/>
      <c r="F50" s="2658"/>
      <c r="G50" s="2658"/>
      <c r="H50" s="2658"/>
      <c r="I50" s="2658"/>
      <c r="J50" s="2658"/>
      <c r="K50" s="1612"/>
      <c r="L50" s="2144"/>
      <c r="M50" s="2134"/>
      <c r="N50" s="2134"/>
      <c r="O50" s="2134"/>
      <c r="P50" s="3699" t="str">
        <f>A50</f>
        <v>估价对象XX用房的比较价格（楼面单价，元/平方米）</v>
      </c>
      <c r="Q50" s="3612"/>
      <c r="R50" s="3689">
        <f>IF(F1="售价",ROUND(AVERAGE(R49:V49),0),ROUND(AVERAGE(R49:V49),1))</f>
        <v>47136</v>
      </c>
      <c r="S50" s="3689"/>
      <c r="T50" s="3689"/>
      <c r="U50" s="3689"/>
      <c r="V50" s="3689"/>
      <c r="W50" s="368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3.0189810650614657E-2</v>
      </c>
      <c r="F53" s="625" t="str">
        <f>IF(OR(E53&gt;=0.3,E53&lt;=-0.3),"超过30%","")</f>
        <v/>
      </c>
      <c r="G53" s="624">
        <f>IF(G48&lt;G49,G49/G48-1,G48/G49-1)</f>
        <v>5.030037188900538E-2</v>
      </c>
      <c r="H53" s="625" t="str">
        <f>IF(OR(G53&gt;=0.3,G53&lt;=-0.3),"超过30%","")</f>
        <v/>
      </c>
      <c r="I53" s="624">
        <f>IF(I48&lt;I49,I49/I48-1,I48/I49-1)</f>
        <v>0.1454849861929508</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1.3845385628035833E-2</v>
      </c>
      <c r="F54" s="625" t="str">
        <f>IF(OR(E54&gt;=0.2,E54&lt;=-0.2),"超过20%","")</f>
        <v/>
      </c>
      <c r="G54" s="624">
        <f>IF(G49&lt;I49,I49/G49-1,G49/I49-1)</f>
        <v>0.1957419764855417</v>
      </c>
      <c r="H54" s="625" t="str">
        <f>IF(OR(G54&gt;=0.2,G54&lt;=-0.2),"超过20%","")</f>
        <v/>
      </c>
      <c r="I54" s="624">
        <f>IF(I49&lt;E49,E49/I49-1,I49/E49-1)</f>
        <v>0.17941255484910901</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3.3636883760846725E-2</v>
      </c>
      <c r="F55" s="625" t="str">
        <f>IF(OR(E55&gt;=0.3,E55&lt;=-0.3),"超过30%","")</f>
        <v/>
      </c>
      <c r="G55" s="624">
        <f>IF(G48&lt;I48,I48/G48-1,G48/I48-1)</f>
        <v>9.6381233908648722E-2</v>
      </c>
      <c r="H55" s="625" t="str">
        <f>IF(OR(G55&gt;=0.3,G55&lt;=-0.3),"超过30%","")</f>
        <v/>
      </c>
      <c r="I55" s="624">
        <f>IF(I48&lt;E48,E48/I48-1,I48/E48-1)</f>
        <v>6.0702506976636927E-2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99</v>
      </c>
      <c r="E60" s="648">
        <v>98</v>
      </c>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v>100</v>
      </c>
      <c r="D61" s="654">
        <v>99</v>
      </c>
      <c r="E61" s="654">
        <v>98</v>
      </c>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t="str">
        <f>C9</f>
        <v>办公</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v>
      </c>
      <c r="G67" s="677">
        <f>F67-$K10</f>
        <v>98</v>
      </c>
      <c r="H67" s="677">
        <f>G67-$K10</f>
        <v>97</v>
      </c>
      <c r="I67" s="677">
        <f>H67-$K10</f>
        <v>96</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100</v>
      </c>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98</v>
      </c>
      <c r="E78" s="677">
        <f>D78-$K15</f>
        <v>96</v>
      </c>
      <c r="F78" s="677">
        <f>E78-$K15</f>
        <v>94</v>
      </c>
      <c r="G78" s="677">
        <f>F78-$K15</f>
        <v>92</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99</v>
      </c>
      <c r="E80" s="677">
        <f>D80-$K17</f>
        <v>98</v>
      </c>
      <c r="F80" s="677">
        <f>E80-$K17</f>
        <v>97</v>
      </c>
      <c r="G80" s="677">
        <f>F80-$K17</f>
        <v>96</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2561</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19" t="s">
        <v>2562</v>
      </c>
      <c r="C83" s="2620" t="s">
        <v>2563</v>
      </c>
      <c r="D83" s="2620" t="s">
        <v>2564</v>
      </c>
      <c r="E83" s="2620" t="s">
        <v>2565</v>
      </c>
      <c r="F83" s="2620" t="s">
        <v>2566</v>
      </c>
      <c r="G83" s="2620" t="s">
        <v>2567</v>
      </c>
      <c r="H83" s="672"/>
      <c r="I83" s="672"/>
      <c r="J83" s="672"/>
      <c r="K83" s="672"/>
      <c r="L83" s="672"/>
      <c r="M83" s="2623"/>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98</v>
      </c>
      <c r="E86" s="677">
        <f>D86-$K23</f>
        <v>96</v>
      </c>
      <c r="F86" s="677">
        <f>E86-$K23</f>
        <v>94</v>
      </c>
      <c r="G86" s="677">
        <f>F86-$K23</f>
        <v>92</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3193"/>
      <c r="D87" s="3193"/>
      <c r="E87" s="3193"/>
      <c r="F87" s="3199"/>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v>1</v>
      </c>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29.25" thickTop="1">
      <c r="A93" s="667"/>
      <c r="B93" s="671" t="str">
        <f>B29</f>
        <v>毗邻道路的类型与等级</v>
      </c>
      <c r="C93" s="3193" t="s">
        <v>3091</v>
      </c>
      <c r="D93" s="3193" t="s">
        <v>3092</v>
      </c>
      <c r="E93" s="3193" t="s">
        <v>3053</v>
      </c>
      <c r="F93" s="3199" t="s">
        <v>3054</v>
      </c>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v>100</v>
      </c>
      <c r="D94" s="669">
        <v>100</v>
      </c>
      <c r="E94" s="669">
        <v>98</v>
      </c>
      <c r="F94" s="669">
        <v>96</v>
      </c>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3197" t="s">
        <v>3036</v>
      </c>
      <c r="D101" s="596" t="s">
        <v>3030</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97</v>
      </c>
      <c r="E102" s="677">
        <f t="shared" si="22"/>
        <v>94</v>
      </c>
      <c r="F102" s="677">
        <f t="shared" si="22"/>
        <v>91</v>
      </c>
      <c r="G102" s="677">
        <f t="shared" si="22"/>
        <v>88</v>
      </c>
      <c r="H102" s="677">
        <f t="shared" si="22"/>
        <v>85</v>
      </c>
      <c r="I102" s="677">
        <f t="shared" si="22"/>
        <v>82</v>
      </c>
      <c r="J102" s="677">
        <f t="shared" si="22"/>
        <v>79</v>
      </c>
      <c r="K102" s="677">
        <f t="shared" si="22"/>
        <v>76</v>
      </c>
      <c r="L102" s="677">
        <f t="shared" si="22"/>
        <v>73</v>
      </c>
      <c r="M102" s="678">
        <f t="shared" si="22"/>
        <v>70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1</v>
      </c>
      <c r="D104" s="728">
        <v>10000</v>
      </c>
      <c r="E104" s="728">
        <v>50000</v>
      </c>
      <c r="F104" s="728">
        <v>100000</v>
      </c>
      <c r="G104" s="728">
        <v>150000</v>
      </c>
      <c r="H104" s="728">
        <v>200000</v>
      </c>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69">
        <v>102</v>
      </c>
      <c r="F105" s="669">
        <v>103</v>
      </c>
      <c r="G105" s="669">
        <v>104</v>
      </c>
      <c r="H105" s="669">
        <v>105</v>
      </c>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3196" t="s">
        <v>3034</v>
      </c>
      <c r="D106" s="3195" t="s">
        <v>3032</v>
      </c>
      <c r="E106" s="3195" t="s">
        <v>3031</v>
      </c>
      <c r="F106" s="3195"/>
      <c r="G106" s="3195"/>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3195" t="s">
        <v>3044</v>
      </c>
      <c r="D108" s="3195" t="s">
        <v>3046</v>
      </c>
      <c r="E108" s="3195" t="s">
        <v>3047</v>
      </c>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95</v>
      </c>
      <c r="E109" s="677">
        <f t="shared" si="25"/>
        <v>90</v>
      </c>
      <c r="F109" s="677">
        <f t="shared" si="25"/>
        <v>85</v>
      </c>
      <c r="G109" s="677">
        <f t="shared" si="25"/>
        <v>80</v>
      </c>
      <c r="H109" s="677">
        <f t="shared" si="25"/>
        <v>75</v>
      </c>
      <c r="I109" s="677">
        <f t="shared" si="25"/>
        <v>70</v>
      </c>
      <c r="J109" s="677">
        <f t="shared" si="25"/>
        <v>65</v>
      </c>
      <c r="K109" s="677">
        <f t="shared" si="25"/>
        <v>60</v>
      </c>
      <c r="L109" s="677">
        <f t="shared" si="25"/>
        <v>55</v>
      </c>
      <c r="M109" s="678">
        <f t="shared" si="25"/>
        <v>50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3195" t="s">
        <v>3038</v>
      </c>
      <c r="D115" s="3195" t="s">
        <v>3040</v>
      </c>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2560</v>
      </c>
      <c r="C117" s="3195" t="s">
        <v>3041</v>
      </c>
      <c r="D117" s="3195" t="s">
        <v>3042</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3195" t="s">
        <v>3044</v>
      </c>
      <c r="D123" s="3195" t="s">
        <v>3046</v>
      </c>
      <c r="E123" s="3195" t="s">
        <v>3047</v>
      </c>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t="str">
        <f>B45</f>
        <v>建成年代</v>
      </c>
      <c r="C127" s="686">
        <v>2014</v>
      </c>
      <c r="D127" s="686">
        <v>2012</v>
      </c>
      <c r="E127" s="686">
        <v>2010</v>
      </c>
      <c r="F127" s="686">
        <v>2008</v>
      </c>
      <c r="G127" s="686">
        <v>2006</v>
      </c>
      <c r="H127" s="3201">
        <v>2005</v>
      </c>
      <c r="I127" s="687">
        <v>2004</v>
      </c>
      <c r="J127" s="687">
        <v>2003</v>
      </c>
      <c r="K127" s="687">
        <v>2002</v>
      </c>
      <c r="L127" s="687">
        <v>2000</v>
      </c>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v>100</v>
      </c>
      <c r="D128" s="669">
        <v>99</v>
      </c>
      <c r="E128" s="669">
        <v>98</v>
      </c>
      <c r="F128" s="669">
        <v>97</v>
      </c>
      <c r="G128" s="690">
        <v>96</v>
      </c>
      <c r="H128" s="3201">
        <v>95.5</v>
      </c>
      <c r="I128" s="691">
        <v>95</v>
      </c>
      <c r="J128" s="691">
        <v>94.5</v>
      </c>
      <c r="K128" s="691">
        <v>94</v>
      </c>
      <c r="L128" s="691">
        <v>93</v>
      </c>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596" t="s">
        <v>522</v>
      </c>
      <c r="D4" s="3597"/>
      <c r="E4" s="3620" t="s">
        <v>523</v>
      </c>
      <c r="F4" s="3621"/>
      <c r="G4" s="3596" t="s">
        <v>524</v>
      </c>
      <c r="H4" s="3597"/>
      <c r="I4" s="3596" t="s">
        <v>525</v>
      </c>
      <c r="J4" s="3597"/>
      <c r="K4" s="512" t="s">
        <v>526</v>
      </c>
      <c r="L4" s="2133"/>
      <c r="M4" s="2134"/>
      <c r="N4" s="2134"/>
      <c r="O4" s="2134"/>
      <c r="P4" s="3598" t="s">
        <v>527</v>
      </c>
      <c r="Q4" s="3599"/>
      <c r="R4" s="3584" t="s">
        <v>523</v>
      </c>
      <c r="S4" s="3585"/>
      <c r="T4" s="3584" t="s">
        <v>524</v>
      </c>
      <c r="U4" s="3585"/>
      <c r="V4" s="3604" t="s">
        <v>525</v>
      </c>
      <c r="W4" s="3604"/>
      <c r="X4" s="1566"/>
      <c r="Y4" s="3584" t="s">
        <v>527</v>
      </c>
      <c r="Z4" s="3585"/>
      <c r="AA4" s="3579" t="s">
        <v>523</v>
      </c>
      <c r="AB4" s="3580" t="s">
        <v>524</v>
      </c>
      <c r="AC4" s="3579" t="s">
        <v>525</v>
      </c>
    </row>
    <row r="5" spans="1:29" ht="15">
      <c r="A5" s="513"/>
      <c r="B5" s="514"/>
      <c r="C5" s="3607" t="s">
        <v>2930</v>
      </c>
      <c r="D5" s="3608"/>
      <c r="E5" s="3622" t="s">
        <v>2931</v>
      </c>
      <c r="F5" s="3623"/>
      <c r="G5" s="3607" t="s">
        <v>2932</v>
      </c>
      <c r="H5" s="3608"/>
      <c r="I5" s="3607" t="s">
        <v>2933</v>
      </c>
      <c r="J5" s="3608"/>
      <c r="K5" s="512"/>
      <c r="L5" s="2133"/>
      <c r="M5" s="2134"/>
      <c r="N5" s="2134"/>
      <c r="O5" s="2134"/>
      <c r="P5" s="3600"/>
      <c r="Q5" s="3601"/>
      <c r="R5" s="3586"/>
      <c r="S5" s="3587"/>
      <c r="T5" s="3586"/>
      <c r="U5" s="3587"/>
      <c r="V5" s="3604"/>
      <c r="W5" s="3604"/>
      <c r="X5" s="1566"/>
      <c r="Y5" s="3586"/>
      <c r="Z5" s="3587"/>
      <c r="AA5" s="3580"/>
      <c r="AB5" s="3580"/>
      <c r="AC5" s="3580"/>
    </row>
    <row r="6" spans="1:29" ht="15.75" thickBot="1">
      <c r="A6" s="515"/>
      <c r="B6" s="516"/>
      <c r="C6" s="3605" t="s">
        <v>2934</v>
      </c>
      <c r="D6" s="3606"/>
      <c r="E6" s="3624" t="s">
        <v>2934</v>
      </c>
      <c r="F6" s="3625"/>
      <c r="G6" s="3605" t="s">
        <v>2934</v>
      </c>
      <c r="H6" s="3606"/>
      <c r="I6" s="3605" t="s">
        <v>2934</v>
      </c>
      <c r="J6" s="3606"/>
      <c r="K6" s="512" t="s">
        <v>528</v>
      </c>
      <c r="L6" s="2133"/>
      <c r="M6" s="2134"/>
      <c r="N6" s="2134"/>
      <c r="O6" s="2134"/>
      <c r="P6" s="3602"/>
      <c r="Q6" s="3603"/>
      <c r="R6" s="3586"/>
      <c r="S6" s="3587"/>
      <c r="T6" s="3588"/>
      <c r="U6" s="3589"/>
      <c r="V6" s="3604"/>
      <c r="W6" s="3604"/>
      <c r="X6" s="1566"/>
      <c r="Y6" s="3588"/>
      <c r="Z6" s="3589"/>
      <c r="AA6" s="3581"/>
      <c r="AB6" s="3581"/>
      <c r="AC6" s="3581"/>
    </row>
    <row r="7" spans="1:29" s="1218" customFormat="1" ht="15.75" thickBot="1">
      <c r="A7" s="2934"/>
      <c r="B7" s="2941"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5"/>
      <c r="M7" s="2136"/>
      <c r="N7" s="2136"/>
      <c r="O7" s="2136"/>
      <c r="P7" s="3582" t="s">
        <v>530</v>
      </c>
      <c r="Q7" s="3591"/>
      <c r="R7" s="1567" t="s">
        <v>8</v>
      </c>
      <c r="S7" s="1568">
        <f t="shared" ref="S7:S15" si="0">F7</f>
        <v>0</v>
      </c>
      <c r="T7" s="1567" t="s">
        <v>8</v>
      </c>
      <c r="U7" s="1568">
        <f t="shared" ref="U7:U15" si="1">H7</f>
        <v>0</v>
      </c>
      <c r="V7" s="1567" t="s">
        <v>8</v>
      </c>
      <c r="W7" s="1568">
        <f t="shared" ref="W7:W15" si="2">J7</f>
        <v>0</v>
      </c>
      <c r="X7" s="1569"/>
      <c r="Y7" s="3582" t="s">
        <v>530</v>
      </c>
      <c r="Z7" s="3583"/>
      <c r="AA7" s="1570" t="e">
        <f>D7/F7</f>
        <v>#DIV/0!</v>
      </c>
      <c r="AB7" s="1570" t="e">
        <f>D7/H7</f>
        <v>#DIV/0!</v>
      </c>
      <c r="AC7" s="1570"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582" t="s">
        <v>533</v>
      </c>
      <c r="Q8" s="3583"/>
      <c r="R8" s="1567" t="s">
        <v>8</v>
      </c>
      <c r="S8" s="1568">
        <f t="shared" si="0"/>
        <v>0</v>
      </c>
      <c r="T8" s="1567" t="s">
        <v>8</v>
      </c>
      <c r="U8" s="1568">
        <f t="shared" si="1"/>
        <v>0</v>
      </c>
      <c r="V8" s="1567" t="s">
        <v>8</v>
      </c>
      <c r="W8" s="1568">
        <f t="shared" si="2"/>
        <v>0</v>
      </c>
      <c r="X8" s="1569"/>
      <c r="Y8" s="3582" t="s">
        <v>533</v>
      </c>
      <c r="Z8" s="3583"/>
      <c r="AA8" s="1570" t="e">
        <f t="shared" ref="AA8:AA40" si="3">D8/F8</f>
        <v>#DIV/0!</v>
      </c>
      <c r="AB8" s="1570" t="e">
        <f t="shared" ref="AB8:AB40" si="4">D8/H8</f>
        <v>#DIV/0!</v>
      </c>
      <c r="AC8" s="1570" t="e">
        <f t="shared" ref="AC8:AC40" si="5">D8/J8</f>
        <v>#DIV/0!</v>
      </c>
    </row>
    <row r="9" spans="1:29" s="1218" customFormat="1" ht="15">
      <c r="A9" s="2936"/>
      <c r="B9" s="2943" t="s">
        <v>2760</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590" t="s">
        <v>535</v>
      </c>
      <c r="Q9" s="1149" t="str">
        <f t="shared" ref="Q9:Q15" si="6">B9</f>
        <v>用途</v>
      </c>
      <c r="R9" s="1567" t="s">
        <v>8</v>
      </c>
      <c r="S9" s="1568">
        <f t="shared" si="0"/>
        <v>100</v>
      </c>
      <c r="T9" s="1567" t="s">
        <v>8</v>
      </c>
      <c r="U9" s="1568">
        <f t="shared" si="1"/>
        <v>100</v>
      </c>
      <c r="V9" s="1567" t="s">
        <v>8</v>
      </c>
      <c r="W9" s="1568">
        <f t="shared" si="2"/>
        <v>100</v>
      </c>
      <c r="X9" s="1569"/>
      <c r="Y9" s="3432"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590"/>
      <c r="Q10" s="1149" t="str">
        <f t="shared" si="6"/>
        <v>土地使用年限（年）</v>
      </c>
      <c r="R10" s="1567" t="s">
        <v>8</v>
      </c>
      <c r="S10" s="1568">
        <f t="shared" si="0"/>
        <v>100</v>
      </c>
      <c r="T10" s="1567" t="s">
        <v>8</v>
      </c>
      <c r="U10" s="1568">
        <f t="shared" si="1"/>
        <v>100</v>
      </c>
      <c r="V10" s="1567" t="s">
        <v>8</v>
      </c>
      <c r="W10" s="1568">
        <f t="shared" si="2"/>
        <v>100</v>
      </c>
      <c r="X10" s="1569"/>
      <c r="Y10" s="3432"/>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590"/>
      <c r="Q11" s="1149" t="str">
        <f t="shared" si="6"/>
        <v>容积率</v>
      </c>
      <c r="R11" s="1567" t="s">
        <v>8</v>
      </c>
      <c r="S11" s="1568" t="e">
        <f t="shared" si="0"/>
        <v>#N/A</v>
      </c>
      <c r="T11" s="1567" t="s">
        <v>8</v>
      </c>
      <c r="U11" s="1568" t="e">
        <f t="shared" si="1"/>
        <v>#N/A</v>
      </c>
      <c r="V11" s="1567" t="s">
        <v>8</v>
      </c>
      <c r="W11" s="1568" t="e">
        <f t="shared" si="2"/>
        <v>#N/A</v>
      </c>
      <c r="X11" s="1569"/>
      <c r="Y11" s="3432"/>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590"/>
      <c r="Q12" s="1149">
        <f t="shared" si="6"/>
        <v>111</v>
      </c>
      <c r="R12" s="1567" t="s">
        <v>8</v>
      </c>
      <c r="S12" s="1568">
        <f t="shared" si="0"/>
        <v>100</v>
      </c>
      <c r="T12" s="1567" t="s">
        <v>8</v>
      </c>
      <c r="U12" s="1568">
        <f t="shared" si="1"/>
        <v>100</v>
      </c>
      <c r="V12" s="1567" t="s">
        <v>8</v>
      </c>
      <c r="W12" s="1568">
        <f t="shared" si="2"/>
        <v>100</v>
      </c>
      <c r="X12" s="1569"/>
      <c r="Y12" s="3432"/>
      <c r="Z12" s="1148">
        <f t="shared" si="7"/>
        <v>111</v>
      </c>
      <c r="AA12" s="1570">
        <f>D12/F12</f>
        <v>1</v>
      </c>
      <c r="AB12" s="1570">
        <f>D12/H12</f>
        <v>1</v>
      </c>
      <c r="AC12" s="1570">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590"/>
      <c r="Q13" s="1149">
        <f t="shared" si="6"/>
        <v>111</v>
      </c>
      <c r="R13" s="1567" t="s">
        <v>8</v>
      </c>
      <c r="S13" s="1568">
        <f t="shared" si="0"/>
        <v>100</v>
      </c>
      <c r="T13" s="1567" t="s">
        <v>8</v>
      </c>
      <c r="U13" s="1568">
        <f t="shared" si="1"/>
        <v>100</v>
      </c>
      <c r="V13" s="1567" t="s">
        <v>8</v>
      </c>
      <c r="W13" s="1568">
        <f t="shared" si="2"/>
        <v>100</v>
      </c>
      <c r="X13" s="1569"/>
      <c r="Y13" s="3432"/>
      <c r="Z13" s="1148">
        <f t="shared" si="7"/>
        <v>111</v>
      </c>
      <c r="AA13" s="1570">
        <f t="shared" si="3"/>
        <v>1</v>
      </c>
      <c r="AB13" s="1570">
        <f t="shared" si="4"/>
        <v>1</v>
      </c>
      <c r="AC13" s="1570">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590"/>
      <c r="Q14" s="1149">
        <f t="shared" si="6"/>
        <v>111</v>
      </c>
      <c r="R14" s="1567" t="s">
        <v>8</v>
      </c>
      <c r="S14" s="1568">
        <f t="shared" si="0"/>
        <v>100</v>
      </c>
      <c r="T14" s="1567" t="s">
        <v>8</v>
      </c>
      <c r="U14" s="1568">
        <f t="shared" si="1"/>
        <v>100</v>
      </c>
      <c r="V14" s="1567" t="s">
        <v>8</v>
      </c>
      <c r="W14" s="1568">
        <f t="shared" si="2"/>
        <v>100</v>
      </c>
      <c r="X14" s="1569"/>
      <c r="Y14" s="3432"/>
      <c r="Z14" s="1148">
        <f t="shared" si="7"/>
        <v>111</v>
      </c>
      <c r="AA14" s="1570">
        <f t="shared" si="3"/>
        <v>1</v>
      </c>
      <c r="AB14" s="1570">
        <f t="shared" si="4"/>
        <v>1</v>
      </c>
      <c r="AC14" s="1570">
        <f t="shared" si="5"/>
        <v>1</v>
      </c>
    </row>
    <row r="15" spans="1:29" ht="57">
      <c r="A15" s="2932"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592" t="s">
        <v>540</v>
      </c>
      <c r="Q15" s="1571" t="str">
        <f t="shared" si="6"/>
        <v>产业集聚程度</v>
      </c>
      <c r="R15" s="1572" t="s">
        <v>8</v>
      </c>
      <c r="S15" s="1573">
        <f t="shared" si="0"/>
        <v>100</v>
      </c>
      <c r="T15" s="1572" t="s">
        <v>8</v>
      </c>
      <c r="U15" s="1573">
        <f t="shared" si="1"/>
        <v>100</v>
      </c>
      <c r="V15" s="1572" t="s">
        <v>8</v>
      </c>
      <c r="W15" s="1573">
        <f t="shared" si="2"/>
        <v>100</v>
      </c>
      <c r="X15" s="1566"/>
      <c r="Y15" s="3592"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93"/>
      <c r="Q16" s="1571"/>
      <c r="R16" s="1572"/>
      <c r="S16" s="1573"/>
      <c r="T16" s="1572"/>
      <c r="U16" s="1573"/>
      <c r="V16" s="1572"/>
      <c r="W16" s="1573"/>
      <c r="X16" s="1566"/>
      <c r="Y16" s="3593"/>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593"/>
      <c r="Q17" s="1571" t="str">
        <f>B17</f>
        <v>交通便捷度</v>
      </c>
      <c r="R17" s="1572" t="s">
        <v>8</v>
      </c>
      <c r="S17" s="1573">
        <f>F17</f>
        <v>100</v>
      </c>
      <c r="T17" s="1572" t="s">
        <v>8</v>
      </c>
      <c r="U17" s="1573">
        <f>H17</f>
        <v>100</v>
      </c>
      <c r="V17" s="1572" t="s">
        <v>8</v>
      </c>
      <c r="W17" s="1573">
        <f>J17</f>
        <v>100</v>
      </c>
      <c r="X17" s="1566"/>
      <c r="Y17" s="3593"/>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93"/>
      <c r="Q18" s="1571"/>
      <c r="R18" s="1572"/>
      <c r="S18" s="1573"/>
      <c r="T18" s="1572"/>
      <c r="U18" s="1573"/>
      <c r="V18" s="1572"/>
      <c r="W18" s="1573"/>
      <c r="X18" s="1566"/>
      <c r="Y18" s="3593"/>
      <c r="Z18" s="1574"/>
      <c r="AA18" s="1575">
        <v>1</v>
      </c>
      <c r="AB18" s="1575">
        <v>1</v>
      </c>
      <c r="AC18" s="1575">
        <v>1</v>
      </c>
    </row>
    <row r="19" spans="1:29" ht="42.75">
      <c r="A19" s="530"/>
      <c r="B19" s="2625"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593"/>
      <c r="Q19" s="1571" t="str">
        <f>B19</f>
        <v>公共配套设施</v>
      </c>
      <c r="R19" s="1572" t="s">
        <v>8</v>
      </c>
      <c r="S19" s="1573">
        <f>F19</f>
        <v>100</v>
      </c>
      <c r="T19" s="1572" t="s">
        <v>8</v>
      </c>
      <c r="U19" s="1573">
        <f>H19</f>
        <v>100</v>
      </c>
      <c r="V19" s="1572" t="s">
        <v>8</v>
      </c>
      <c r="W19" s="1573">
        <f>J19</f>
        <v>100</v>
      </c>
      <c r="X19" s="1566"/>
      <c r="Y19" s="3593"/>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593"/>
      <c r="Q20" s="1571"/>
      <c r="R20" s="1572"/>
      <c r="S20" s="1573"/>
      <c r="T20" s="1572"/>
      <c r="U20" s="1573"/>
      <c r="V20" s="1572"/>
      <c r="W20" s="1573"/>
      <c r="X20" s="1566"/>
      <c r="Y20" s="3593"/>
      <c r="Z20" s="1574"/>
      <c r="AA20" s="1575">
        <v>1</v>
      </c>
      <c r="AB20" s="1575">
        <v>1</v>
      </c>
      <c r="AC20" s="1575">
        <v>1</v>
      </c>
    </row>
    <row r="21" spans="1:29" ht="28.5">
      <c r="A21" s="530"/>
      <c r="B21" s="2613"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593"/>
      <c r="Q21" s="2601" t="str">
        <f>B21</f>
        <v>基础设施水平</v>
      </c>
      <c r="R21" s="1572" t="s">
        <v>8</v>
      </c>
      <c r="S21" s="1573">
        <f>F21</f>
        <v>100</v>
      </c>
      <c r="T21" s="1572" t="s">
        <v>8</v>
      </c>
      <c r="U21" s="1573">
        <f>H21</f>
        <v>100</v>
      </c>
      <c r="V21" s="1572" t="s">
        <v>8</v>
      </c>
      <c r="W21" s="1573">
        <f>J21</f>
        <v>100</v>
      </c>
      <c r="X21" s="2603"/>
      <c r="Y21" s="3593"/>
      <c r="Z21" s="2602"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4"/>
      <c r="L22" s="2142"/>
      <c r="M22" s="2134"/>
      <c r="N22" s="2134"/>
      <c r="O22" s="2141"/>
      <c r="P22" s="3593"/>
      <c r="Q22" s="2601"/>
      <c r="R22" s="1572"/>
      <c r="S22" s="1573"/>
      <c r="T22" s="1572"/>
      <c r="U22" s="1573"/>
      <c r="V22" s="1572"/>
      <c r="W22" s="1573"/>
      <c r="X22" s="2603"/>
      <c r="Y22" s="3593"/>
      <c r="Z22" s="2602"/>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593"/>
      <c r="Q23" s="1571" t="str">
        <f>B23</f>
        <v>环境质量</v>
      </c>
      <c r="R23" s="1572" t="s">
        <v>8</v>
      </c>
      <c r="S23" s="1573">
        <f>F23</f>
        <v>100</v>
      </c>
      <c r="T23" s="1572" t="s">
        <v>8</v>
      </c>
      <c r="U23" s="1573">
        <f>H23</f>
        <v>100</v>
      </c>
      <c r="V23" s="1572" t="s">
        <v>8</v>
      </c>
      <c r="W23" s="1573">
        <f>J23</f>
        <v>100</v>
      </c>
      <c r="X23" s="1566"/>
      <c r="Y23" s="3593"/>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593"/>
      <c r="Q24" s="1571"/>
      <c r="R24" s="1572"/>
      <c r="S24" s="1573"/>
      <c r="T24" s="1572"/>
      <c r="U24" s="1573"/>
      <c r="V24" s="1572"/>
      <c r="W24" s="1573"/>
      <c r="X24" s="1566"/>
      <c r="Y24" s="3593"/>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593"/>
      <c r="Q25" s="1571">
        <f>B25</f>
        <v>111</v>
      </c>
      <c r="R25" s="1572" t="s">
        <v>8</v>
      </c>
      <c r="S25" s="1573">
        <f>F25</f>
        <v>100</v>
      </c>
      <c r="T25" s="1572" t="s">
        <v>8</v>
      </c>
      <c r="U25" s="1573">
        <f>H25</f>
        <v>100</v>
      </c>
      <c r="V25" s="1572" t="s">
        <v>8</v>
      </c>
      <c r="W25" s="1573">
        <f>J25</f>
        <v>100</v>
      </c>
      <c r="X25" s="1566"/>
      <c r="Y25" s="3593"/>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593"/>
      <c r="Q26" s="1571">
        <f t="shared" ref="Q26:Q40" si="11">B26</f>
        <v>111</v>
      </c>
      <c r="R26" s="1572" t="s">
        <v>8</v>
      </c>
      <c r="S26" s="1573">
        <f>F26</f>
        <v>100</v>
      </c>
      <c r="T26" s="1572" t="s">
        <v>8</v>
      </c>
      <c r="U26" s="1573">
        <f>H26</f>
        <v>100</v>
      </c>
      <c r="V26" s="1572" t="s">
        <v>8</v>
      </c>
      <c r="W26" s="1573">
        <f>J26</f>
        <v>100</v>
      </c>
      <c r="X26" s="1566"/>
      <c r="Y26" s="3593"/>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593"/>
      <c r="Q27" s="1149">
        <f t="shared" si="11"/>
        <v>111</v>
      </c>
      <c r="R27" s="1567" t="s">
        <v>8</v>
      </c>
      <c r="S27" s="1568">
        <f>F27</f>
        <v>100</v>
      </c>
      <c r="T27" s="1567" t="s">
        <v>8</v>
      </c>
      <c r="U27" s="1568">
        <f>H27</f>
        <v>100</v>
      </c>
      <c r="V27" s="1567" t="s">
        <v>8</v>
      </c>
      <c r="W27" s="1568">
        <f>J27</f>
        <v>100</v>
      </c>
      <c r="X27" s="1569"/>
      <c r="Y27" s="3593"/>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593"/>
      <c r="Q28" s="1571">
        <f t="shared" si="11"/>
        <v>111</v>
      </c>
      <c r="R28" s="1572" t="s">
        <v>8</v>
      </c>
      <c r="S28" s="1573">
        <f t="shared" ref="S28:S40" si="12">F28</f>
        <v>100</v>
      </c>
      <c r="T28" s="1572" t="s">
        <v>8</v>
      </c>
      <c r="U28" s="1573">
        <f t="shared" ref="U28:U40" si="13">H28</f>
        <v>100</v>
      </c>
      <c r="V28" s="1572" t="s">
        <v>8</v>
      </c>
      <c r="W28" s="1573">
        <f t="shared" ref="W28:W40" si="14">J28</f>
        <v>100</v>
      </c>
      <c r="X28" s="1566"/>
      <c r="Y28" s="3593"/>
      <c r="Z28" s="1574">
        <f t="shared" ref="Z28:Z40" si="15">Q28</f>
        <v>111</v>
      </c>
      <c r="AA28" s="1575">
        <f t="shared" si="3"/>
        <v>1</v>
      </c>
      <c r="AB28" s="1575">
        <f t="shared" si="4"/>
        <v>1</v>
      </c>
      <c r="AC28" s="1575">
        <f t="shared" si="5"/>
        <v>1</v>
      </c>
    </row>
    <row r="29" spans="1:29" ht="15">
      <c r="A29" s="2929"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594" t="s">
        <v>550</v>
      </c>
      <c r="Q29" s="1571" t="str">
        <f t="shared" si="11"/>
        <v>建筑类型</v>
      </c>
      <c r="R29" s="1572" t="s">
        <v>8</v>
      </c>
      <c r="S29" s="1573">
        <f t="shared" si="12"/>
        <v>100</v>
      </c>
      <c r="T29" s="1572" t="s">
        <v>8</v>
      </c>
      <c r="U29" s="1573">
        <f t="shared" si="13"/>
        <v>100</v>
      </c>
      <c r="V29" s="1572" t="s">
        <v>8</v>
      </c>
      <c r="W29" s="1573">
        <f t="shared" si="14"/>
        <v>100</v>
      </c>
      <c r="X29" s="1566"/>
      <c r="Y29" s="3595"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595"/>
      <c r="Q30" s="1604" t="str">
        <f t="shared" si="11"/>
        <v>项目建筑规模</v>
      </c>
      <c r="R30" s="1576" t="s">
        <v>8</v>
      </c>
      <c r="S30" s="1577" t="e">
        <f t="shared" si="12"/>
        <v>#N/A</v>
      </c>
      <c r="T30" s="1576" t="s">
        <v>8</v>
      </c>
      <c r="U30" s="1577" t="e">
        <f t="shared" si="13"/>
        <v>#N/A</v>
      </c>
      <c r="V30" s="1576" t="s">
        <v>8</v>
      </c>
      <c r="W30" s="1577" t="e">
        <f t="shared" si="14"/>
        <v>#N/A</v>
      </c>
      <c r="X30" s="1578"/>
      <c r="Y30" s="3595"/>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595"/>
      <c r="Q31" s="1571" t="str">
        <f t="shared" si="11"/>
        <v>建筑结构</v>
      </c>
      <c r="R31" s="1572" t="s">
        <v>8</v>
      </c>
      <c r="S31" s="1573">
        <f t="shared" si="12"/>
        <v>100</v>
      </c>
      <c r="T31" s="1572" t="s">
        <v>8</v>
      </c>
      <c r="U31" s="1573">
        <f t="shared" si="13"/>
        <v>100</v>
      </c>
      <c r="V31" s="1572" t="s">
        <v>8</v>
      </c>
      <c r="W31" s="1573">
        <f t="shared" si="14"/>
        <v>100</v>
      </c>
      <c r="X31" s="1566"/>
      <c r="Y31" s="3595"/>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595"/>
      <c r="Q32" s="1571" t="str">
        <f t="shared" si="11"/>
        <v>公共部分装修</v>
      </c>
      <c r="R32" s="1572" t="s">
        <v>8</v>
      </c>
      <c r="S32" s="1573">
        <f t="shared" si="12"/>
        <v>100</v>
      </c>
      <c r="T32" s="1572" t="s">
        <v>8</v>
      </c>
      <c r="U32" s="1573">
        <f t="shared" si="13"/>
        <v>100</v>
      </c>
      <c r="V32" s="1572" t="s">
        <v>8</v>
      </c>
      <c r="W32" s="1573">
        <f t="shared" si="14"/>
        <v>100</v>
      </c>
      <c r="X32" s="1566"/>
      <c r="Y32" s="3595"/>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595"/>
      <c r="Q33" s="1571" t="str">
        <f t="shared" si="11"/>
        <v>成新度</v>
      </c>
      <c r="R33" s="1572" t="s">
        <v>8</v>
      </c>
      <c r="S33" s="1573" t="e">
        <f t="shared" si="12"/>
        <v>#N/A</v>
      </c>
      <c r="T33" s="1572" t="s">
        <v>8</v>
      </c>
      <c r="U33" s="1573" t="e">
        <f t="shared" si="13"/>
        <v>#N/A</v>
      </c>
      <c r="V33" s="1572" t="s">
        <v>8</v>
      </c>
      <c r="W33" s="1573" t="e">
        <f t="shared" si="14"/>
        <v>#N/A</v>
      </c>
      <c r="X33" s="1566"/>
      <c r="Y33" s="3595"/>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595"/>
      <c r="Q34" s="1149" t="str">
        <f t="shared" si="11"/>
        <v>物业管理</v>
      </c>
      <c r="R34" s="1567" t="s">
        <v>8</v>
      </c>
      <c r="S34" s="1568">
        <f t="shared" si="12"/>
        <v>100</v>
      </c>
      <c r="T34" s="1567" t="s">
        <v>8</v>
      </c>
      <c r="U34" s="1568">
        <f t="shared" si="13"/>
        <v>100</v>
      </c>
      <c r="V34" s="1567" t="s">
        <v>8</v>
      </c>
      <c r="W34" s="1568">
        <f t="shared" si="14"/>
        <v>100</v>
      </c>
      <c r="X34" s="1569"/>
      <c r="Y34" s="3595"/>
      <c r="Z34" s="1148" t="str">
        <f t="shared" si="15"/>
        <v>物业管理</v>
      </c>
      <c r="AA34" s="1570">
        <f t="shared" si="3"/>
        <v>1</v>
      </c>
      <c r="AB34" s="1570">
        <f t="shared" si="4"/>
        <v>1</v>
      </c>
      <c r="AC34" s="1570">
        <f t="shared" si="5"/>
        <v>1</v>
      </c>
    </row>
    <row r="35" spans="1:29" ht="15">
      <c r="A35" s="592"/>
      <c r="B35" s="1895"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595" t="s">
        <v>550</v>
      </c>
      <c r="Q35" s="1571" t="str">
        <f t="shared" si="11"/>
        <v>市政基础设施</v>
      </c>
      <c r="R35" s="1572" t="s">
        <v>8</v>
      </c>
      <c r="S35" s="1573">
        <f t="shared" si="12"/>
        <v>100</v>
      </c>
      <c r="T35" s="1572" t="s">
        <v>8</v>
      </c>
      <c r="U35" s="1573">
        <f t="shared" si="13"/>
        <v>100</v>
      </c>
      <c r="V35" s="1572" t="s">
        <v>8</v>
      </c>
      <c r="W35" s="1573">
        <f t="shared" si="14"/>
        <v>100</v>
      </c>
      <c r="X35" s="1566"/>
      <c r="Y35" s="3595"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595"/>
      <c r="Q36" s="1571" t="str">
        <f t="shared" si="11"/>
        <v>内部装修</v>
      </c>
      <c r="R36" s="1572" t="s">
        <v>8</v>
      </c>
      <c r="S36" s="1573">
        <f t="shared" si="12"/>
        <v>100</v>
      </c>
      <c r="T36" s="1572" t="s">
        <v>8</v>
      </c>
      <c r="U36" s="1573">
        <f t="shared" si="13"/>
        <v>100</v>
      </c>
      <c r="V36" s="1572" t="s">
        <v>8</v>
      </c>
      <c r="W36" s="1573">
        <f t="shared" si="14"/>
        <v>100</v>
      </c>
      <c r="X36" s="1566"/>
      <c r="Y36" s="3595"/>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595"/>
      <c r="Q37" s="1571" t="str">
        <f t="shared" si="11"/>
        <v>内部装修状况</v>
      </c>
      <c r="R37" s="1572" t="s">
        <v>8</v>
      </c>
      <c r="S37" s="1573">
        <f t="shared" si="12"/>
        <v>100</v>
      </c>
      <c r="T37" s="1572" t="s">
        <v>8</v>
      </c>
      <c r="U37" s="1573">
        <f t="shared" si="13"/>
        <v>100</v>
      </c>
      <c r="V37" s="1572" t="s">
        <v>8</v>
      </c>
      <c r="W37" s="1573">
        <f t="shared" si="14"/>
        <v>100</v>
      </c>
      <c r="X37" s="1566"/>
      <c r="Y37" s="3595"/>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595"/>
      <c r="Q38" s="1604">
        <f t="shared" si="11"/>
        <v>111</v>
      </c>
      <c r="R38" s="1576" t="s">
        <v>8</v>
      </c>
      <c r="S38" s="1577">
        <f t="shared" si="12"/>
        <v>100</v>
      </c>
      <c r="T38" s="1576" t="s">
        <v>8</v>
      </c>
      <c r="U38" s="1577">
        <f t="shared" si="13"/>
        <v>100</v>
      </c>
      <c r="V38" s="1576" t="s">
        <v>8</v>
      </c>
      <c r="W38" s="1577">
        <f t="shared" si="14"/>
        <v>100</v>
      </c>
      <c r="X38" s="1578"/>
      <c r="Y38" s="3595"/>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595"/>
      <c r="Q39" s="1571">
        <f t="shared" si="11"/>
        <v>111</v>
      </c>
      <c r="R39" s="1572" t="s">
        <v>8</v>
      </c>
      <c r="S39" s="1573">
        <f t="shared" si="12"/>
        <v>100</v>
      </c>
      <c r="T39" s="1572" t="s">
        <v>8</v>
      </c>
      <c r="U39" s="1573">
        <f t="shared" si="13"/>
        <v>100</v>
      </c>
      <c r="V39" s="1572" t="s">
        <v>8</v>
      </c>
      <c r="W39" s="1573">
        <f t="shared" si="14"/>
        <v>100</v>
      </c>
      <c r="X39" s="1566"/>
      <c r="Y39" s="3595"/>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691"/>
      <c r="Q40" s="1571">
        <f t="shared" si="11"/>
        <v>111</v>
      </c>
      <c r="R40" s="1572" t="s">
        <v>8</v>
      </c>
      <c r="S40" s="1573">
        <f t="shared" si="12"/>
        <v>100</v>
      </c>
      <c r="T40" s="1572" t="s">
        <v>8</v>
      </c>
      <c r="U40" s="1573">
        <f t="shared" si="13"/>
        <v>100</v>
      </c>
      <c r="V40" s="1572" t="s">
        <v>8</v>
      </c>
      <c r="W40" s="1573">
        <f t="shared" si="14"/>
        <v>100</v>
      </c>
      <c r="X40" s="1566"/>
      <c r="Y40" s="3691"/>
      <c r="Z40" s="1574">
        <f t="shared" si="15"/>
        <v>111</v>
      </c>
      <c r="AA40" s="1575">
        <f t="shared" si="3"/>
        <v>1</v>
      </c>
      <c r="AB40" s="1575">
        <f t="shared" si="4"/>
        <v>1</v>
      </c>
      <c r="AC40" s="1575">
        <f t="shared" si="5"/>
        <v>1</v>
      </c>
    </row>
    <row r="41" spans="1:29" ht="15">
      <c r="A41" s="605" t="s">
        <v>736</v>
      </c>
      <c r="B41" s="885"/>
      <c r="C41" s="2649" t="s">
        <v>1</v>
      </c>
      <c r="D41" s="2650"/>
      <c r="E41" s="2651"/>
      <c r="F41" s="2652"/>
      <c r="G41" s="2653"/>
      <c r="H41" s="2654"/>
      <c r="I41" s="2651"/>
      <c r="J41" s="2654"/>
      <c r="K41" s="1610"/>
      <c r="L41" s="2144"/>
      <c r="M41" s="2145"/>
      <c r="N41" s="2134"/>
      <c r="O41" s="2145"/>
      <c r="P41" s="3590" t="str">
        <f>A41</f>
        <v>成交单价（元/平方米）</v>
      </c>
      <c r="Q41" s="3590"/>
      <c r="R41" s="3690">
        <f>E41</f>
        <v>0</v>
      </c>
      <c r="S41" s="3690"/>
      <c r="T41" s="3690">
        <f>G41</f>
        <v>0</v>
      </c>
      <c r="U41" s="3690"/>
      <c r="V41" s="3690">
        <f>I41</f>
        <v>0</v>
      </c>
      <c r="W41" s="3690"/>
      <c r="X41" s="1558"/>
      <c r="Y41" s="1580"/>
      <c r="Z41" s="1558"/>
      <c r="AA41" s="1558"/>
      <c r="AB41" s="1558"/>
      <c r="AC41" s="1558"/>
    </row>
    <row r="42" spans="1:29" ht="15.75" thickBot="1">
      <c r="A42" s="613" t="s">
        <v>2764</v>
      </c>
      <c r="B42" s="886"/>
      <c r="C42" s="2655" t="e">
        <f>R43</f>
        <v>#DIV/0!</v>
      </c>
      <c r="D42" s="2656"/>
      <c r="E42" s="2657" t="e">
        <f>R42</f>
        <v>#DIV/0!</v>
      </c>
      <c r="F42" s="2657"/>
      <c r="G42" s="2655" t="e">
        <f>T42</f>
        <v>#DIV/0!</v>
      </c>
      <c r="H42" s="2656"/>
      <c r="I42" s="2657" t="e">
        <f>V42</f>
        <v>#DIV/0!</v>
      </c>
      <c r="J42" s="2656"/>
      <c r="K42" s="1611"/>
      <c r="L42" s="2144"/>
      <c r="M42" s="2145"/>
      <c r="N42" s="2134"/>
      <c r="O42" s="2145"/>
      <c r="P42" s="3590" t="str">
        <f>A42</f>
        <v>比较价格（元/平方米）</v>
      </c>
      <c r="Q42" s="3590"/>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558"/>
      <c r="Y42" s="1558"/>
      <c r="Z42" s="1558"/>
      <c r="AA42" s="1558"/>
      <c r="AB42" s="1558"/>
      <c r="AC42" s="1558"/>
    </row>
    <row r="43" spans="1:29" ht="15.75" thickBot="1">
      <c r="A43" s="619" t="s">
        <v>2936</v>
      </c>
      <c r="B43" s="620"/>
      <c r="C43" s="2658" t="e">
        <f>R43</f>
        <v>#DIV/0!</v>
      </c>
      <c r="D43" s="2658"/>
      <c r="E43" s="2658"/>
      <c r="F43" s="2658"/>
      <c r="G43" s="2658"/>
      <c r="H43" s="2658"/>
      <c r="I43" s="2658"/>
      <c r="J43" s="2658"/>
      <c r="K43" s="1612"/>
      <c r="L43" s="2144"/>
      <c r="M43" s="2145"/>
      <c r="N43" s="2145"/>
      <c r="O43" s="2145"/>
      <c r="P43" s="3611" t="str">
        <f>A43</f>
        <v>估价对象XX用房的比较价格（楼面单价，元/平方米）</v>
      </c>
      <c r="Q43" s="3612"/>
      <c r="R43" s="3689" t="e">
        <f>IF(F1="售价",ROUND(AVERAGE(R42:V42),0),ROUND(AVERAGE(R42:V42),1))</f>
        <v>#DIV/0!</v>
      </c>
      <c r="S43" s="3689"/>
      <c r="T43" s="3689"/>
      <c r="U43" s="3689"/>
      <c r="V43" s="3689"/>
      <c r="W43" s="368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2561</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19" t="s">
        <v>2562</v>
      </c>
      <c r="C76" s="2620" t="s">
        <v>2563</v>
      </c>
      <c r="D76" s="2620" t="s">
        <v>2564</v>
      </c>
      <c r="E76" s="2620" t="s">
        <v>2565</v>
      </c>
      <c r="F76" s="2620" t="s">
        <v>2566</v>
      </c>
      <c r="G76" s="2620" t="s">
        <v>2567</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2560</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596" t="s">
        <v>798</v>
      </c>
      <c r="D4" s="3597"/>
      <c r="E4" s="3596" t="s">
        <v>799</v>
      </c>
      <c r="F4" s="3597"/>
      <c r="G4" s="3596" t="s">
        <v>800</v>
      </c>
      <c r="H4" s="3597"/>
      <c r="I4" s="3596" t="s">
        <v>801</v>
      </c>
      <c r="J4" s="3597"/>
      <c r="K4" s="512" t="s">
        <v>802</v>
      </c>
      <c r="L4" s="2133"/>
      <c r="M4" s="2134"/>
      <c r="N4" s="2134"/>
      <c r="O4" s="2134"/>
      <c r="P4" s="3598" t="s">
        <v>803</v>
      </c>
      <c r="Q4" s="3599"/>
      <c r="R4" s="3584" t="s">
        <v>799</v>
      </c>
      <c r="S4" s="3585"/>
      <c r="T4" s="3584" t="s">
        <v>800</v>
      </c>
      <c r="U4" s="3585"/>
      <c r="V4" s="3604" t="s">
        <v>801</v>
      </c>
      <c r="W4" s="3604"/>
      <c r="X4" s="1566"/>
      <c r="Y4" s="3584" t="s">
        <v>803</v>
      </c>
      <c r="Z4" s="3585"/>
      <c r="AA4" s="3579" t="s">
        <v>799</v>
      </c>
      <c r="AB4" s="3580" t="s">
        <v>800</v>
      </c>
      <c r="AC4" s="3579" t="s">
        <v>801</v>
      </c>
    </row>
    <row r="5" spans="1:29" ht="15">
      <c r="A5" s="513"/>
      <c r="B5" s="514"/>
      <c r="C5" s="3607" t="s">
        <v>2930</v>
      </c>
      <c r="D5" s="3608"/>
      <c r="E5" s="3607" t="s">
        <v>2931</v>
      </c>
      <c r="F5" s="3608"/>
      <c r="G5" s="3607" t="s">
        <v>2932</v>
      </c>
      <c r="H5" s="3608"/>
      <c r="I5" s="3607" t="s">
        <v>2933</v>
      </c>
      <c r="J5" s="3608"/>
      <c r="K5" s="512"/>
      <c r="L5" s="2133"/>
      <c r="M5" s="2134"/>
      <c r="N5" s="2134"/>
      <c r="O5" s="2134"/>
      <c r="P5" s="3600"/>
      <c r="Q5" s="3601"/>
      <c r="R5" s="3586"/>
      <c r="S5" s="3587"/>
      <c r="T5" s="3586"/>
      <c r="U5" s="3587"/>
      <c r="V5" s="3604"/>
      <c r="W5" s="3604"/>
      <c r="X5" s="1566"/>
      <c r="Y5" s="3586"/>
      <c r="Z5" s="3587"/>
      <c r="AA5" s="3580"/>
      <c r="AB5" s="3580"/>
      <c r="AC5" s="3580"/>
    </row>
    <row r="6" spans="1:29" ht="15.75" thickBot="1">
      <c r="A6" s="515"/>
      <c r="B6" s="516"/>
      <c r="C6" s="3605" t="s">
        <v>2934</v>
      </c>
      <c r="D6" s="3606"/>
      <c r="E6" s="3609" t="s">
        <v>2934</v>
      </c>
      <c r="F6" s="3610"/>
      <c r="G6" s="3605" t="s">
        <v>2934</v>
      </c>
      <c r="H6" s="3606"/>
      <c r="I6" s="3605" t="s">
        <v>2934</v>
      </c>
      <c r="J6" s="3606"/>
      <c r="K6" s="512" t="s">
        <v>528</v>
      </c>
      <c r="L6" s="2133"/>
      <c r="M6" s="2134"/>
      <c r="N6" s="2134"/>
      <c r="O6" s="2134"/>
      <c r="P6" s="3602"/>
      <c r="Q6" s="3603"/>
      <c r="R6" s="3586"/>
      <c r="S6" s="3587"/>
      <c r="T6" s="3588"/>
      <c r="U6" s="3589"/>
      <c r="V6" s="3604"/>
      <c r="W6" s="3604"/>
      <c r="X6" s="1566"/>
      <c r="Y6" s="3588"/>
      <c r="Z6" s="3589"/>
      <c r="AA6" s="3581"/>
      <c r="AB6" s="3581"/>
      <c r="AC6" s="3581"/>
    </row>
    <row r="7" spans="1:29" s="1218" customFormat="1" ht="15.75" thickBot="1">
      <c r="A7" s="2934"/>
      <c r="B7" s="2941"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5"/>
      <c r="M7" s="2136"/>
      <c r="N7" s="2136"/>
      <c r="O7" s="2136"/>
      <c r="P7" s="3582" t="s">
        <v>530</v>
      </c>
      <c r="Q7" s="3591"/>
      <c r="R7" s="1567" t="s">
        <v>8</v>
      </c>
      <c r="S7" s="1568">
        <f t="shared" ref="S7:S14" si="0">F7</f>
        <v>0</v>
      </c>
      <c r="T7" s="1567" t="s">
        <v>8</v>
      </c>
      <c r="U7" s="1568">
        <f t="shared" ref="U7:U14" si="1">H7</f>
        <v>0</v>
      </c>
      <c r="V7" s="1567" t="s">
        <v>8</v>
      </c>
      <c r="W7" s="1568">
        <f t="shared" ref="W7:W14" si="2">J7</f>
        <v>0</v>
      </c>
      <c r="X7" s="1569"/>
      <c r="Y7" s="3582" t="s">
        <v>530</v>
      </c>
      <c r="Z7" s="3583"/>
      <c r="AA7" s="1570" t="e">
        <f>D7/F7</f>
        <v>#DIV/0!</v>
      </c>
      <c r="AB7" s="1570" t="e">
        <f>D7/H7</f>
        <v>#DIV/0!</v>
      </c>
      <c r="AC7" s="1570"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5"/>
      <c r="M8" s="2136"/>
      <c r="N8" s="2136"/>
      <c r="O8" s="2136"/>
      <c r="P8" s="3582" t="s">
        <v>533</v>
      </c>
      <c r="Q8" s="3583"/>
      <c r="R8" s="1567" t="s">
        <v>8</v>
      </c>
      <c r="S8" s="1568">
        <f t="shared" si="0"/>
        <v>0</v>
      </c>
      <c r="T8" s="1567" t="s">
        <v>8</v>
      </c>
      <c r="U8" s="1568">
        <f t="shared" si="1"/>
        <v>0</v>
      </c>
      <c r="V8" s="1567" t="s">
        <v>8</v>
      </c>
      <c r="W8" s="1568">
        <f t="shared" si="2"/>
        <v>0</v>
      </c>
      <c r="X8" s="1569"/>
      <c r="Y8" s="3582" t="s">
        <v>533</v>
      </c>
      <c r="Z8" s="3583"/>
      <c r="AA8" s="1570" t="e">
        <f t="shared" ref="AA8:AA36" si="3">D8/F8</f>
        <v>#DIV/0!</v>
      </c>
      <c r="AB8" s="1570" t="e">
        <f t="shared" ref="AB8:AB36" si="4">D8/H8</f>
        <v>#DIV/0!</v>
      </c>
      <c r="AC8" s="1570" t="e">
        <f t="shared" ref="AC8:AC36" si="5">D8/J8</f>
        <v>#DIV/0!</v>
      </c>
    </row>
    <row r="9" spans="1:29" s="1218" customFormat="1" ht="15">
      <c r="A9" s="2936"/>
      <c r="B9" s="2943" t="s">
        <v>2760</v>
      </c>
      <c r="C9" s="855"/>
      <c r="D9" s="252">
        <v>100</v>
      </c>
      <c r="E9" s="858"/>
      <c r="F9" s="252">
        <f>SUMIF(53:53,E9,54:54)-SUMIF(53:53,C9,54:54)+100</f>
        <v>100</v>
      </c>
      <c r="G9" s="856"/>
      <c r="H9" s="252">
        <f>SUMIF(53:53,G9,54:54)-SUMIF(53:53,C9,54:54)+100</f>
        <v>100</v>
      </c>
      <c r="I9" s="856"/>
      <c r="J9" s="252">
        <f>SUMIF(53:53,I9,54:54)-SUMIF(53:53,C9,54:54)+100</f>
        <v>100</v>
      </c>
      <c r="K9" s="522"/>
      <c r="L9" s="2135"/>
      <c r="M9" s="2136"/>
      <c r="N9" s="2136"/>
      <c r="O9" s="2137"/>
      <c r="P9" s="3590" t="s">
        <v>535</v>
      </c>
      <c r="Q9" s="1149" t="str">
        <f t="shared" ref="Q9:Q14" si="6">B9</f>
        <v>用途</v>
      </c>
      <c r="R9" s="1567" t="s">
        <v>8</v>
      </c>
      <c r="S9" s="1568">
        <f t="shared" si="0"/>
        <v>100</v>
      </c>
      <c r="T9" s="1567" t="s">
        <v>8</v>
      </c>
      <c r="U9" s="1568">
        <f t="shared" si="1"/>
        <v>100</v>
      </c>
      <c r="V9" s="1567" t="s">
        <v>8</v>
      </c>
      <c r="W9" s="1568">
        <f t="shared" si="2"/>
        <v>100</v>
      </c>
      <c r="X9" s="1569"/>
      <c r="Y9" s="3432"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SUMIF(55:55,E10,56:56)-SUMIF(55:55,C10,56:56)+100</f>
        <v>100</v>
      </c>
      <c r="G10" s="860"/>
      <c r="H10" s="253">
        <f>SUMIF(55:55,G10,56:56)-SUMIF(55:55,C10,56:56)+100</f>
        <v>100</v>
      </c>
      <c r="I10" s="859"/>
      <c r="J10" s="253">
        <f>SUMIF(55:55,I10,56:56)-SUMIF(55:55,C10,56:56)+100</f>
        <v>100</v>
      </c>
      <c r="K10" s="582"/>
      <c r="L10" s="2138"/>
      <c r="M10" s="2178"/>
      <c r="N10" s="2178"/>
      <c r="O10" s="2139"/>
      <c r="P10" s="3590"/>
      <c r="Q10" s="1149" t="str">
        <f t="shared" si="6"/>
        <v>土地使用年限（年）</v>
      </c>
      <c r="R10" s="1567" t="s">
        <v>8</v>
      </c>
      <c r="S10" s="1568">
        <f t="shared" si="0"/>
        <v>100</v>
      </c>
      <c r="T10" s="1567" t="s">
        <v>8</v>
      </c>
      <c r="U10" s="1568">
        <f t="shared" si="1"/>
        <v>100</v>
      </c>
      <c r="V10" s="1567" t="s">
        <v>8</v>
      </c>
      <c r="W10" s="1568">
        <f t="shared" si="2"/>
        <v>100</v>
      </c>
      <c r="X10" s="1569"/>
      <c r="Y10" s="3432"/>
      <c r="Z10" s="1148" t="str">
        <f t="shared" si="7"/>
        <v>土地使用年限（年）</v>
      </c>
      <c r="AA10" s="1570">
        <f t="shared" si="3"/>
        <v>1</v>
      </c>
      <c r="AB10" s="1570">
        <f t="shared" si="4"/>
        <v>1</v>
      </c>
      <c r="AC10" s="1570">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590"/>
      <c r="Q11" s="1149">
        <f t="shared" si="6"/>
        <v>111</v>
      </c>
      <c r="R11" s="1567" t="s">
        <v>8</v>
      </c>
      <c r="S11" s="1568">
        <f t="shared" si="0"/>
        <v>100</v>
      </c>
      <c r="T11" s="1567" t="s">
        <v>8</v>
      </c>
      <c r="U11" s="1568">
        <f t="shared" si="1"/>
        <v>100</v>
      </c>
      <c r="V11" s="1567" t="s">
        <v>8</v>
      </c>
      <c r="W11" s="1568">
        <f t="shared" si="2"/>
        <v>100</v>
      </c>
      <c r="X11" s="1569"/>
      <c r="Y11" s="3432"/>
      <c r="Z11" s="1148">
        <f t="shared" si="7"/>
        <v>111</v>
      </c>
      <c r="AA11" s="1570">
        <f t="shared" si="3"/>
        <v>1</v>
      </c>
      <c r="AB11" s="1570">
        <f t="shared" si="4"/>
        <v>1</v>
      </c>
      <c r="AC11" s="1570">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590"/>
      <c r="Q12" s="1149">
        <f t="shared" si="6"/>
        <v>111</v>
      </c>
      <c r="R12" s="1567" t="s">
        <v>8</v>
      </c>
      <c r="S12" s="1568">
        <f t="shared" si="0"/>
        <v>100</v>
      </c>
      <c r="T12" s="1567" t="s">
        <v>8</v>
      </c>
      <c r="U12" s="1568">
        <f t="shared" si="1"/>
        <v>100</v>
      </c>
      <c r="V12" s="1567" t="s">
        <v>8</v>
      </c>
      <c r="W12" s="1568">
        <f t="shared" si="2"/>
        <v>100</v>
      </c>
      <c r="X12" s="1569"/>
      <c r="Y12" s="3432"/>
      <c r="Z12" s="1148">
        <f t="shared" si="7"/>
        <v>111</v>
      </c>
      <c r="AA12" s="1570">
        <f>D12/F12</f>
        <v>1</v>
      </c>
      <c r="AB12" s="1570">
        <f>D12/H12</f>
        <v>1</v>
      </c>
      <c r="AC12" s="1570">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590"/>
      <c r="Q13" s="1149">
        <f t="shared" si="6"/>
        <v>111</v>
      </c>
      <c r="R13" s="1567" t="s">
        <v>8</v>
      </c>
      <c r="S13" s="1568">
        <f t="shared" si="0"/>
        <v>100</v>
      </c>
      <c r="T13" s="1567" t="s">
        <v>8</v>
      </c>
      <c r="U13" s="1568">
        <f t="shared" si="1"/>
        <v>100</v>
      </c>
      <c r="V13" s="1567" t="s">
        <v>8</v>
      </c>
      <c r="W13" s="1568">
        <f t="shared" si="2"/>
        <v>100</v>
      </c>
      <c r="X13" s="1569"/>
      <c r="Y13" s="3432"/>
      <c r="Z13" s="1148">
        <f t="shared" si="7"/>
        <v>111</v>
      </c>
      <c r="AA13" s="1570">
        <f t="shared" si="3"/>
        <v>1</v>
      </c>
      <c r="AB13" s="1570">
        <f t="shared" si="4"/>
        <v>1</v>
      </c>
      <c r="AC13" s="1570">
        <f t="shared" si="5"/>
        <v>1</v>
      </c>
    </row>
    <row r="14" spans="1:29" ht="256.5">
      <c r="A14" s="2932"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592" t="s">
        <v>540</v>
      </c>
      <c r="Q14" s="1571" t="str">
        <f t="shared" si="6"/>
        <v>交通便捷度</v>
      </c>
      <c r="R14" s="1572" t="s">
        <v>8</v>
      </c>
      <c r="S14" s="1573">
        <f t="shared" si="0"/>
        <v>100</v>
      </c>
      <c r="T14" s="1572" t="s">
        <v>8</v>
      </c>
      <c r="U14" s="1573">
        <f t="shared" si="1"/>
        <v>100</v>
      </c>
      <c r="V14" s="1572" t="s">
        <v>8</v>
      </c>
      <c r="W14" s="1573">
        <f t="shared" si="2"/>
        <v>100</v>
      </c>
      <c r="X14" s="1566"/>
      <c r="Y14" s="3592"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2"/>
      <c r="M15" s="2134"/>
      <c r="N15" s="2134"/>
      <c r="O15" s="2141"/>
      <c r="P15" s="3593"/>
      <c r="Q15" s="1571"/>
      <c r="R15" s="1572"/>
      <c r="S15" s="1573"/>
      <c r="T15" s="1572"/>
      <c r="U15" s="1573"/>
      <c r="V15" s="1572"/>
      <c r="W15" s="1573"/>
      <c r="X15" s="1566"/>
      <c r="Y15" s="3593"/>
      <c r="Z15" s="1574"/>
      <c r="AA15" s="1575">
        <v>1</v>
      </c>
      <c r="AB15" s="1575">
        <v>1</v>
      </c>
      <c r="AC15" s="1575">
        <v>1</v>
      </c>
    </row>
    <row r="16" spans="1:29" ht="42.75">
      <c r="A16" s="513"/>
      <c r="B16" s="2625"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593"/>
      <c r="Q16" s="1571" t="str">
        <f>B16</f>
        <v>公共配套设施</v>
      </c>
      <c r="R16" s="1572" t="s">
        <v>8</v>
      </c>
      <c r="S16" s="1573">
        <f>F16</f>
        <v>100</v>
      </c>
      <c r="T16" s="1572" t="s">
        <v>8</v>
      </c>
      <c r="U16" s="1573">
        <f>H16</f>
        <v>100</v>
      </c>
      <c r="V16" s="1572" t="s">
        <v>8</v>
      </c>
      <c r="W16" s="1573">
        <f>J16</f>
        <v>100</v>
      </c>
      <c r="X16" s="1566"/>
      <c r="Y16" s="3593"/>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2"/>
      <c r="M17" s="2134"/>
      <c r="N17" s="2134"/>
      <c r="O17" s="2141"/>
      <c r="P17" s="3593"/>
      <c r="Q17" s="1571"/>
      <c r="R17" s="1572"/>
      <c r="S17" s="1573"/>
      <c r="T17" s="1572"/>
      <c r="U17" s="1573"/>
      <c r="V17" s="1572"/>
      <c r="W17" s="1573"/>
      <c r="X17" s="1566"/>
      <c r="Y17" s="3593"/>
      <c r="Z17" s="1574"/>
      <c r="AA17" s="1575">
        <v>1</v>
      </c>
      <c r="AB17" s="1575">
        <v>1</v>
      </c>
      <c r="AC17" s="1575">
        <v>1</v>
      </c>
    </row>
    <row r="18" spans="1:29" ht="42.75">
      <c r="A18" s="513"/>
      <c r="B18" s="2613"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593"/>
      <c r="Q18" s="2601" t="str">
        <f>B18</f>
        <v>基础设施水平</v>
      </c>
      <c r="R18" s="1572" t="s">
        <v>8</v>
      </c>
      <c r="S18" s="1573">
        <f>F18</f>
        <v>100</v>
      </c>
      <c r="T18" s="1572" t="s">
        <v>8</v>
      </c>
      <c r="U18" s="1573">
        <f>H18</f>
        <v>100</v>
      </c>
      <c r="V18" s="1572" t="s">
        <v>8</v>
      </c>
      <c r="W18" s="1573">
        <f>J18</f>
        <v>100</v>
      </c>
      <c r="X18" s="2603"/>
      <c r="Y18" s="3593"/>
      <c r="Z18" s="2602"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4"/>
      <c r="L19" s="2142"/>
      <c r="M19" s="2134"/>
      <c r="N19" s="2134"/>
      <c r="O19" s="2141"/>
      <c r="P19" s="3593"/>
      <c r="Q19" s="2601"/>
      <c r="R19" s="1572"/>
      <c r="S19" s="1573"/>
      <c r="T19" s="1572"/>
      <c r="U19" s="1573"/>
      <c r="V19" s="1572"/>
      <c r="W19" s="1573"/>
      <c r="X19" s="2603"/>
      <c r="Y19" s="3593"/>
      <c r="Z19" s="2602"/>
      <c r="AA19" s="1575">
        <v>1</v>
      </c>
      <c r="AB19" s="1575">
        <v>1</v>
      </c>
      <c r="AC19" s="1575">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593"/>
      <c r="Q20" s="1571" t="str">
        <f>B20</f>
        <v>自然及人文环境</v>
      </c>
      <c r="R20" s="1572" t="s">
        <v>8</v>
      </c>
      <c r="S20" s="1573">
        <f>F20</f>
        <v>100</v>
      </c>
      <c r="T20" s="1572" t="s">
        <v>8</v>
      </c>
      <c r="U20" s="1573">
        <f>H20</f>
        <v>100</v>
      </c>
      <c r="V20" s="1572" t="s">
        <v>8</v>
      </c>
      <c r="W20" s="1573">
        <f>J20</f>
        <v>100</v>
      </c>
      <c r="X20" s="1566"/>
      <c r="Y20" s="3593"/>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2"/>
      <c r="M21" s="2134"/>
      <c r="N21" s="2134"/>
      <c r="O21" s="2141"/>
      <c r="P21" s="3593"/>
      <c r="Q21" s="1571"/>
      <c r="R21" s="1572"/>
      <c r="S21" s="1573"/>
      <c r="T21" s="1572"/>
      <c r="U21" s="1573"/>
      <c r="V21" s="1572"/>
      <c r="W21" s="1573"/>
      <c r="X21" s="1566"/>
      <c r="Y21" s="3593"/>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593"/>
      <c r="Q22" s="1571" t="str">
        <f>B22</f>
        <v>楼层</v>
      </c>
      <c r="R22" s="1572" t="s">
        <v>8</v>
      </c>
      <c r="S22" s="1573">
        <f>F22</f>
        <v>100</v>
      </c>
      <c r="T22" s="1572" t="s">
        <v>8</v>
      </c>
      <c r="U22" s="1573">
        <f>H22</f>
        <v>100</v>
      </c>
      <c r="V22" s="1572" t="s">
        <v>8</v>
      </c>
      <c r="W22" s="1573">
        <f>J22</f>
        <v>100</v>
      </c>
      <c r="X22" s="1566"/>
      <c r="Y22" s="3593"/>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593"/>
      <c r="Q23" s="1571">
        <f>B23</f>
        <v>111</v>
      </c>
      <c r="R23" s="1572" t="s">
        <v>8</v>
      </c>
      <c r="S23" s="1573">
        <f>F23</f>
        <v>100</v>
      </c>
      <c r="T23" s="1572" t="s">
        <v>8</v>
      </c>
      <c r="U23" s="1573">
        <f>H23</f>
        <v>100</v>
      </c>
      <c r="V23" s="1572" t="s">
        <v>8</v>
      </c>
      <c r="W23" s="1573">
        <f>J23</f>
        <v>100</v>
      </c>
      <c r="X23" s="1566"/>
      <c r="Y23" s="3593"/>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593"/>
      <c r="Q24" s="1571">
        <f t="shared" ref="Q24:Q36" si="11">B24</f>
        <v>111</v>
      </c>
      <c r="R24" s="1572" t="s">
        <v>8</v>
      </c>
      <c r="S24" s="1573">
        <f>F24</f>
        <v>100</v>
      </c>
      <c r="T24" s="1572" t="s">
        <v>8</v>
      </c>
      <c r="U24" s="1573">
        <f>H24</f>
        <v>100</v>
      </c>
      <c r="V24" s="1572" t="s">
        <v>8</v>
      </c>
      <c r="W24" s="1573">
        <f>J24</f>
        <v>100</v>
      </c>
      <c r="X24" s="1566"/>
      <c r="Y24" s="3593"/>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593"/>
      <c r="Q25" s="1149">
        <f t="shared" si="11"/>
        <v>111</v>
      </c>
      <c r="R25" s="1567" t="s">
        <v>8</v>
      </c>
      <c r="S25" s="1568">
        <f>F25</f>
        <v>100</v>
      </c>
      <c r="T25" s="1567" t="s">
        <v>8</v>
      </c>
      <c r="U25" s="1568">
        <f>H25</f>
        <v>100</v>
      </c>
      <c r="V25" s="1567" t="s">
        <v>8</v>
      </c>
      <c r="W25" s="1568">
        <f>J25</f>
        <v>100</v>
      </c>
      <c r="X25" s="1569"/>
      <c r="Y25" s="3593"/>
      <c r="Z25" s="1148">
        <f>Q25</f>
        <v>111</v>
      </c>
      <c r="AA25" s="1575">
        <f>D25/F25</f>
        <v>1</v>
      </c>
      <c r="AB25" s="1575">
        <f>D25/H25</f>
        <v>1</v>
      </c>
      <c r="AC25" s="1575">
        <f>D25/J25</f>
        <v>1</v>
      </c>
    </row>
    <row r="26" spans="1:29" ht="15">
      <c r="A26" s="2929"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59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95"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595"/>
      <c r="Q27" s="1604" t="str">
        <f t="shared" si="11"/>
        <v>项目停车位配比</v>
      </c>
      <c r="R27" s="1576" t="s">
        <v>8</v>
      </c>
      <c r="S27" s="1577">
        <f t="shared" si="12"/>
        <v>100</v>
      </c>
      <c r="T27" s="1576" t="s">
        <v>8</v>
      </c>
      <c r="U27" s="1577">
        <f t="shared" si="13"/>
        <v>100</v>
      </c>
      <c r="V27" s="1576" t="s">
        <v>8</v>
      </c>
      <c r="W27" s="1577">
        <f t="shared" si="14"/>
        <v>100</v>
      </c>
      <c r="X27" s="1578"/>
      <c r="Y27" s="3595"/>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595"/>
      <c r="Q28" s="1571" t="str">
        <f t="shared" si="11"/>
        <v>公共部分装修</v>
      </c>
      <c r="R28" s="1572" t="s">
        <v>8</v>
      </c>
      <c r="S28" s="1573">
        <f t="shared" si="12"/>
        <v>100</v>
      </c>
      <c r="T28" s="1572" t="s">
        <v>8</v>
      </c>
      <c r="U28" s="1573">
        <f t="shared" si="13"/>
        <v>100</v>
      </c>
      <c r="V28" s="1572" t="s">
        <v>8</v>
      </c>
      <c r="W28" s="1573">
        <f t="shared" si="14"/>
        <v>100</v>
      </c>
      <c r="X28" s="1566"/>
      <c r="Y28" s="3595"/>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595"/>
      <c r="Q29" s="1571" t="str">
        <f t="shared" si="11"/>
        <v>成新率</v>
      </c>
      <c r="R29" s="1572" t="s">
        <v>8</v>
      </c>
      <c r="S29" s="1573" t="e">
        <f t="shared" si="12"/>
        <v>#N/A</v>
      </c>
      <c r="T29" s="1572" t="s">
        <v>8</v>
      </c>
      <c r="U29" s="1573" t="e">
        <f t="shared" si="13"/>
        <v>#N/A</v>
      </c>
      <c r="V29" s="1572" t="s">
        <v>8</v>
      </c>
      <c r="W29" s="1573" t="e">
        <f t="shared" si="14"/>
        <v>#N/A</v>
      </c>
      <c r="X29" s="1566"/>
      <c r="Y29" s="3595"/>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595"/>
      <c r="Q30" s="1571" t="str">
        <f t="shared" si="11"/>
        <v>物业等级</v>
      </c>
      <c r="R30" s="1572" t="s">
        <v>8</v>
      </c>
      <c r="S30" s="1573">
        <f t="shared" si="12"/>
        <v>100</v>
      </c>
      <c r="T30" s="1572" t="s">
        <v>8</v>
      </c>
      <c r="U30" s="1573">
        <f t="shared" si="13"/>
        <v>100</v>
      </c>
      <c r="V30" s="1572" t="s">
        <v>8</v>
      </c>
      <c r="W30" s="1573">
        <f t="shared" si="14"/>
        <v>100</v>
      </c>
      <c r="X30" s="1566"/>
      <c r="Y30" s="3595"/>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595"/>
      <c r="Q31" s="1149" t="str">
        <f t="shared" si="11"/>
        <v>停车位面积</v>
      </c>
      <c r="R31" s="1567" t="s">
        <v>8</v>
      </c>
      <c r="S31" s="1568" t="e">
        <f t="shared" si="12"/>
        <v>#N/A</v>
      </c>
      <c r="T31" s="1567" t="s">
        <v>8</v>
      </c>
      <c r="U31" s="1568" t="e">
        <f t="shared" si="13"/>
        <v>#N/A</v>
      </c>
      <c r="V31" s="1567" t="s">
        <v>8</v>
      </c>
      <c r="W31" s="1568" t="e">
        <f t="shared" si="14"/>
        <v>#N/A</v>
      </c>
      <c r="X31" s="1569"/>
      <c r="Y31" s="3595"/>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595" t="s">
        <v>550</v>
      </c>
      <c r="Q32" s="1571" t="str">
        <f t="shared" si="11"/>
        <v>车位类型</v>
      </c>
      <c r="R32" s="1572" t="s">
        <v>8</v>
      </c>
      <c r="S32" s="1573">
        <f t="shared" si="12"/>
        <v>100</v>
      </c>
      <c r="T32" s="1572" t="s">
        <v>8</v>
      </c>
      <c r="U32" s="1573">
        <f t="shared" si="13"/>
        <v>100</v>
      </c>
      <c r="V32" s="1572" t="s">
        <v>8</v>
      </c>
      <c r="W32" s="1573">
        <f t="shared" si="14"/>
        <v>100</v>
      </c>
      <c r="X32" s="1566"/>
      <c r="Y32" s="3595"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595"/>
      <c r="Q33" s="1571" t="str">
        <f t="shared" si="11"/>
        <v>是否直接入户</v>
      </c>
      <c r="R33" s="1572" t="s">
        <v>8</v>
      </c>
      <c r="S33" s="1573">
        <f t="shared" si="12"/>
        <v>100</v>
      </c>
      <c r="T33" s="1572" t="s">
        <v>8</v>
      </c>
      <c r="U33" s="1573">
        <f t="shared" si="13"/>
        <v>100</v>
      </c>
      <c r="V33" s="1572" t="s">
        <v>8</v>
      </c>
      <c r="W33" s="1573">
        <f t="shared" si="14"/>
        <v>100</v>
      </c>
      <c r="X33" s="1566"/>
      <c r="Y33" s="3595"/>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595"/>
      <c r="Q34" s="1571">
        <f t="shared" si="11"/>
        <v>111</v>
      </c>
      <c r="R34" s="1572" t="s">
        <v>8</v>
      </c>
      <c r="S34" s="1573">
        <f t="shared" si="12"/>
        <v>100</v>
      </c>
      <c r="T34" s="1572" t="s">
        <v>8</v>
      </c>
      <c r="U34" s="1573">
        <f t="shared" si="13"/>
        <v>100</v>
      </c>
      <c r="V34" s="1572" t="s">
        <v>8</v>
      </c>
      <c r="W34" s="1573">
        <f t="shared" si="14"/>
        <v>100</v>
      </c>
      <c r="X34" s="1566"/>
      <c r="Y34" s="3595"/>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595"/>
      <c r="Q35" s="1604">
        <f t="shared" si="11"/>
        <v>111</v>
      </c>
      <c r="R35" s="1576" t="s">
        <v>8</v>
      </c>
      <c r="S35" s="1577">
        <f t="shared" si="12"/>
        <v>100</v>
      </c>
      <c r="T35" s="1576" t="s">
        <v>8</v>
      </c>
      <c r="U35" s="1577">
        <f t="shared" si="13"/>
        <v>100</v>
      </c>
      <c r="V35" s="1576" t="s">
        <v>8</v>
      </c>
      <c r="W35" s="1577">
        <f t="shared" si="14"/>
        <v>100</v>
      </c>
      <c r="X35" s="1578"/>
      <c r="Y35" s="3595"/>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595"/>
      <c r="Q36" s="1571">
        <f t="shared" si="11"/>
        <v>111</v>
      </c>
      <c r="R36" s="1572" t="s">
        <v>8</v>
      </c>
      <c r="S36" s="1573">
        <f t="shared" si="12"/>
        <v>100</v>
      </c>
      <c r="T36" s="1572" t="s">
        <v>8</v>
      </c>
      <c r="U36" s="1573">
        <f t="shared" si="13"/>
        <v>100</v>
      </c>
      <c r="V36" s="1572" t="s">
        <v>8</v>
      </c>
      <c r="W36" s="1573">
        <f t="shared" si="14"/>
        <v>100</v>
      </c>
      <c r="X36" s="1566"/>
      <c r="Y36" s="3595"/>
      <c r="Z36" s="1574">
        <f t="shared" si="15"/>
        <v>111</v>
      </c>
      <c r="AA36" s="1575">
        <f t="shared" si="3"/>
        <v>1</v>
      </c>
      <c r="AB36" s="1575">
        <f t="shared" si="4"/>
        <v>1</v>
      </c>
      <c r="AC36" s="1575">
        <f t="shared" si="5"/>
        <v>1</v>
      </c>
    </row>
    <row r="37" spans="1:29" ht="15">
      <c r="A37" s="1846" t="s">
        <v>2080</v>
      </c>
      <c r="B37" s="1847" t="s">
        <v>2081</v>
      </c>
      <c r="C37" s="2649" t="s">
        <v>1</v>
      </c>
      <c r="D37" s="2650"/>
      <c r="E37" s="2651"/>
      <c r="F37" s="2652"/>
      <c r="G37" s="2653"/>
      <c r="H37" s="2654"/>
      <c r="I37" s="2651"/>
      <c r="J37" s="2654"/>
      <c r="K37" s="1610"/>
      <c r="L37" s="2144"/>
      <c r="M37" s="2145"/>
      <c r="N37" s="2134"/>
      <c r="O37" s="2145"/>
      <c r="P37" s="3590" t="str">
        <f>A37</f>
        <v>成交单价</v>
      </c>
      <c r="Q37" s="3590"/>
      <c r="R37" s="3690">
        <f>E37</f>
        <v>0</v>
      </c>
      <c r="S37" s="3690"/>
      <c r="T37" s="3690">
        <f>G37</f>
        <v>0</v>
      </c>
      <c r="U37" s="3690"/>
      <c r="V37" s="3690">
        <f>I37</f>
        <v>0</v>
      </c>
      <c r="W37" s="3690"/>
      <c r="X37" s="1558"/>
      <c r="Y37" s="1580"/>
      <c r="Z37" s="1558"/>
      <c r="AA37" s="1558"/>
      <c r="AB37" s="1558"/>
      <c r="AC37" s="1558"/>
    </row>
    <row r="38" spans="1:29" ht="15.75" thickBot="1">
      <c r="A38" s="613" t="s">
        <v>2764</v>
      </c>
      <c r="B38" s="886"/>
      <c r="C38" s="2655" t="e">
        <f>R39</f>
        <v>#DIV/0!</v>
      </c>
      <c r="D38" s="2656"/>
      <c r="E38" s="2657" t="e">
        <f>R38</f>
        <v>#DIV/0!</v>
      </c>
      <c r="F38" s="2657"/>
      <c r="G38" s="2655" t="e">
        <f>T38</f>
        <v>#DIV/0!</v>
      </c>
      <c r="H38" s="2656"/>
      <c r="I38" s="2657" t="e">
        <f>V38</f>
        <v>#DIV/0!</v>
      </c>
      <c r="J38" s="2656"/>
      <c r="K38" s="1611"/>
      <c r="L38" s="2144"/>
      <c r="M38" s="2145"/>
      <c r="N38" s="2145"/>
      <c r="O38" s="2145"/>
      <c r="P38" s="3590" t="str">
        <f>A38</f>
        <v>比较价格（元/平方米）</v>
      </c>
      <c r="Q38" s="3590"/>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558"/>
      <c r="Y38" s="1558"/>
      <c r="Z38" s="1558"/>
      <c r="AA38" s="1558"/>
      <c r="AB38" s="1558"/>
      <c r="AC38" s="1558"/>
    </row>
    <row r="39" spans="1:29" ht="15.75" thickBot="1">
      <c r="A39" s="619" t="s">
        <v>2936</v>
      </c>
      <c r="B39" s="620"/>
      <c r="C39" s="2658" t="e">
        <f>R39</f>
        <v>#DIV/0!</v>
      </c>
      <c r="D39" s="2658"/>
      <c r="E39" s="2658"/>
      <c r="F39" s="2658"/>
      <c r="G39" s="2658"/>
      <c r="H39" s="2658"/>
      <c r="I39" s="2658"/>
      <c r="J39" s="2658"/>
      <c r="K39" s="1612"/>
      <c r="L39" s="2144"/>
      <c r="M39" s="2145"/>
      <c r="N39" s="2145"/>
      <c r="O39" s="2145"/>
      <c r="P39" s="3611" t="str">
        <f>A39</f>
        <v>估价对象XX用房的比较价格（楼面单价，元/平方米）</v>
      </c>
      <c r="Q39" s="3612"/>
      <c r="R39" s="3689" t="e">
        <f>IF(F1="售价",ROUND(AVERAGE(R38:V38),0),ROUND(AVERAGE(R38:V38),1))</f>
        <v>#DIV/0!</v>
      </c>
      <c r="S39" s="3689"/>
      <c r="T39" s="3689"/>
      <c r="U39" s="3689"/>
      <c r="V39" s="3689"/>
      <c r="W39" s="368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60"/>
      <c r="Q48" s="2161"/>
      <c r="R48" s="2161"/>
      <c r="S48" s="2161"/>
      <c r="T48" s="2161"/>
      <c r="U48" s="2161"/>
      <c r="V48" s="2161"/>
      <c r="W48" s="2161"/>
      <c r="X48" s="2161"/>
      <c r="Y48" s="2161"/>
      <c r="Z48" s="2161"/>
      <c r="AA48" s="2161"/>
      <c r="AB48" s="2161"/>
      <c r="AC48" s="2161"/>
    </row>
    <row r="49" spans="1:29" s="1218" customFormat="1" ht="15">
      <c r="A49" s="645"/>
      <c r="B49" s="646"/>
      <c r="C49" s="2825">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2561</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19" t="s">
        <v>2562</v>
      </c>
      <c r="C67" s="2620" t="s">
        <v>2563</v>
      </c>
      <c r="D67" s="2620" t="s">
        <v>2564</v>
      </c>
      <c r="E67" s="2620" t="s">
        <v>2565</v>
      </c>
      <c r="F67" s="2620" t="s">
        <v>2566</v>
      </c>
      <c r="G67" s="2620" t="s">
        <v>2567</v>
      </c>
      <c r="H67" s="672"/>
      <c r="I67" s="672"/>
      <c r="J67" s="672"/>
      <c r="K67" s="672"/>
      <c r="L67" s="672"/>
      <c r="M67" s="2623"/>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596" t="s">
        <v>798</v>
      </c>
      <c r="D4" s="3597"/>
      <c r="E4" s="3620" t="s">
        <v>799</v>
      </c>
      <c r="F4" s="3621"/>
      <c r="G4" s="3596" t="s">
        <v>800</v>
      </c>
      <c r="H4" s="3597"/>
      <c r="I4" s="3596" t="s">
        <v>801</v>
      </c>
      <c r="J4" s="3597"/>
      <c r="K4" s="512" t="s">
        <v>802</v>
      </c>
      <c r="L4" s="2133"/>
      <c r="M4" s="2134"/>
      <c r="N4" s="2134"/>
      <c r="O4" s="2134"/>
      <c r="P4" s="3598" t="s">
        <v>803</v>
      </c>
      <c r="Q4" s="3599"/>
      <c r="R4" s="3584" t="s">
        <v>799</v>
      </c>
      <c r="S4" s="3585"/>
      <c r="T4" s="3584" t="s">
        <v>800</v>
      </c>
      <c r="U4" s="3585"/>
      <c r="V4" s="3604" t="s">
        <v>801</v>
      </c>
      <c r="W4" s="3604"/>
      <c r="X4" s="1566"/>
      <c r="Y4" s="3584" t="s">
        <v>803</v>
      </c>
      <c r="Z4" s="3585"/>
      <c r="AA4" s="3579" t="s">
        <v>799</v>
      </c>
      <c r="AB4" s="3580" t="s">
        <v>800</v>
      </c>
      <c r="AC4" s="3579" t="s">
        <v>801</v>
      </c>
    </row>
    <row r="5" spans="1:29" ht="15">
      <c r="A5" s="513"/>
      <c r="B5" s="514"/>
      <c r="C5" s="3607" t="s">
        <v>2930</v>
      </c>
      <c r="D5" s="3608"/>
      <c r="E5" s="3622" t="s">
        <v>2931</v>
      </c>
      <c r="F5" s="3623"/>
      <c r="G5" s="3607" t="s">
        <v>2932</v>
      </c>
      <c r="H5" s="3608"/>
      <c r="I5" s="3607" t="s">
        <v>2933</v>
      </c>
      <c r="J5" s="3608"/>
      <c r="K5" s="512"/>
      <c r="L5" s="2133"/>
      <c r="M5" s="2134"/>
      <c r="N5" s="2134"/>
      <c r="O5" s="2134"/>
      <c r="P5" s="3600"/>
      <c r="Q5" s="3601"/>
      <c r="R5" s="3586"/>
      <c r="S5" s="3587"/>
      <c r="T5" s="3586"/>
      <c r="U5" s="3587"/>
      <c r="V5" s="3604"/>
      <c r="W5" s="3604"/>
      <c r="X5" s="1566"/>
      <c r="Y5" s="3586"/>
      <c r="Z5" s="3587"/>
      <c r="AA5" s="3580"/>
      <c r="AB5" s="3580"/>
      <c r="AC5" s="3580"/>
    </row>
    <row r="6" spans="1:29" ht="15.75" thickBot="1">
      <c r="A6" s="515"/>
      <c r="B6" s="516"/>
      <c r="C6" s="3605" t="s">
        <v>2934</v>
      </c>
      <c r="D6" s="3606"/>
      <c r="E6" s="3624" t="s">
        <v>2934</v>
      </c>
      <c r="F6" s="3625"/>
      <c r="G6" s="3605" t="s">
        <v>2934</v>
      </c>
      <c r="H6" s="3606"/>
      <c r="I6" s="3605" t="s">
        <v>2934</v>
      </c>
      <c r="J6" s="3606"/>
      <c r="K6" s="512" t="s">
        <v>528</v>
      </c>
      <c r="L6" s="2133"/>
      <c r="M6" s="2134"/>
      <c r="N6" s="2134"/>
      <c r="O6" s="2134"/>
      <c r="P6" s="3602"/>
      <c r="Q6" s="3603"/>
      <c r="R6" s="3586"/>
      <c r="S6" s="3587"/>
      <c r="T6" s="3588"/>
      <c r="U6" s="3589"/>
      <c r="V6" s="3604"/>
      <c r="W6" s="3604"/>
      <c r="X6" s="1566"/>
      <c r="Y6" s="3588"/>
      <c r="Z6" s="3589"/>
      <c r="AA6" s="3581"/>
      <c r="AB6" s="3581"/>
      <c r="AC6" s="3581"/>
    </row>
    <row r="7" spans="1:29" s="1218" customFormat="1" ht="15.75" thickBot="1">
      <c r="A7" s="2934"/>
      <c r="B7" s="2941"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5"/>
      <c r="M7" s="2136"/>
      <c r="N7" s="2136"/>
      <c r="O7" s="2136"/>
      <c r="P7" s="3582" t="s">
        <v>530</v>
      </c>
      <c r="Q7" s="3591"/>
      <c r="R7" s="1567" t="s">
        <v>8</v>
      </c>
      <c r="S7" s="1568">
        <f t="shared" ref="S7:S14" si="0">F7</f>
        <v>0</v>
      </c>
      <c r="T7" s="1567" t="s">
        <v>8</v>
      </c>
      <c r="U7" s="1568">
        <f t="shared" ref="U7:U14" si="1">H7</f>
        <v>0</v>
      </c>
      <c r="V7" s="1567" t="s">
        <v>8</v>
      </c>
      <c r="W7" s="1568">
        <f t="shared" ref="W7:W14" si="2">J7</f>
        <v>0</v>
      </c>
      <c r="X7" s="1569"/>
      <c r="Y7" s="3582" t="s">
        <v>530</v>
      </c>
      <c r="Z7" s="3583"/>
      <c r="AA7" s="1570" t="e">
        <f>D7/F7</f>
        <v>#DIV/0!</v>
      </c>
      <c r="AB7" s="1570" t="e">
        <f>D7/H7</f>
        <v>#DIV/0!</v>
      </c>
      <c r="AC7" s="1570"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582" t="s">
        <v>533</v>
      </c>
      <c r="Q8" s="3583"/>
      <c r="R8" s="1567" t="s">
        <v>8</v>
      </c>
      <c r="S8" s="1568">
        <f t="shared" si="0"/>
        <v>0</v>
      </c>
      <c r="T8" s="1567" t="s">
        <v>8</v>
      </c>
      <c r="U8" s="1568">
        <f t="shared" si="1"/>
        <v>0</v>
      </c>
      <c r="V8" s="1567" t="s">
        <v>8</v>
      </c>
      <c r="W8" s="1568">
        <f t="shared" si="2"/>
        <v>0</v>
      </c>
      <c r="X8" s="1569"/>
      <c r="Y8" s="3582" t="s">
        <v>533</v>
      </c>
      <c r="Z8" s="3583"/>
      <c r="AA8" s="1570" t="e">
        <f t="shared" ref="AA8:AA34" si="3">D8/F8</f>
        <v>#DIV/0!</v>
      </c>
      <c r="AB8" s="1570" t="e">
        <f t="shared" ref="AB8:AB34" si="4">D8/H8</f>
        <v>#DIV/0!</v>
      </c>
      <c r="AC8" s="1570" t="e">
        <f t="shared" ref="AC8:AC34" si="5">D8/J8</f>
        <v>#DIV/0!</v>
      </c>
    </row>
    <row r="9" spans="1:29" s="1218" customFormat="1" ht="15">
      <c r="A9" s="2936"/>
      <c r="B9" s="2943" t="s">
        <v>2760</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590" t="s">
        <v>535</v>
      </c>
      <c r="Q9" s="1149" t="str">
        <f t="shared" ref="Q9:Q14" si="6">B9</f>
        <v>用途</v>
      </c>
      <c r="R9" s="1567" t="s">
        <v>8</v>
      </c>
      <c r="S9" s="1568">
        <f t="shared" si="0"/>
        <v>100</v>
      </c>
      <c r="T9" s="1567" t="s">
        <v>8</v>
      </c>
      <c r="U9" s="1568">
        <f t="shared" si="1"/>
        <v>100</v>
      </c>
      <c r="V9" s="1567" t="s">
        <v>8</v>
      </c>
      <c r="W9" s="1568">
        <f t="shared" si="2"/>
        <v>100</v>
      </c>
      <c r="X9" s="1569"/>
      <c r="Y9" s="3432"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590"/>
      <c r="Q10" s="1149" t="str">
        <f t="shared" si="6"/>
        <v>土地使用年限（年）</v>
      </c>
      <c r="R10" s="1567" t="s">
        <v>8</v>
      </c>
      <c r="S10" s="1568">
        <f t="shared" si="0"/>
        <v>100</v>
      </c>
      <c r="T10" s="1567" t="s">
        <v>8</v>
      </c>
      <c r="U10" s="1568">
        <f t="shared" si="1"/>
        <v>100</v>
      </c>
      <c r="V10" s="1567" t="s">
        <v>8</v>
      </c>
      <c r="W10" s="1568">
        <f t="shared" si="2"/>
        <v>100</v>
      </c>
      <c r="X10" s="1569"/>
      <c r="Y10" s="3432"/>
      <c r="Z10" s="1148" t="str">
        <f t="shared" si="7"/>
        <v>土地使用年限（年）</v>
      </c>
      <c r="AA10" s="1570">
        <f t="shared" si="3"/>
        <v>1</v>
      </c>
      <c r="AB10" s="1570">
        <f t="shared" si="4"/>
        <v>1</v>
      </c>
      <c r="AC10" s="1570">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590"/>
      <c r="Q11" s="1149">
        <f t="shared" si="6"/>
        <v>111</v>
      </c>
      <c r="R11" s="1567" t="s">
        <v>8</v>
      </c>
      <c r="S11" s="1568">
        <f t="shared" si="0"/>
        <v>100</v>
      </c>
      <c r="T11" s="1567" t="s">
        <v>8</v>
      </c>
      <c r="U11" s="1568">
        <f t="shared" si="1"/>
        <v>100</v>
      </c>
      <c r="V11" s="1567" t="s">
        <v>8</v>
      </c>
      <c r="W11" s="1568">
        <f t="shared" si="2"/>
        <v>100</v>
      </c>
      <c r="X11" s="1569"/>
      <c r="Y11" s="3432"/>
      <c r="Z11" s="1148">
        <f t="shared" si="7"/>
        <v>111</v>
      </c>
      <c r="AA11" s="1570">
        <f t="shared" si="3"/>
        <v>1</v>
      </c>
      <c r="AB11" s="1570">
        <f t="shared" si="4"/>
        <v>1</v>
      </c>
      <c r="AC11" s="1570">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590"/>
      <c r="Q12" s="1149">
        <f t="shared" si="6"/>
        <v>111</v>
      </c>
      <c r="R12" s="1567" t="s">
        <v>8</v>
      </c>
      <c r="S12" s="1568">
        <f t="shared" si="0"/>
        <v>100</v>
      </c>
      <c r="T12" s="1567" t="s">
        <v>8</v>
      </c>
      <c r="U12" s="1568">
        <f t="shared" si="1"/>
        <v>100</v>
      </c>
      <c r="V12" s="1567" t="s">
        <v>8</v>
      </c>
      <c r="W12" s="1568">
        <f t="shared" si="2"/>
        <v>100</v>
      </c>
      <c r="X12" s="1569"/>
      <c r="Y12" s="3432"/>
      <c r="Z12" s="1148">
        <f t="shared" si="7"/>
        <v>111</v>
      </c>
      <c r="AA12" s="1570">
        <f>D12/F12</f>
        <v>1</v>
      </c>
      <c r="AB12" s="1570">
        <f>D12/H12</f>
        <v>1</v>
      </c>
      <c r="AC12" s="1570">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590"/>
      <c r="Q13" s="1149">
        <f t="shared" si="6"/>
        <v>111</v>
      </c>
      <c r="R13" s="1567" t="s">
        <v>8</v>
      </c>
      <c r="S13" s="1568">
        <f t="shared" si="0"/>
        <v>100</v>
      </c>
      <c r="T13" s="1567" t="s">
        <v>8</v>
      </c>
      <c r="U13" s="1568">
        <f t="shared" si="1"/>
        <v>100</v>
      </c>
      <c r="V13" s="1567" t="s">
        <v>8</v>
      </c>
      <c r="W13" s="1568">
        <f t="shared" si="2"/>
        <v>100</v>
      </c>
      <c r="X13" s="1569"/>
      <c r="Y13" s="3432"/>
      <c r="Z13" s="1148">
        <f t="shared" si="7"/>
        <v>111</v>
      </c>
      <c r="AA13" s="1570">
        <f t="shared" si="3"/>
        <v>1</v>
      </c>
      <c r="AB13" s="1570">
        <f t="shared" si="4"/>
        <v>1</v>
      </c>
      <c r="AC13" s="1570">
        <f t="shared" si="5"/>
        <v>1</v>
      </c>
    </row>
    <row r="14" spans="1:29" ht="256.5">
      <c r="A14" s="2932"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592" t="s">
        <v>540</v>
      </c>
      <c r="Q14" s="1571" t="str">
        <f t="shared" si="6"/>
        <v>交通便捷度</v>
      </c>
      <c r="R14" s="1572" t="s">
        <v>8</v>
      </c>
      <c r="S14" s="1573">
        <f t="shared" si="0"/>
        <v>100</v>
      </c>
      <c r="T14" s="1572" t="s">
        <v>8</v>
      </c>
      <c r="U14" s="1573">
        <f t="shared" si="1"/>
        <v>100</v>
      </c>
      <c r="V14" s="1572" t="s">
        <v>8</v>
      </c>
      <c r="W14" s="1573">
        <f t="shared" si="2"/>
        <v>100</v>
      </c>
      <c r="X14" s="1566"/>
      <c r="Y14" s="3592"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593"/>
      <c r="Q15" s="1571"/>
      <c r="R15" s="1572"/>
      <c r="S15" s="1573"/>
      <c r="T15" s="1572"/>
      <c r="U15" s="1573"/>
      <c r="V15" s="1572"/>
      <c r="W15" s="1573"/>
      <c r="X15" s="1566"/>
      <c r="Y15" s="3593"/>
      <c r="Z15" s="1574"/>
      <c r="AA15" s="1575">
        <v>1</v>
      </c>
      <c r="AB15" s="1575">
        <v>1</v>
      </c>
      <c r="AC15" s="1575">
        <v>1</v>
      </c>
    </row>
    <row r="16" spans="1:29" ht="42.75">
      <c r="A16" s="530"/>
      <c r="B16" s="2625"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593"/>
      <c r="Q16" s="1571" t="str">
        <f>B16</f>
        <v>公共配套设施</v>
      </c>
      <c r="R16" s="1572" t="s">
        <v>8</v>
      </c>
      <c r="S16" s="1573">
        <f>F16</f>
        <v>100</v>
      </c>
      <c r="T16" s="1572" t="s">
        <v>8</v>
      </c>
      <c r="U16" s="1573">
        <f>H16</f>
        <v>100</v>
      </c>
      <c r="V16" s="1572" t="s">
        <v>8</v>
      </c>
      <c r="W16" s="1573">
        <f>J16</f>
        <v>100</v>
      </c>
      <c r="X16" s="1566"/>
      <c r="Y16" s="3593"/>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593"/>
      <c r="Q17" s="1571"/>
      <c r="R17" s="1572"/>
      <c r="S17" s="1573"/>
      <c r="T17" s="1572"/>
      <c r="U17" s="1573"/>
      <c r="V17" s="1572"/>
      <c r="W17" s="1573"/>
      <c r="X17" s="1566"/>
      <c r="Y17" s="3593"/>
      <c r="Z17" s="1574"/>
      <c r="AA17" s="1575">
        <v>1</v>
      </c>
      <c r="AB17" s="1575">
        <v>1</v>
      </c>
      <c r="AC17" s="1575">
        <v>1</v>
      </c>
    </row>
    <row r="18" spans="1:29" ht="42.75">
      <c r="A18" s="530"/>
      <c r="B18" s="2613"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593"/>
      <c r="Q18" s="2601" t="str">
        <f>B18</f>
        <v>基础设施水平</v>
      </c>
      <c r="R18" s="1572" t="s">
        <v>8</v>
      </c>
      <c r="S18" s="1573">
        <f>F18</f>
        <v>100</v>
      </c>
      <c r="T18" s="1572" t="s">
        <v>8</v>
      </c>
      <c r="U18" s="1573">
        <f>H18</f>
        <v>100</v>
      </c>
      <c r="V18" s="1572" t="s">
        <v>8</v>
      </c>
      <c r="W18" s="1573">
        <f>J18</f>
        <v>100</v>
      </c>
      <c r="X18" s="2603"/>
      <c r="Y18" s="3593"/>
      <c r="Z18" s="2602"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4"/>
      <c r="L19" s="2142"/>
      <c r="M19" s="2134"/>
      <c r="N19" s="2134"/>
      <c r="O19" s="2141"/>
      <c r="P19" s="3593"/>
      <c r="Q19" s="2601"/>
      <c r="R19" s="1572"/>
      <c r="S19" s="1573"/>
      <c r="T19" s="1572"/>
      <c r="U19" s="1573"/>
      <c r="V19" s="1572"/>
      <c r="W19" s="1573"/>
      <c r="X19" s="2603"/>
      <c r="Y19" s="3593"/>
      <c r="Z19" s="2602"/>
      <c r="AA19" s="1575">
        <v>1</v>
      </c>
      <c r="AB19" s="1575">
        <v>1</v>
      </c>
      <c r="AC19" s="1575">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593"/>
      <c r="Q20" s="1571" t="str">
        <f>B20</f>
        <v>自然及人文环境</v>
      </c>
      <c r="R20" s="1572" t="s">
        <v>8</v>
      </c>
      <c r="S20" s="1573">
        <f>F20</f>
        <v>100</v>
      </c>
      <c r="T20" s="1572" t="s">
        <v>8</v>
      </c>
      <c r="U20" s="1573">
        <f>H20</f>
        <v>100</v>
      </c>
      <c r="V20" s="1572" t="s">
        <v>8</v>
      </c>
      <c r="W20" s="1573">
        <f>J20</f>
        <v>100</v>
      </c>
      <c r="X20" s="1566"/>
      <c r="Y20" s="3593"/>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593"/>
      <c r="Q21" s="1571"/>
      <c r="R21" s="1572"/>
      <c r="S21" s="1573"/>
      <c r="T21" s="1572"/>
      <c r="U21" s="1573"/>
      <c r="V21" s="1572"/>
      <c r="W21" s="1573"/>
      <c r="X21" s="1566"/>
      <c r="Y21" s="3593"/>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593"/>
      <c r="Q22" s="1571" t="str">
        <f>B22</f>
        <v>楼层</v>
      </c>
      <c r="R22" s="1572" t="s">
        <v>8</v>
      </c>
      <c r="S22" s="1573">
        <f>F22</f>
        <v>100</v>
      </c>
      <c r="T22" s="1572" t="s">
        <v>8</v>
      </c>
      <c r="U22" s="1573">
        <f>H22</f>
        <v>100</v>
      </c>
      <c r="V22" s="1572" t="s">
        <v>8</v>
      </c>
      <c r="W22" s="1573">
        <f>J22</f>
        <v>100</v>
      </c>
      <c r="X22" s="1566"/>
      <c r="Y22" s="3593"/>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593"/>
      <c r="Q23" s="1571">
        <f>B23</f>
        <v>111</v>
      </c>
      <c r="R23" s="1572" t="s">
        <v>8</v>
      </c>
      <c r="S23" s="1573">
        <f>F23</f>
        <v>100</v>
      </c>
      <c r="T23" s="1572" t="s">
        <v>8</v>
      </c>
      <c r="U23" s="1573">
        <f>H23</f>
        <v>100</v>
      </c>
      <c r="V23" s="1572" t="s">
        <v>8</v>
      </c>
      <c r="W23" s="1573">
        <f>J23</f>
        <v>100</v>
      </c>
      <c r="X23" s="1566"/>
      <c r="Y23" s="3593"/>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593"/>
      <c r="Q24" s="1571">
        <f t="shared" ref="Q24:Q34" si="11">B24</f>
        <v>111</v>
      </c>
      <c r="R24" s="1572" t="s">
        <v>8</v>
      </c>
      <c r="S24" s="1573">
        <f>F24</f>
        <v>100</v>
      </c>
      <c r="T24" s="1572" t="s">
        <v>8</v>
      </c>
      <c r="U24" s="1573">
        <f>H24</f>
        <v>100</v>
      </c>
      <c r="V24" s="1572" t="s">
        <v>8</v>
      </c>
      <c r="W24" s="1573">
        <f>J24</f>
        <v>100</v>
      </c>
      <c r="X24" s="1566"/>
      <c r="Y24" s="3593"/>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593"/>
      <c r="Q25" s="1149">
        <f t="shared" si="11"/>
        <v>111</v>
      </c>
      <c r="R25" s="1567" t="s">
        <v>8</v>
      </c>
      <c r="S25" s="1568">
        <f>F25</f>
        <v>100</v>
      </c>
      <c r="T25" s="1567" t="s">
        <v>8</v>
      </c>
      <c r="U25" s="1568">
        <f>H25</f>
        <v>100</v>
      </c>
      <c r="V25" s="1567" t="s">
        <v>8</v>
      </c>
      <c r="W25" s="1568">
        <f>J25</f>
        <v>100</v>
      </c>
      <c r="X25" s="1569"/>
      <c r="Y25" s="3593"/>
      <c r="Z25" s="1148">
        <f>Q25</f>
        <v>111</v>
      </c>
      <c r="AA25" s="1575">
        <f>D25/F25</f>
        <v>1</v>
      </c>
      <c r="AB25" s="1575">
        <f>D25/H25</f>
        <v>1</v>
      </c>
      <c r="AC25" s="1575">
        <f>D25/J25</f>
        <v>1</v>
      </c>
    </row>
    <row r="26" spans="1:29" ht="15">
      <c r="A26" s="2929"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59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95"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595"/>
      <c r="Q27" s="1604" t="str">
        <f t="shared" si="11"/>
        <v>成新率</v>
      </c>
      <c r="R27" s="1576" t="s">
        <v>8</v>
      </c>
      <c r="S27" s="1577" t="e">
        <f t="shared" si="12"/>
        <v>#N/A</v>
      </c>
      <c r="T27" s="1576" t="s">
        <v>8</v>
      </c>
      <c r="U27" s="1577" t="e">
        <f t="shared" si="13"/>
        <v>#N/A</v>
      </c>
      <c r="V27" s="1576" t="s">
        <v>8</v>
      </c>
      <c r="W27" s="1577" t="e">
        <f t="shared" si="14"/>
        <v>#N/A</v>
      </c>
      <c r="X27" s="1578"/>
      <c r="Y27" s="3595"/>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595"/>
      <c r="Q28" s="1571" t="str">
        <f t="shared" si="11"/>
        <v>物业等级</v>
      </c>
      <c r="R28" s="1572" t="s">
        <v>8</v>
      </c>
      <c r="S28" s="1573">
        <f t="shared" si="12"/>
        <v>100</v>
      </c>
      <c r="T28" s="1572" t="s">
        <v>8</v>
      </c>
      <c r="U28" s="1573">
        <f t="shared" si="13"/>
        <v>100</v>
      </c>
      <c r="V28" s="1572" t="s">
        <v>8</v>
      </c>
      <c r="W28" s="1573">
        <f t="shared" si="14"/>
        <v>100</v>
      </c>
      <c r="X28" s="1566"/>
      <c r="Y28" s="3595"/>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595"/>
      <c r="Q29" s="1571" t="str">
        <f t="shared" si="11"/>
        <v>有无电梯</v>
      </c>
      <c r="R29" s="1572" t="s">
        <v>8</v>
      </c>
      <c r="S29" s="1573">
        <f t="shared" si="12"/>
        <v>100</v>
      </c>
      <c r="T29" s="1572" t="s">
        <v>8</v>
      </c>
      <c r="U29" s="1573">
        <f t="shared" si="13"/>
        <v>100</v>
      </c>
      <c r="V29" s="1572" t="s">
        <v>8</v>
      </c>
      <c r="W29" s="1573">
        <f t="shared" si="14"/>
        <v>100</v>
      </c>
      <c r="X29" s="1566"/>
      <c r="Y29" s="3595"/>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595"/>
      <c r="Q30" s="1571" t="str">
        <f t="shared" si="11"/>
        <v>建筑面积</v>
      </c>
      <c r="R30" s="1572" t="s">
        <v>8</v>
      </c>
      <c r="S30" s="1573" t="e">
        <f t="shared" si="12"/>
        <v>#N/A</v>
      </c>
      <c r="T30" s="1572" t="s">
        <v>8</v>
      </c>
      <c r="U30" s="1573" t="e">
        <f t="shared" si="13"/>
        <v>#N/A</v>
      </c>
      <c r="V30" s="1572" t="s">
        <v>8</v>
      </c>
      <c r="W30" s="1573" t="e">
        <f t="shared" si="14"/>
        <v>#N/A</v>
      </c>
      <c r="X30" s="1566"/>
      <c r="Y30" s="3595"/>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595"/>
      <c r="Q31" s="1149" t="str">
        <f t="shared" si="11"/>
        <v>是否封闭</v>
      </c>
      <c r="R31" s="1567" t="s">
        <v>8</v>
      </c>
      <c r="S31" s="1568">
        <f t="shared" si="12"/>
        <v>100</v>
      </c>
      <c r="T31" s="1567" t="s">
        <v>8</v>
      </c>
      <c r="U31" s="1568">
        <f t="shared" si="13"/>
        <v>100</v>
      </c>
      <c r="V31" s="1567" t="s">
        <v>8</v>
      </c>
      <c r="W31" s="1568">
        <f t="shared" si="14"/>
        <v>100</v>
      </c>
      <c r="X31" s="1569"/>
      <c r="Y31" s="3595"/>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595" t="s">
        <v>550</v>
      </c>
      <c r="Q32" s="1571">
        <f t="shared" si="11"/>
        <v>111</v>
      </c>
      <c r="R32" s="1572" t="s">
        <v>8</v>
      </c>
      <c r="S32" s="1573">
        <f t="shared" si="12"/>
        <v>100</v>
      </c>
      <c r="T32" s="1572" t="s">
        <v>8</v>
      </c>
      <c r="U32" s="1573">
        <f t="shared" si="13"/>
        <v>100</v>
      </c>
      <c r="V32" s="1572" t="s">
        <v>8</v>
      </c>
      <c r="W32" s="1573">
        <f t="shared" si="14"/>
        <v>100</v>
      </c>
      <c r="X32" s="1566"/>
      <c r="Y32" s="3595"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595"/>
      <c r="Q33" s="1571">
        <f t="shared" si="11"/>
        <v>111</v>
      </c>
      <c r="R33" s="1572" t="s">
        <v>8</v>
      </c>
      <c r="S33" s="1573">
        <f t="shared" si="12"/>
        <v>100</v>
      </c>
      <c r="T33" s="1572" t="s">
        <v>8</v>
      </c>
      <c r="U33" s="1573">
        <f t="shared" si="13"/>
        <v>100</v>
      </c>
      <c r="V33" s="1572" t="s">
        <v>8</v>
      </c>
      <c r="W33" s="1573">
        <f t="shared" si="14"/>
        <v>100</v>
      </c>
      <c r="X33" s="1566"/>
      <c r="Y33" s="3595"/>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595"/>
      <c r="Q34" s="1571">
        <f t="shared" si="11"/>
        <v>111</v>
      </c>
      <c r="R34" s="1572" t="s">
        <v>8</v>
      </c>
      <c r="S34" s="1573">
        <f t="shared" si="12"/>
        <v>100</v>
      </c>
      <c r="T34" s="1572" t="s">
        <v>8</v>
      </c>
      <c r="U34" s="1573">
        <f t="shared" si="13"/>
        <v>100</v>
      </c>
      <c r="V34" s="1572" t="s">
        <v>8</v>
      </c>
      <c r="W34" s="1573">
        <f t="shared" si="14"/>
        <v>100</v>
      </c>
      <c r="X34" s="1566"/>
      <c r="Y34" s="3595"/>
      <c r="Z34" s="1574">
        <f t="shared" si="15"/>
        <v>111</v>
      </c>
      <c r="AA34" s="1575">
        <f t="shared" si="3"/>
        <v>1</v>
      </c>
      <c r="AB34" s="1575">
        <f t="shared" si="4"/>
        <v>1</v>
      </c>
      <c r="AC34" s="1575">
        <f t="shared" si="5"/>
        <v>1</v>
      </c>
    </row>
    <row r="35" spans="1:29" ht="15">
      <c r="A35" s="605" t="s">
        <v>736</v>
      </c>
      <c r="B35" s="885"/>
      <c r="C35" s="2649" t="s">
        <v>1</v>
      </c>
      <c r="D35" s="2650"/>
      <c r="E35" s="2651"/>
      <c r="F35" s="2652"/>
      <c r="G35" s="2653"/>
      <c r="H35" s="2654"/>
      <c r="I35" s="2651"/>
      <c r="J35" s="2654"/>
      <c r="K35" s="1610"/>
      <c r="L35" s="2144"/>
      <c r="M35" s="2145"/>
      <c r="N35" s="2134"/>
      <c r="O35" s="2145"/>
      <c r="P35" s="3590" t="str">
        <f>A35</f>
        <v>成交单价（元/平方米）</v>
      </c>
      <c r="Q35" s="3590"/>
      <c r="R35" s="3690">
        <f>E35</f>
        <v>0</v>
      </c>
      <c r="S35" s="3690"/>
      <c r="T35" s="3690">
        <f>G35</f>
        <v>0</v>
      </c>
      <c r="U35" s="3690"/>
      <c r="V35" s="3690">
        <f>I35</f>
        <v>0</v>
      </c>
      <c r="W35" s="3690"/>
      <c r="X35" s="1558"/>
      <c r="Y35" s="1580"/>
      <c r="Z35" s="1558"/>
      <c r="AA35" s="1558"/>
      <c r="AB35" s="1558"/>
      <c r="AC35" s="1558"/>
    </row>
    <row r="36" spans="1:29" ht="15.75" thickBot="1">
      <c r="A36" s="613" t="s">
        <v>2764</v>
      </c>
      <c r="B36" s="886"/>
      <c r="C36" s="2655" t="e">
        <f>R37</f>
        <v>#DIV/0!</v>
      </c>
      <c r="D36" s="2656"/>
      <c r="E36" s="2657" t="e">
        <f>R36</f>
        <v>#DIV/0!</v>
      </c>
      <c r="F36" s="2657"/>
      <c r="G36" s="2655" t="e">
        <f>T36</f>
        <v>#DIV/0!</v>
      </c>
      <c r="H36" s="2656"/>
      <c r="I36" s="2657" t="e">
        <f>V36</f>
        <v>#DIV/0!</v>
      </c>
      <c r="J36" s="2656"/>
      <c r="K36" s="1611"/>
      <c r="L36" s="2144"/>
      <c r="M36" s="2145"/>
      <c r="N36" s="2134"/>
      <c r="O36" s="2145"/>
      <c r="P36" s="3590" t="str">
        <f>A36</f>
        <v>比较价格（元/平方米）</v>
      </c>
      <c r="Q36" s="3590"/>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558"/>
      <c r="Y36" s="1558"/>
      <c r="Z36" s="1558"/>
      <c r="AA36" s="1558"/>
      <c r="AB36" s="1558"/>
      <c r="AC36" s="1558"/>
    </row>
    <row r="37" spans="1:29" ht="15.75" thickBot="1">
      <c r="A37" s="619" t="s">
        <v>2936</v>
      </c>
      <c r="B37" s="620"/>
      <c r="C37" s="2658" t="e">
        <f>R37</f>
        <v>#DIV/0!</v>
      </c>
      <c r="D37" s="2658"/>
      <c r="E37" s="2658"/>
      <c r="F37" s="2658"/>
      <c r="G37" s="2658"/>
      <c r="H37" s="2658"/>
      <c r="I37" s="2658"/>
      <c r="J37" s="2658"/>
      <c r="K37" s="1612"/>
      <c r="L37" s="2144"/>
      <c r="M37" s="2145"/>
      <c r="N37" s="2145"/>
      <c r="O37" s="2145"/>
      <c r="P37" s="3611" t="str">
        <f>A37</f>
        <v>估价对象XX用房的比较价格（楼面单价，元/平方米）</v>
      </c>
      <c r="Q37" s="3612"/>
      <c r="R37" s="3689" t="e">
        <f>IF(F1="售价",ROUND(AVERAGE(R36:V36),0),ROUND(AVERAGE(R36:V36),1))</f>
        <v>#DIV/0!</v>
      </c>
      <c r="S37" s="3689"/>
      <c r="T37" s="3689"/>
      <c r="U37" s="3689"/>
      <c r="V37" s="3689"/>
      <c r="W37" s="368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2561</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19" t="s">
        <v>2562</v>
      </c>
      <c r="C65" s="2620" t="s">
        <v>2563</v>
      </c>
      <c r="D65" s="2620" t="s">
        <v>2564</v>
      </c>
      <c r="E65" s="2620" t="s">
        <v>2565</v>
      </c>
      <c r="F65" s="2620" t="s">
        <v>2566</v>
      </c>
      <c r="G65" s="2620" t="s">
        <v>2567</v>
      </c>
      <c r="H65" s="672"/>
      <c r="I65" s="672"/>
      <c r="J65" s="672"/>
      <c r="K65" s="672"/>
      <c r="L65" s="672"/>
      <c r="M65" s="2623"/>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5"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7" t="s">
        <v>2753</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2306</v>
      </c>
      <c r="C1" s="3703" t="s">
        <v>2307</v>
      </c>
      <c r="D1" s="3704"/>
      <c r="E1" s="3704"/>
      <c r="F1" s="3704"/>
      <c r="G1" s="3704"/>
      <c r="H1" s="3704"/>
      <c r="I1" s="3704"/>
      <c r="J1" s="3704"/>
      <c r="K1" s="3704"/>
      <c r="L1" s="3704"/>
      <c r="M1" s="3704"/>
      <c r="N1" s="3704"/>
      <c r="O1" s="3704"/>
      <c r="P1" s="3704"/>
      <c r="Q1" s="3704"/>
      <c r="R1" s="3704"/>
      <c r="S1" s="3705"/>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2928</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2927</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1">
        <f>SUM(B24:B10000)</f>
        <v>0</v>
      </c>
      <c r="C22" s="3700" t="s">
        <v>20</v>
      </c>
      <c r="D22" s="3701"/>
      <c r="E22" s="3701"/>
      <c r="F22" s="3701"/>
      <c r="G22" s="3701"/>
      <c r="H22" s="3701"/>
      <c r="I22" s="3701"/>
      <c r="J22" s="3701"/>
      <c r="K22" s="3701"/>
      <c r="L22" s="3701"/>
      <c r="M22" s="3701"/>
      <c r="N22" s="3701"/>
      <c r="O22" s="3701"/>
      <c r="P22" s="3701"/>
      <c r="Q22" s="3702"/>
      <c r="R22" s="488" t="e">
        <f>ROUND(S22*10000/B22,0)</f>
        <v>#DIV/0!</v>
      </c>
      <c r="S22" s="51">
        <f>SUM(S24:S10000)</f>
        <v>0</v>
      </c>
    </row>
    <row r="23" spans="1:45" s="16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6"/>
      <c r="S525" s="255"/>
    </row>
    <row r="526" spans="1:19">
      <c r="A526" s="255"/>
      <c r="B526" s="55"/>
      <c r="C526" s="55"/>
      <c r="D526" s="55"/>
      <c r="E526" s="55"/>
      <c r="F526" s="55"/>
      <c r="G526" s="55"/>
      <c r="H526" s="55"/>
      <c r="I526" s="55"/>
      <c r="J526" s="55"/>
      <c r="K526" s="55"/>
      <c r="L526" s="55"/>
      <c r="M526" s="55"/>
      <c r="N526" s="55"/>
      <c r="O526" s="55"/>
      <c r="P526" s="55"/>
      <c r="Q526" s="55"/>
      <c r="R526" s="2226"/>
      <c r="S526" s="255"/>
    </row>
    <row r="527" spans="1:19">
      <c r="A527" s="255"/>
      <c r="B527" s="55"/>
      <c r="C527" s="55"/>
      <c r="D527" s="55"/>
      <c r="E527" s="55"/>
      <c r="F527" s="55"/>
      <c r="G527" s="55"/>
      <c r="H527" s="55"/>
      <c r="I527" s="55"/>
      <c r="J527" s="55"/>
      <c r="K527" s="55"/>
      <c r="L527" s="55"/>
      <c r="M527" s="55"/>
      <c r="N527" s="55"/>
      <c r="O527" s="55"/>
      <c r="P527" s="55"/>
      <c r="Q527" s="55"/>
      <c r="R527" s="2226"/>
      <c r="S527" s="255"/>
    </row>
    <row r="528" spans="1:19">
      <c r="A528" s="255"/>
      <c r="B528" s="55"/>
      <c r="C528" s="55"/>
      <c r="D528" s="55"/>
      <c r="E528" s="55"/>
      <c r="F528" s="55"/>
      <c r="G528" s="55"/>
      <c r="H528" s="55"/>
      <c r="I528" s="55"/>
      <c r="J528" s="55"/>
      <c r="K528" s="55"/>
      <c r="L528" s="55"/>
      <c r="M528" s="55"/>
      <c r="N528" s="55"/>
      <c r="O528" s="55"/>
      <c r="P528" s="55"/>
      <c r="Q528" s="55"/>
      <c r="R528" s="2226"/>
      <c r="S528" s="255"/>
    </row>
    <row r="529" spans="1:19">
      <c r="A529" s="255"/>
      <c r="B529" s="55"/>
      <c r="C529" s="55"/>
      <c r="D529" s="55"/>
      <c r="E529" s="55"/>
      <c r="F529" s="55"/>
      <c r="G529" s="55"/>
      <c r="H529" s="55"/>
      <c r="I529" s="55"/>
      <c r="J529" s="55"/>
      <c r="K529" s="55"/>
      <c r="L529" s="55"/>
      <c r="M529" s="55"/>
      <c r="N529" s="55"/>
      <c r="O529" s="55"/>
      <c r="P529" s="55"/>
      <c r="Q529" s="55"/>
      <c r="R529" s="2226"/>
      <c r="S529" s="255"/>
    </row>
    <row r="530" spans="1:19">
      <c r="A530" s="255"/>
      <c r="B530" s="55"/>
      <c r="C530" s="55"/>
      <c r="D530" s="55"/>
      <c r="E530" s="55"/>
      <c r="F530" s="55"/>
      <c r="G530" s="55"/>
      <c r="H530" s="55"/>
      <c r="I530" s="55"/>
      <c r="J530" s="55"/>
      <c r="K530" s="55"/>
      <c r="L530" s="55"/>
      <c r="M530" s="55"/>
      <c r="N530" s="55"/>
      <c r="O530" s="55"/>
      <c r="P530" s="55"/>
      <c r="Q530" s="55"/>
      <c r="R530" s="2226"/>
      <c r="S530" s="255"/>
    </row>
    <row r="531" spans="1:19">
      <c r="A531" s="255"/>
      <c r="B531" s="55"/>
      <c r="C531" s="55"/>
      <c r="D531" s="55"/>
      <c r="E531" s="55"/>
      <c r="F531" s="55"/>
      <c r="G531" s="55"/>
      <c r="H531" s="55"/>
      <c r="I531" s="55"/>
      <c r="J531" s="55"/>
      <c r="K531" s="55"/>
      <c r="L531" s="55"/>
      <c r="M531" s="55"/>
      <c r="N531" s="55"/>
      <c r="O531" s="55"/>
      <c r="P531" s="55"/>
      <c r="Q531" s="55"/>
      <c r="R531" s="2226"/>
      <c r="S531" s="255"/>
    </row>
    <row r="532" spans="1:19">
      <c r="A532" s="255"/>
      <c r="B532" s="55"/>
      <c r="C532" s="55"/>
      <c r="D532" s="55"/>
      <c r="E532" s="55"/>
      <c r="F532" s="55"/>
      <c r="G532" s="55"/>
      <c r="H532" s="55"/>
      <c r="I532" s="55"/>
      <c r="J532" s="55"/>
      <c r="K532" s="55"/>
      <c r="L532" s="55"/>
      <c r="M532" s="55"/>
      <c r="N532" s="55"/>
      <c r="O532" s="55"/>
      <c r="P532" s="55"/>
      <c r="Q532" s="55"/>
      <c r="R532" s="2226"/>
      <c r="S532" s="255"/>
    </row>
    <row r="533" spans="1:19">
      <c r="A533" s="255"/>
      <c r="B533" s="55"/>
      <c r="C533" s="55"/>
      <c r="D533" s="55"/>
      <c r="E533" s="55"/>
      <c r="F533" s="55"/>
      <c r="G533" s="55"/>
      <c r="H533" s="55"/>
      <c r="I533" s="55"/>
      <c r="J533" s="55"/>
      <c r="K533" s="55"/>
      <c r="L533" s="55"/>
      <c r="M533" s="55"/>
      <c r="N533" s="55"/>
      <c r="O533" s="55"/>
      <c r="P533" s="55"/>
      <c r="Q533" s="55"/>
      <c r="R533" s="2226"/>
      <c r="S533" s="255"/>
    </row>
    <row r="534" spans="1:19">
      <c r="A534" s="255"/>
      <c r="B534" s="55"/>
      <c r="C534" s="55"/>
      <c r="D534" s="55"/>
      <c r="E534" s="55"/>
      <c r="F534" s="55"/>
      <c r="G534" s="55"/>
      <c r="H534" s="55"/>
      <c r="I534" s="55"/>
      <c r="J534" s="55"/>
      <c r="K534" s="55"/>
      <c r="L534" s="55"/>
      <c r="M534" s="55"/>
      <c r="N534" s="55"/>
      <c r="O534" s="55"/>
      <c r="P534" s="55"/>
      <c r="Q534" s="55"/>
      <c r="R534" s="2226"/>
      <c r="S534" s="255"/>
    </row>
    <row r="535" spans="1:19">
      <c r="A535" s="255"/>
      <c r="B535" s="55"/>
      <c r="C535" s="55"/>
      <c r="D535" s="55"/>
      <c r="E535" s="55"/>
      <c r="F535" s="55"/>
      <c r="G535" s="55"/>
      <c r="H535" s="55"/>
      <c r="I535" s="55"/>
      <c r="J535" s="55"/>
      <c r="K535" s="55"/>
      <c r="L535" s="55"/>
      <c r="M535" s="55"/>
      <c r="N535" s="55"/>
      <c r="O535" s="55"/>
      <c r="P535" s="55"/>
      <c r="Q535" s="55"/>
      <c r="R535" s="2226"/>
      <c r="S535" s="255"/>
    </row>
    <row r="536" spans="1:19">
      <c r="A536" s="255"/>
      <c r="B536" s="55"/>
      <c r="C536" s="55"/>
      <c r="D536" s="55"/>
      <c r="E536" s="55"/>
      <c r="F536" s="55"/>
      <c r="G536" s="55"/>
      <c r="H536" s="55"/>
      <c r="I536" s="55"/>
      <c r="J536" s="55"/>
      <c r="K536" s="55"/>
      <c r="L536" s="55"/>
      <c r="M536" s="55"/>
      <c r="N536" s="55"/>
      <c r="O536" s="55"/>
      <c r="P536" s="55"/>
      <c r="Q536" s="55"/>
      <c r="R536" s="2226"/>
      <c r="S536" s="255"/>
    </row>
    <row r="537" spans="1:19">
      <c r="A537" s="255"/>
      <c r="B537" s="55"/>
      <c r="C537" s="55"/>
      <c r="D537" s="55"/>
      <c r="E537" s="55"/>
      <c r="F537" s="55"/>
      <c r="G537" s="55"/>
      <c r="H537" s="55"/>
      <c r="I537" s="55"/>
      <c r="J537" s="55"/>
      <c r="K537" s="55"/>
      <c r="L537" s="55"/>
      <c r="M537" s="55"/>
      <c r="N537" s="55"/>
      <c r="O537" s="55"/>
      <c r="P537" s="55"/>
      <c r="Q537" s="55"/>
      <c r="R537" s="2226"/>
      <c r="S537" s="255"/>
    </row>
    <row r="538" spans="1:19">
      <c r="A538" s="255"/>
      <c r="B538" s="55"/>
      <c r="C538" s="55"/>
      <c r="D538" s="55"/>
      <c r="E538" s="55"/>
      <c r="F538" s="55"/>
      <c r="G538" s="55"/>
      <c r="H538" s="55"/>
      <c r="I538" s="55"/>
      <c r="J538" s="55"/>
      <c r="K538" s="55"/>
      <c r="L538" s="55"/>
      <c r="M538" s="55"/>
      <c r="N538" s="55"/>
      <c r="O538" s="55"/>
      <c r="P538" s="55"/>
      <c r="Q538" s="55"/>
      <c r="R538" s="2226"/>
      <c r="S538" s="255"/>
    </row>
    <row r="539" spans="1:19">
      <c r="A539" s="255"/>
      <c r="B539" s="55"/>
      <c r="C539" s="55"/>
      <c r="D539" s="55"/>
      <c r="E539" s="55"/>
      <c r="F539" s="55"/>
      <c r="G539" s="55"/>
      <c r="H539" s="55"/>
      <c r="I539" s="55"/>
      <c r="J539" s="55"/>
      <c r="K539" s="55"/>
      <c r="L539" s="55"/>
      <c r="M539" s="55"/>
      <c r="N539" s="55"/>
      <c r="O539" s="55"/>
      <c r="P539" s="55"/>
      <c r="Q539" s="55"/>
      <c r="R539" s="2226"/>
      <c r="S539" s="255"/>
    </row>
    <row r="540" spans="1:19">
      <c r="A540" s="255"/>
      <c r="B540" s="55"/>
      <c r="C540" s="55"/>
      <c r="D540" s="55"/>
      <c r="E540" s="55"/>
      <c r="F540" s="55"/>
      <c r="G540" s="55"/>
      <c r="H540" s="55"/>
      <c r="I540" s="55"/>
      <c r="J540" s="55"/>
      <c r="K540" s="55"/>
      <c r="L540" s="55"/>
      <c r="M540" s="55"/>
      <c r="N540" s="55"/>
      <c r="O540" s="55"/>
      <c r="P540" s="55"/>
      <c r="Q540" s="55"/>
      <c r="R540" s="2226"/>
      <c r="S540" s="255"/>
    </row>
    <row r="541" spans="1:19">
      <c r="A541" s="255"/>
      <c r="B541" s="55"/>
      <c r="C541" s="55"/>
      <c r="D541" s="55"/>
      <c r="E541" s="55"/>
      <c r="F541" s="55"/>
      <c r="G541" s="55"/>
      <c r="H541" s="55"/>
      <c r="I541" s="55"/>
      <c r="J541" s="55"/>
      <c r="K541" s="55"/>
      <c r="L541" s="55"/>
      <c r="M541" s="55"/>
      <c r="N541" s="55"/>
      <c r="O541" s="55"/>
      <c r="P541" s="55"/>
      <c r="Q541" s="55"/>
      <c r="R541" s="2226"/>
      <c r="S541" s="255"/>
    </row>
    <row r="542" spans="1:19">
      <c r="A542" s="255"/>
      <c r="B542" s="55"/>
      <c r="C542" s="55"/>
      <c r="D542" s="55"/>
      <c r="E542" s="55"/>
      <c r="F542" s="55"/>
      <c r="G542" s="55"/>
      <c r="H542" s="55"/>
      <c r="I542" s="55"/>
      <c r="J542" s="55"/>
      <c r="K542" s="55"/>
      <c r="L542" s="55"/>
      <c r="M542" s="55"/>
      <c r="N542" s="55"/>
      <c r="O542" s="55"/>
      <c r="P542" s="55"/>
      <c r="Q542" s="55"/>
      <c r="R542" s="2226"/>
      <c r="S542" s="255"/>
    </row>
    <row r="543" spans="1:19">
      <c r="A543" s="255"/>
      <c r="B543" s="55"/>
      <c r="C543" s="55"/>
      <c r="D543" s="55"/>
      <c r="E543" s="55"/>
      <c r="F543" s="55"/>
      <c r="G543" s="55"/>
      <c r="H543" s="55"/>
      <c r="I543" s="55"/>
      <c r="J543" s="55"/>
      <c r="K543" s="55"/>
      <c r="L543" s="55"/>
      <c r="M543" s="55"/>
      <c r="N543" s="55"/>
      <c r="O543" s="55"/>
      <c r="P543" s="55"/>
      <c r="Q543" s="55"/>
      <c r="R543" s="2226"/>
      <c r="S543" s="255"/>
    </row>
    <row r="544" spans="1:19">
      <c r="A544" s="255"/>
      <c r="B544" s="55"/>
      <c r="C544" s="55"/>
      <c r="D544" s="55"/>
      <c r="E544" s="55"/>
      <c r="F544" s="55"/>
      <c r="G544" s="55"/>
      <c r="H544" s="55"/>
      <c r="I544" s="55"/>
      <c r="J544" s="55"/>
      <c r="K544" s="55"/>
      <c r="L544" s="55"/>
      <c r="M544" s="55"/>
      <c r="N544" s="55"/>
      <c r="O544" s="55"/>
      <c r="P544" s="55"/>
      <c r="Q544" s="55"/>
      <c r="R544" s="2226"/>
      <c r="S544" s="255"/>
    </row>
    <row r="545" spans="1:19">
      <c r="A545" s="255"/>
      <c r="B545" s="55"/>
      <c r="C545" s="55"/>
      <c r="D545" s="55"/>
      <c r="E545" s="55"/>
      <c r="F545" s="55"/>
      <c r="G545" s="55"/>
      <c r="H545" s="55"/>
      <c r="I545" s="55"/>
      <c r="J545" s="55"/>
      <c r="K545" s="55"/>
      <c r="L545" s="55"/>
      <c r="M545" s="55"/>
      <c r="N545" s="55"/>
      <c r="O545" s="55"/>
      <c r="P545" s="55"/>
      <c r="Q545" s="55"/>
      <c r="R545" s="2226"/>
      <c r="S545" s="255"/>
    </row>
    <row r="546" spans="1:19">
      <c r="A546" s="255"/>
      <c r="B546" s="55"/>
      <c r="C546" s="55"/>
      <c r="D546" s="55"/>
      <c r="E546" s="55"/>
      <c r="F546" s="55"/>
      <c r="G546" s="55"/>
      <c r="H546" s="55"/>
      <c r="I546" s="55"/>
      <c r="J546" s="55"/>
      <c r="K546" s="55"/>
      <c r="L546" s="55"/>
      <c r="M546" s="55"/>
      <c r="N546" s="55"/>
      <c r="O546" s="55"/>
      <c r="P546" s="55"/>
      <c r="Q546" s="55"/>
      <c r="R546" s="2226"/>
      <c r="S546" s="255"/>
    </row>
    <row r="547" spans="1:19">
      <c r="A547" s="255"/>
      <c r="B547" s="55"/>
      <c r="C547" s="55"/>
      <c r="D547" s="55"/>
      <c r="E547" s="55"/>
      <c r="F547" s="55"/>
      <c r="G547" s="55"/>
      <c r="H547" s="55"/>
      <c r="I547" s="55"/>
      <c r="J547" s="55"/>
      <c r="K547" s="55"/>
      <c r="L547" s="55"/>
      <c r="M547" s="55"/>
      <c r="N547" s="55"/>
      <c r="O547" s="55"/>
      <c r="P547" s="55"/>
      <c r="Q547" s="55"/>
      <c r="R547" s="2226"/>
      <c r="S547" s="255"/>
    </row>
    <row r="548" spans="1:19">
      <c r="A548" s="255"/>
      <c r="B548" s="55"/>
      <c r="C548" s="55"/>
      <c r="D548" s="55"/>
      <c r="E548" s="55"/>
      <c r="F548" s="55"/>
      <c r="G548" s="55"/>
      <c r="H548" s="55"/>
      <c r="I548" s="55"/>
      <c r="J548" s="55"/>
      <c r="K548" s="55"/>
      <c r="L548" s="55"/>
      <c r="M548" s="55"/>
      <c r="N548" s="55"/>
      <c r="O548" s="55"/>
      <c r="P548" s="55"/>
      <c r="Q548" s="55"/>
      <c r="R548" s="2226"/>
      <c r="S548" s="255"/>
    </row>
    <row r="549" spans="1:19">
      <c r="A549" s="255"/>
      <c r="B549" s="55"/>
      <c r="C549" s="55"/>
      <c r="D549" s="55"/>
      <c r="E549" s="55"/>
      <c r="F549" s="55"/>
      <c r="G549" s="55"/>
      <c r="H549" s="55"/>
      <c r="I549" s="55"/>
      <c r="J549" s="55"/>
      <c r="K549" s="55"/>
      <c r="L549" s="55"/>
      <c r="M549" s="55"/>
      <c r="N549" s="55"/>
      <c r="O549" s="55"/>
      <c r="P549" s="55"/>
      <c r="Q549" s="55"/>
      <c r="R549" s="2226"/>
      <c r="S549" s="255"/>
    </row>
    <row r="550" spans="1:19">
      <c r="A550" s="255"/>
      <c r="B550" s="55"/>
      <c r="C550" s="55"/>
      <c r="D550" s="55"/>
      <c r="E550" s="55"/>
      <c r="F550" s="55"/>
      <c r="G550" s="55"/>
      <c r="H550" s="55"/>
      <c r="I550" s="55"/>
      <c r="J550" s="55"/>
      <c r="K550" s="55"/>
      <c r="L550" s="55"/>
      <c r="M550" s="55"/>
      <c r="N550" s="55"/>
      <c r="O550" s="55"/>
      <c r="P550" s="55"/>
      <c r="Q550" s="55"/>
      <c r="R550" s="2226"/>
      <c r="S550" s="255"/>
    </row>
    <row r="551" spans="1:19">
      <c r="A551" s="255"/>
      <c r="B551" s="55"/>
      <c r="C551" s="55"/>
      <c r="D551" s="55"/>
      <c r="E551" s="55"/>
      <c r="F551" s="55"/>
      <c r="G551" s="55"/>
      <c r="H551" s="55"/>
      <c r="I551" s="55"/>
      <c r="J551" s="55"/>
      <c r="K551" s="55"/>
      <c r="L551" s="55"/>
      <c r="M551" s="55"/>
      <c r="N551" s="55"/>
      <c r="O551" s="55"/>
      <c r="P551" s="55"/>
      <c r="Q551" s="55"/>
      <c r="R551" s="2226"/>
      <c r="S551" s="255"/>
    </row>
    <row r="552" spans="1:19">
      <c r="A552" s="255"/>
      <c r="B552" s="55"/>
      <c r="C552" s="55"/>
      <c r="D552" s="55"/>
      <c r="E552" s="55"/>
      <c r="F552" s="55"/>
      <c r="G552" s="55"/>
      <c r="H552" s="55"/>
      <c r="I552" s="55"/>
      <c r="J552" s="55"/>
      <c r="K552" s="55"/>
      <c r="L552" s="55"/>
      <c r="M552" s="55"/>
      <c r="N552" s="55"/>
      <c r="O552" s="55"/>
      <c r="P552" s="55"/>
      <c r="Q552" s="55"/>
      <c r="R552" s="2226"/>
      <c r="S552" s="255"/>
    </row>
    <row r="553" spans="1:19">
      <c r="A553" s="255"/>
      <c r="B553" s="55"/>
      <c r="C553" s="55"/>
      <c r="D553" s="55"/>
      <c r="E553" s="55"/>
      <c r="F553" s="55"/>
      <c r="G553" s="55"/>
      <c r="H553" s="55"/>
      <c r="I553" s="55"/>
      <c r="J553" s="55"/>
      <c r="K553" s="55"/>
      <c r="L553" s="55"/>
      <c r="M553" s="55"/>
      <c r="N553" s="55"/>
      <c r="O553" s="55"/>
      <c r="P553" s="55"/>
      <c r="Q553" s="55"/>
      <c r="R553" s="2226"/>
      <c r="S553" s="255"/>
    </row>
    <row r="554" spans="1:19">
      <c r="A554" s="255"/>
      <c r="B554" s="55"/>
      <c r="C554" s="55"/>
      <c r="D554" s="55"/>
      <c r="E554" s="55"/>
      <c r="F554" s="55"/>
      <c r="G554" s="55"/>
      <c r="H554" s="55"/>
      <c r="I554" s="55"/>
      <c r="J554" s="55"/>
      <c r="K554" s="55"/>
      <c r="L554" s="55"/>
      <c r="M554" s="55"/>
      <c r="N554" s="55"/>
      <c r="O554" s="55"/>
      <c r="P554" s="55"/>
      <c r="Q554" s="55"/>
      <c r="R554" s="2226"/>
      <c r="S554" s="255"/>
    </row>
    <row r="555" spans="1:19">
      <c r="A555" s="255"/>
      <c r="B555" s="55"/>
      <c r="C555" s="55"/>
      <c r="D555" s="55"/>
      <c r="E555" s="55"/>
      <c r="F555" s="55"/>
      <c r="G555" s="55"/>
      <c r="H555" s="55"/>
      <c r="I555" s="55"/>
      <c r="J555" s="55"/>
      <c r="K555" s="55"/>
      <c r="L555" s="55"/>
      <c r="M555" s="55"/>
      <c r="N555" s="55"/>
      <c r="O555" s="55"/>
      <c r="P555" s="55"/>
      <c r="Q555" s="55"/>
      <c r="R555" s="2226"/>
      <c r="S555" s="255"/>
    </row>
    <row r="556" spans="1:19">
      <c r="A556" s="255"/>
      <c r="B556" s="55"/>
      <c r="C556" s="55"/>
      <c r="D556" s="55"/>
      <c r="E556" s="55"/>
      <c r="F556" s="55"/>
      <c r="G556" s="55"/>
      <c r="H556" s="55"/>
      <c r="I556" s="55"/>
      <c r="J556" s="55"/>
      <c r="K556" s="55"/>
      <c r="L556" s="55"/>
      <c r="M556" s="55"/>
      <c r="N556" s="55"/>
      <c r="O556" s="55"/>
      <c r="P556" s="55"/>
      <c r="Q556" s="55"/>
      <c r="R556" s="2226"/>
      <c r="S556" s="255"/>
    </row>
    <row r="557" spans="1:19">
      <c r="A557" s="255"/>
      <c r="B557" s="55"/>
      <c r="C557" s="55"/>
      <c r="D557" s="55"/>
      <c r="E557" s="55"/>
      <c r="F557" s="55"/>
      <c r="G557" s="55"/>
      <c r="H557" s="55"/>
      <c r="I557" s="55"/>
      <c r="J557" s="55"/>
      <c r="K557" s="55"/>
      <c r="L557" s="55"/>
      <c r="M557" s="55"/>
      <c r="N557" s="55"/>
      <c r="O557" s="55"/>
      <c r="P557" s="55"/>
      <c r="Q557" s="55"/>
      <c r="R557" s="2226"/>
      <c r="S557" s="255"/>
    </row>
    <row r="558" spans="1:19">
      <c r="A558" s="255"/>
      <c r="B558" s="55"/>
      <c r="C558" s="55"/>
      <c r="D558" s="55"/>
      <c r="E558" s="55"/>
      <c r="F558" s="55"/>
      <c r="G558" s="55"/>
      <c r="H558" s="55"/>
      <c r="I558" s="55"/>
      <c r="J558" s="55"/>
      <c r="K558" s="55"/>
      <c r="L558" s="55"/>
      <c r="M558" s="55"/>
      <c r="N558" s="55"/>
      <c r="O558" s="55"/>
      <c r="P558" s="55"/>
      <c r="Q558" s="55"/>
      <c r="R558" s="2226"/>
      <c r="S558" s="255"/>
    </row>
    <row r="559" spans="1:19">
      <c r="A559" s="255"/>
      <c r="B559" s="55"/>
      <c r="C559" s="55"/>
      <c r="D559" s="55"/>
      <c r="E559" s="55"/>
      <c r="F559" s="55"/>
      <c r="G559" s="55"/>
      <c r="H559" s="55"/>
      <c r="I559" s="55"/>
      <c r="J559" s="55"/>
      <c r="K559" s="55"/>
      <c r="L559" s="55"/>
      <c r="M559" s="55"/>
      <c r="N559" s="55"/>
      <c r="O559" s="55"/>
      <c r="P559" s="55"/>
      <c r="Q559" s="55"/>
      <c r="R559" s="2226"/>
      <c r="S559" s="255"/>
    </row>
    <row r="560" spans="1:19">
      <c r="A560" s="255"/>
      <c r="B560" s="55"/>
      <c r="C560" s="55"/>
      <c r="D560" s="55"/>
      <c r="E560" s="55"/>
      <c r="F560" s="55"/>
      <c r="G560" s="55"/>
      <c r="H560" s="55"/>
      <c r="I560" s="55"/>
      <c r="J560" s="55"/>
      <c r="K560" s="55"/>
      <c r="L560" s="55"/>
      <c r="M560" s="55"/>
      <c r="N560" s="55"/>
      <c r="O560" s="55"/>
      <c r="P560" s="55"/>
      <c r="Q560" s="55"/>
      <c r="R560" s="2226"/>
      <c r="S560" s="255"/>
    </row>
    <row r="561" spans="1:19">
      <c r="A561" s="255"/>
      <c r="B561" s="55"/>
      <c r="C561" s="55"/>
      <c r="D561" s="55"/>
      <c r="E561" s="55"/>
      <c r="F561" s="55"/>
      <c r="G561" s="55"/>
      <c r="H561" s="55"/>
      <c r="I561" s="55"/>
      <c r="J561" s="55"/>
      <c r="K561" s="55"/>
      <c r="L561" s="55"/>
      <c r="M561" s="55"/>
      <c r="N561" s="55"/>
      <c r="O561" s="55"/>
      <c r="P561" s="55"/>
      <c r="Q561" s="55"/>
      <c r="R561" s="2226"/>
      <c r="S561" s="255"/>
    </row>
    <row r="562" spans="1:19">
      <c r="A562" s="255"/>
      <c r="B562" s="55"/>
      <c r="C562" s="55"/>
      <c r="D562" s="55"/>
      <c r="E562" s="55"/>
      <c r="F562" s="55"/>
      <c r="G562" s="55"/>
      <c r="H562" s="55"/>
      <c r="I562" s="55"/>
      <c r="J562" s="55"/>
      <c r="K562" s="55"/>
      <c r="L562" s="55"/>
      <c r="M562" s="55"/>
      <c r="N562" s="55"/>
      <c r="O562" s="55"/>
      <c r="P562" s="55"/>
      <c r="Q562" s="55"/>
      <c r="R562" s="2226"/>
      <c r="S562" s="255"/>
    </row>
    <row r="563" spans="1:19">
      <c r="A563" s="255"/>
      <c r="B563" s="55"/>
      <c r="C563" s="55"/>
      <c r="D563" s="55"/>
      <c r="E563" s="55"/>
      <c r="F563" s="55"/>
      <c r="G563" s="55"/>
      <c r="H563" s="55"/>
      <c r="I563" s="55"/>
      <c r="J563" s="55"/>
      <c r="K563" s="55"/>
      <c r="L563" s="55"/>
      <c r="M563" s="55"/>
      <c r="N563" s="55"/>
      <c r="O563" s="55"/>
      <c r="P563" s="55"/>
      <c r="Q563" s="55"/>
      <c r="R563" s="2226"/>
      <c r="S563" s="255"/>
    </row>
    <row r="564" spans="1:19">
      <c r="A564" s="255"/>
      <c r="B564" s="55"/>
      <c r="C564" s="55"/>
      <c r="D564" s="55"/>
      <c r="E564" s="55"/>
      <c r="F564" s="55"/>
      <c r="G564" s="55"/>
      <c r="H564" s="55"/>
      <c r="I564" s="55"/>
      <c r="J564" s="55"/>
      <c r="K564" s="55"/>
      <c r="L564" s="55"/>
      <c r="M564" s="55"/>
      <c r="N564" s="55"/>
      <c r="O564" s="55"/>
      <c r="P564" s="55"/>
      <c r="Q564" s="55"/>
      <c r="R564" s="2226"/>
      <c r="S564" s="255"/>
    </row>
    <row r="565" spans="1:19">
      <c r="A565" s="255"/>
      <c r="B565" s="55"/>
      <c r="C565" s="55"/>
      <c r="D565" s="55"/>
      <c r="E565" s="55"/>
      <c r="F565" s="55"/>
      <c r="G565" s="55"/>
      <c r="H565" s="55"/>
      <c r="I565" s="55"/>
      <c r="J565" s="55"/>
      <c r="K565" s="55"/>
      <c r="L565" s="55"/>
      <c r="M565" s="55"/>
      <c r="N565" s="55"/>
      <c r="O565" s="55"/>
      <c r="P565" s="55"/>
      <c r="Q565" s="55"/>
      <c r="R565" s="2226"/>
      <c r="S565" s="255"/>
    </row>
    <row r="566" spans="1:19">
      <c r="A566" s="255"/>
      <c r="B566" s="55"/>
      <c r="C566" s="55"/>
      <c r="D566" s="55"/>
      <c r="E566" s="55"/>
      <c r="F566" s="55"/>
      <c r="G566" s="55"/>
      <c r="H566" s="55"/>
      <c r="I566" s="55"/>
      <c r="J566" s="55"/>
      <c r="K566" s="55"/>
      <c r="L566" s="55"/>
      <c r="M566" s="55"/>
      <c r="N566" s="55"/>
      <c r="O566" s="55"/>
      <c r="P566" s="55"/>
      <c r="Q566" s="55"/>
      <c r="R566" s="2226"/>
      <c r="S566" s="255"/>
    </row>
    <row r="567" spans="1:19">
      <c r="A567" s="255"/>
      <c r="B567" s="55"/>
      <c r="C567" s="55"/>
      <c r="D567" s="55"/>
      <c r="E567" s="55"/>
      <c r="F567" s="55"/>
      <c r="G567" s="55"/>
      <c r="H567" s="55"/>
      <c r="I567" s="55"/>
      <c r="J567" s="55"/>
      <c r="K567" s="55"/>
      <c r="L567" s="55"/>
      <c r="M567" s="55"/>
      <c r="N567" s="55"/>
      <c r="O567" s="55"/>
      <c r="P567" s="55"/>
      <c r="Q567" s="55"/>
      <c r="R567" s="2226"/>
      <c r="S567" s="255"/>
    </row>
    <row r="568" spans="1:19">
      <c r="A568" s="255"/>
      <c r="B568" s="55"/>
      <c r="C568" s="55"/>
      <c r="D568" s="55"/>
      <c r="E568" s="55"/>
      <c r="F568" s="55"/>
      <c r="G568" s="55"/>
      <c r="H568" s="55"/>
      <c r="I568" s="55"/>
      <c r="J568" s="55"/>
      <c r="K568" s="55"/>
      <c r="L568" s="55"/>
      <c r="M568" s="55"/>
      <c r="N568" s="55"/>
      <c r="O568" s="55"/>
      <c r="P568" s="55"/>
      <c r="Q568" s="55"/>
      <c r="R568" s="2226"/>
      <c r="S568" s="255"/>
    </row>
    <row r="569" spans="1:19">
      <c r="A569" s="255"/>
      <c r="B569" s="55"/>
      <c r="C569" s="55"/>
      <c r="D569" s="55"/>
      <c r="E569" s="55"/>
      <c r="F569" s="55"/>
      <c r="G569" s="55"/>
      <c r="H569" s="55"/>
      <c r="I569" s="55"/>
      <c r="J569" s="55"/>
      <c r="K569" s="55"/>
      <c r="L569" s="55"/>
      <c r="M569" s="55"/>
      <c r="N569" s="55"/>
      <c r="O569" s="55"/>
      <c r="P569" s="55"/>
      <c r="Q569" s="55"/>
      <c r="R569" s="2226"/>
      <c r="S569" s="255"/>
    </row>
    <row r="570" spans="1:19">
      <c r="A570" s="255"/>
      <c r="B570" s="55"/>
      <c r="C570" s="55"/>
      <c r="D570" s="55"/>
      <c r="E570" s="55"/>
      <c r="F570" s="55"/>
      <c r="G570" s="55"/>
      <c r="H570" s="55"/>
      <c r="I570" s="55"/>
      <c r="J570" s="55"/>
      <c r="K570" s="55"/>
      <c r="L570" s="55"/>
      <c r="M570" s="55"/>
      <c r="N570" s="55"/>
      <c r="O570" s="55"/>
      <c r="P570" s="55"/>
      <c r="Q570" s="55"/>
      <c r="R570" s="2226"/>
      <c r="S570" s="255"/>
    </row>
    <row r="571" spans="1:19">
      <c r="A571" s="255"/>
      <c r="B571" s="55"/>
      <c r="C571" s="55"/>
      <c r="D571" s="55"/>
      <c r="E571" s="55"/>
      <c r="F571" s="55"/>
      <c r="G571" s="55"/>
      <c r="H571" s="55"/>
      <c r="I571" s="55"/>
      <c r="J571" s="55"/>
      <c r="K571" s="55"/>
      <c r="L571" s="55"/>
      <c r="M571" s="55"/>
      <c r="N571" s="55"/>
      <c r="O571" s="55"/>
      <c r="P571" s="55"/>
      <c r="Q571" s="55"/>
      <c r="R571" s="2226"/>
      <c r="S571" s="255"/>
    </row>
    <row r="572" spans="1:19">
      <c r="A572" s="255"/>
      <c r="B572" s="55"/>
      <c r="C572" s="55"/>
      <c r="D572" s="55"/>
      <c r="E572" s="55"/>
      <c r="F572" s="55"/>
      <c r="G572" s="55"/>
      <c r="H572" s="55"/>
      <c r="I572" s="55"/>
      <c r="J572" s="55"/>
      <c r="K572" s="55"/>
      <c r="L572" s="55"/>
      <c r="M572" s="55"/>
      <c r="N572" s="55"/>
      <c r="O572" s="55"/>
      <c r="P572" s="55"/>
      <c r="Q572" s="55"/>
      <c r="R572" s="2226"/>
      <c r="S572" s="255"/>
    </row>
    <row r="573" spans="1:19">
      <c r="A573" s="255"/>
      <c r="B573" s="55"/>
      <c r="C573" s="55"/>
      <c r="D573" s="55"/>
      <c r="E573" s="55"/>
      <c r="F573" s="55"/>
      <c r="G573" s="55"/>
      <c r="H573" s="55"/>
      <c r="I573" s="55"/>
      <c r="J573" s="55"/>
      <c r="K573" s="55"/>
      <c r="L573" s="55"/>
      <c r="M573" s="55"/>
      <c r="N573" s="55"/>
      <c r="O573" s="55"/>
      <c r="P573" s="55"/>
      <c r="Q573" s="55"/>
      <c r="R573" s="2226"/>
      <c r="S573" s="255"/>
    </row>
    <row r="574" spans="1:19">
      <c r="A574" s="255"/>
      <c r="B574" s="55"/>
      <c r="C574" s="55"/>
      <c r="D574" s="55"/>
      <c r="E574" s="55"/>
      <c r="F574" s="55"/>
      <c r="G574" s="55"/>
      <c r="H574" s="55"/>
      <c r="I574" s="55"/>
      <c r="J574" s="55"/>
      <c r="K574" s="55"/>
      <c r="L574" s="55"/>
      <c r="M574" s="55"/>
      <c r="N574" s="55"/>
      <c r="O574" s="55"/>
      <c r="P574" s="55"/>
      <c r="Q574" s="55"/>
      <c r="R574" s="2226"/>
      <c r="S574" s="255"/>
    </row>
    <row r="575" spans="1:19">
      <c r="A575" s="255"/>
      <c r="B575" s="55"/>
      <c r="C575" s="55"/>
      <c r="D575" s="55"/>
      <c r="E575" s="55"/>
      <c r="F575" s="55"/>
      <c r="G575" s="55"/>
      <c r="H575" s="55"/>
      <c r="I575" s="55"/>
      <c r="J575" s="55"/>
      <c r="K575" s="55"/>
      <c r="L575" s="55"/>
      <c r="M575" s="55"/>
      <c r="N575" s="55"/>
      <c r="O575" s="55"/>
      <c r="P575" s="55"/>
      <c r="Q575" s="55"/>
      <c r="R575" s="2226"/>
      <c r="S575" s="255"/>
    </row>
    <row r="576" spans="1:19">
      <c r="A576" s="255"/>
      <c r="B576" s="55"/>
      <c r="C576" s="55"/>
      <c r="D576" s="55"/>
      <c r="E576" s="55"/>
      <c r="F576" s="55"/>
      <c r="G576" s="55"/>
      <c r="H576" s="55"/>
      <c r="I576" s="55"/>
      <c r="J576" s="55"/>
      <c r="K576" s="55"/>
      <c r="L576" s="55"/>
      <c r="M576" s="55"/>
      <c r="N576" s="55"/>
      <c r="O576" s="55"/>
      <c r="P576" s="55"/>
      <c r="Q576" s="55"/>
      <c r="R576" s="2226"/>
      <c r="S576" s="255"/>
    </row>
    <row r="577" spans="1:19">
      <c r="A577" s="255"/>
      <c r="B577" s="55"/>
      <c r="C577" s="55"/>
      <c r="D577" s="55"/>
      <c r="E577" s="55"/>
      <c r="F577" s="55"/>
      <c r="G577" s="55"/>
      <c r="H577" s="55"/>
      <c r="I577" s="55"/>
      <c r="J577" s="55"/>
      <c r="K577" s="55"/>
      <c r="L577" s="55"/>
      <c r="M577" s="55"/>
      <c r="N577" s="55"/>
      <c r="O577" s="55"/>
      <c r="P577" s="55"/>
      <c r="Q577" s="55"/>
      <c r="R577" s="2226"/>
      <c r="S577" s="255"/>
    </row>
    <row r="578" spans="1:19">
      <c r="A578" s="255"/>
      <c r="B578" s="55"/>
      <c r="C578" s="55"/>
      <c r="D578" s="55"/>
      <c r="E578" s="55"/>
      <c r="F578" s="55"/>
      <c r="G578" s="55"/>
      <c r="H578" s="55"/>
      <c r="I578" s="55"/>
      <c r="J578" s="55"/>
      <c r="K578" s="55"/>
      <c r="L578" s="55"/>
      <c r="M578" s="55"/>
      <c r="N578" s="55"/>
      <c r="O578" s="55"/>
      <c r="P578" s="55"/>
      <c r="Q578" s="55"/>
      <c r="R578" s="2226"/>
      <c r="S578" s="255"/>
    </row>
    <row r="579" spans="1:19">
      <c r="A579" s="255"/>
      <c r="B579" s="55"/>
      <c r="C579" s="55"/>
      <c r="D579" s="55"/>
      <c r="E579" s="55"/>
      <c r="F579" s="55"/>
      <c r="G579" s="55"/>
      <c r="H579" s="55"/>
      <c r="I579" s="55"/>
      <c r="J579" s="55"/>
      <c r="K579" s="55"/>
      <c r="L579" s="55"/>
      <c r="M579" s="55"/>
      <c r="N579" s="55"/>
      <c r="O579" s="55"/>
      <c r="P579" s="55"/>
      <c r="Q579" s="55"/>
      <c r="R579" s="2226"/>
      <c r="S579" s="255"/>
    </row>
    <row r="580" spans="1:19">
      <c r="A580" s="255"/>
      <c r="B580" s="55"/>
      <c r="C580" s="55"/>
      <c r="D580" s="55"/>
      <c r="E580" s="55"/>
      <c r="F580" s="55"/>
      <c r="G580" s="55"/>
      <c r="H580" s="55"/>
      <c r="I580" s="55"/>
      <c r="J580" s="55"/>
      <c r="K580" s="55"/>
      <c r="L580" s="55"/>
      <c r="M580" s="55"/>
      <c r="N580" s="55"/>
      <c r="O580" s="55"/>
      <c r="P580" s="55"/>
      <c r="Q580" s="55"/>
      <c r="R580" s="2226"/>
      <c r="S580" s="255"/>
    </row>
    <row r="581" spans="1:19">
      <c r="A581" s="255"/>
      <c r="B581" s="55"/>
      <c r="C581" s="55"/>
      <c r="D581" s="55"/>
      <c r="E581" s="55"/>
      <c r="F581" s="55"/>
      <c r="G581" s="55"/>
      <c r="H581" s="55"/>
      <c r="I581" s="55"/>
      <c r="J581" s="55"/>
      <c r="K581" s="55"/>
      <c r="L581" s="55"/>
      <c r="M581" s="55"/>
      <c r="N581" s="55"/>
      <c r="O581" s="55"/>
      <c r="P581" s="55"/>
      <c r="Q581" s="55"/>
      <c r="R581" s="2226"/>
      <c r="S581" s="255"/>
    </row>
    <row r="582" spans="1:19">
      <c r="A582" s="255"/>
      <c r="B582" s="55"/>
      <c r="C582" s="55"/>
      <c r="D582" s="55"/>
      <c r="E582" s="55"/>
      <c r="F582" s="55"/>
      <c r="G582" s="55"/>
      <c r="H582" s="55"/>
      <c r="I582" s="55"/>
      <c r="J582" s="55"/>
      <c r="K582" s="55"/>
      <c r="L582" s="55"/>
      <c r="M582" s="55"/>
      <c r="N582" s="55"/>
      <c r="O582" s="55"/>
      <c r="P582" s="55"/>
      <c r="Q582" s="55"/>
      <c r="R582" s="2226"/>
      <c r="S582" s="255"/>
    </row>
    <row r="583" spans="1:19">
      <c r="A583" s="255"/>
      <c r="B583" s="55"/>
      <c r="C583" s="55"/>
      <c r="D583" s="55"/>
      <c r="E583" s="55"/>
      <c r="F583" s="55"/>
      <c r="G583" s="55"/>
      <c r="H583" s="55"/>
      <c r="I583" s="55"/>
      <c r="J583" s="55"/>
      <c r="K583" s="55"/>
      <c r="L583" s="55"/>
      <c r="M583" s="55"/>
      <c r="N583" s="55"/>
      <c r="O583" s="55"/>
      <c r="P583" s="55"/>
      <c r="Q583" s="55"/>
      <c r="R583" s="2226"/>
      <c r="S583" s="255"/>
    </row>
    <row r="584" spans="1:19">
      <c r="A584" s="255"/>
      <c r="B584" s="55"/>
      <c r="C584" s="55"/>
      <c r="D584" s="55"/>
      <c r="E584" s="55"/>
      <c r="F584" s="55"/>
      <c r="G584" s="55"/>
      <c r="H584" s="55"/>
      <c r="I584" s="55"/>
      <c r="J584" s="55"/>
      <c r="K584" s="55"/>
      <c r="L584" s="55"/>
      <c r="M584" s="55"/>
      <c r="N584" s="55"/>
      <c r="O584" s="55"/>
      <c r="P584" s="55"/>
      <c r="Q584" s="55"/>
      <c r="R584" s="2226"/>
      <c r="S584" s="255"/>
    </row>
    <row r="585" spans="1:19">
      <c r="A585" s="255"/>
      <c r="B585" s="55"/>
      <c r="C585" s="55"/>
      <c r="D585" s="55"/>
      <c r="E585" s="55"/>
      <c r="F585" s="55"/>
      <c r="G585" s="55"/>
      <c r="H585" s="55"/>
      <c r="I585" s="55"/>
      <c r="J585" s="55"/>
      <c r="K585" s="55"/>
      <c r="L585" s="55"/>
      <c r="M585" s="55"/>
      <c r="N585" s="55"/>
      <c r="O585" s="55"/>
      <c r="P585" s="55"/>
      <c r="Q585" s="55"/>
      <c r="R585" s="2226"/>
      <c r="S585" s="255"/>
    </row>
    <row r="586" spans="1:19">
      <c r="A586" s="255"/>
      <c r="B586" s="55"/>
      <c r="C586" s="55"/>
      <c r="D586" s="55"/>
      <c r="E586" s="55"/>
      <c r="F586" s="55"/>
      <c r="G586" s="55"/>
      <c r="H586" s="55"/>
      <c r="I586" s="55"/>
      <c r="J586" s="55"/>
      <c r="K586" s="55"/>
      <c r="L586" s="55"/>
      <c r="M586" s="55"/>
      <c r="N586" s="55"/>
      <c r="O586" s="55"/>
      <c r="P586" s="55"/>
      <c r="Q586" s="55"/>
      <c r="R586" s="2226"/>
      <c r="S586" s="255"/>
    </row>
    <row r="587" spans="1:19">
      <c r="A587" s="255"/>
      <c r="B587" s="55"/>
      <c r="C587" s="55"/>
      <c r="D587" s="55"/>
      <c r="E587" s="55"/>
      <c r="F587" s="55"/>
      <c r="G587" s="55"/>
      <c r="H587" s="55"/>
      <c r="I587" s="55"/>
      <c r="J587" s="55"/>
      <c r="K587" s="55"/>
      <c r="L587" s="55"/>
      <c r="M587" s="55"/>
      <c r="N587" s="55"/>
      <c r="O587" s="55"/>
      <c r="P587" s="55"/>
      <c r="Q587" s="55"/>
      <c r="R587" s="2226"/>
      <c r="S587" s="255"/>
    </row>
    <row r="588" spans="1:19">
      <c r="A588" s="255"/>
      <c r="B588" s="55"/>
      <c r="C588" s="55"/>
      <c r="D588" s="55"/>
      <c r="E588" s="55"/>
      <c r="F588" s="55"/>
      <c r="G588" s="55"/>
      <c r="H588" s="55"/>
      <c r="I588" s="55"/>
      <c r="J588" s="55"/>
      <c r="K588" s="55"/>
      <c r="L588" s="55"/>
      <c r="M588" s="55"/>
      <c r="N588" s="55"/>
      <c r="O588" s="55"/>
      <c r="P588" s="55"/>
      <c r="Q588" s="55"/>
      <c r="R588" s="2226"/>
      <c r="S588" s="255"/>
    </row>
    <row r="589" spans="1:19">
      <c r="A589" s="255"/>
      <c r="B589" s="55"/>
      <c r="C589" s="55"/>
      <c r="D589" s="55"/>
      <c r="E589" s="55"/>
      <c r="F589" s="55"/>
      <c r="G589" s="55"/>
      <c r="H589" s="55"/>
      <c r="I589" s="55"/>
      <c r="J589" s="55"/>
      <c r="K589" s="55"/>
      <c r="L589" s="55"/>
      <c r="M589" s="55"/>
      <c r="N589" s="55"/>
      <c r="O589" s="55"/>
      <c r="P589" s="55"/>
      <c r="Q589" s="55"/>
      <c r="R589" s="2226"/>
      <c r="S589" s="255"/>
    </row>
    <row r="590" spans="1:19">
      <c r="A590" s="255"/>
      <c r="B590" s="55"/>
      <c r="C590" s="55"/>
      <c r="D590" s="55"/>
      <c r="E590" s="55"/>
      <c r="F590" s="55"/>
      <c r="G590" s="55"/>
      <c r="H590" s="55"/>
      <c r="I590" s="55"/>
      <c r="J590" s="55"/>
      <c r="K590" s="55"/>
      <c r="L590" s="55"/>
      <c r="M590" s="55"/>
      <c r="N590" s="55"/>
      <c r="O590" s="55"/>
      <c r="P590" s="55"/>
      <c r="Q590" s="55"/>
      <c r="R590" s="2226"/>
      <c r="S590" s="255"/>
    </row>
    <row r="591" spans="1:19">
      <c r="A591" s="255"/>
      <c r="B591" s="55"/>
      <c r="C591" s="55"/>
      <c r="D591" s="55"/>
      <c r="E591" s="55"/>
      <c r="F591" s="55"/>
      <c r="G591" s="55"/>
      <c r="H591" s="55"/>
      <c r="I591" s="55"/>
      <c r="J591" s="55"/>
      <c r="K591" s="55"/>
      <c r="L591" s="55"/>
      <c r="M591" s="55"/>
      <c r="N591" s="55"/>
      <c r="O591" s="55"/>
      <c r="P591" s="55"/>
      <c r="Q591" s="55"/>
      <c r="R591" s="2226"/>
      <c r="S591" s="255"/>
    </row>
    <row r="592" spans="1:19">
      <c r="A592" s="255"/>
      <c r="B592" s="55"/>
      <c r="C592" s="55"/>
      <c r="D592" s="55"/>
      <c r="E592" s="55"/>
      <c r="F592" s="55"/>
      <c r="G592" s="55"/>
      <c r="H592" s="55"/>
      <c r="I592" s="55"/>
      <c r="J592" s="55"/>
      <c r="K592" s="55"/>
      <c r="L592" s="55"/>
      <c r="M592" s="55"/>
      <c r="N592" s="55"/>
      <c r="O592" s="55"/>
      <c r="P592" s="55"/>
      <c r="Q592" s="55"/>
      <c r="R592" s="2226"/>
      <c r="S592" s="255"/>
    </row>
    <row r="593" spans="1:19">
      <c r="A593" s="255"/>
      <c r="B593" s="55"/>
      <c r="C593" s="55"/>
      <c r="D593" s="55"/>
      <c r="E593" s="55"/>
      <c r="F593" s="55"/>
      <c r="G593" s="55"/>
      <c r="H593" s="55"/>
      <c r="I593" s="55"/>
      <c r="J593" s="55"/>
      <c r="K593" s="55"/>
      <c r="L593" s="55"/>
      <c r="M593" s="55"/>
      <c r="N593" s="55"/>
      <c r="O593" s="55"/>
      <c r="P593" s="55"/>
      <c r="Q593" s="55"/>
      <c r="R593" s="2226"/>
      <c r="S593" s="255"/>
    </row>
    <row r="594" spans="1:19">
      <c r="A594" s="255"/>
      <c r="B594" s="55"/>
      <c r="C594" s="55"/>
      <c r="D594" s="55"/>
      <c r="E594" s="55"/>
      <c r="F594" s="55"/>
      <c r="G594" s="55"/>
      <c r="H594" s="55"/>
      <c r="I594" s="55"/>
      <c r="J594" s="55"/>
      <c r="K594" s="55"/>
      <c r="L594" s="55"/>
      <c r="M594" s="55"/>
      <c r="N594" s="55"/>
      <c r="O594" s="55"/>
      <c r="P594" s="55"/>
      <c r="Q594" s="55"/>
      <c r="R594" s="2226"/>
      <c r="S594" s="255"/>
    </row>
    <row r="595" spans="1:19">
      <c r="A595" s="255"/>
      <c r="B595" s="55"/>
      <c r="C595" s="55"/>
      <c r="D595" s="55"/>
      <c r="E595" s="55"/>
      <c r="F595" s="55"/>
      <c r="G595" s="55"/>
      <c r="H595" s="55"/>
      <c r="I595" s="55"/>
      <c r="J595" s="55"/>
      <c r="K595" s="55"/>
      <c r="L595" s="55"/>
      <c r="M595" s="55"/>
      <c r="N595" s="55"/>
      <c r="O595" s="55"/>
      <c r="P595" s="55"/>
      <c r="Q595" s="55"/>
      <c r="R595" s="2226"/>
      <c r="S595" s="255"/>
    </row>
    <row r="596" spans="1:19">
      <c r="A596" s="255"/>
      <c r="B596" s="55"/>
      <c r="C596" s="55"/>
      <c r="D596" s="55"/>
      <c r="E596" s="55"/>
      <c r="F596" s="55"/>
      <c r="G596" s="55"/>
      <c r="H596" s="55"/>
      <c r="I596" s="55"/>
      <c r="J596" s="55"/>
      <c r="K596" s="55"/>
      <c r="L596" s="55"/>
      <c r="M596" s="55"/>
      <c r="N596" s="55"/>
      <c r="O596" s="55"/>
      <c r="P596" s="55"/>
      <c r="Q596" s="55"/>
      <c r="R596" s="2226"/>
      <c r="S596" s="255"/>
    </row>
    <row r="597" spans="1:19">
      <c r="A597" s="255"/>
      <c r="B597" s="55"/>
      <c r="C597" s="55"/>
      <c r="D597" s="55"/>
      <c r="E597" s="55"/>
      <c r="F597" s="55"/>
      <c r="G597" s="55"/>
      <c r="H597" s="55"/>
      <c r="I597" s="55"/>
      <c r="J597" s="55"/>
      <c r="K597" s="55"/>
      <c r="L597" s="55"/>
      <c r="M597" s="55"/>
      <c r="N597" s="55"/>
      <c r="O597" s="55"/>
      <c r="P597" s="55"/>
      <c r="Q597" s="55"/>
      <c r="R597" s="2226"/>
      <c r="S597" s="255"/>
    </row>
    <row r="598" spans="1:19">
      <c r="A598" s="255"/>
      <c r="B598" s="55"/>
      <c r="C598" s="55"/>
      <c r="D598" s="55"/>
      <c r="E598" s="55"/>
      <c r="F598" s="55"/>
      <c r="G598" s="55"/>
      <c r="H598" s="55"/>
      <c r="I598" s="55"/>
      <c r="J598" s="55"/>
      <c r="K598" s="55"/>
      <c r="L598" s="55"/>
      <c r="M598" s="55"/>
      <c r="N598" s="55"/>
      <c r="O598" s="55"/>
      <c r="P598" s="55"/>
      <c r="Q598" s="55"/>
      <c r="R598" s="2226"/>
      <c r="S598" s="255"/>
    </row>
    <row r="599" spans="1:19">
      <c r="A599" s="255"/>
      <c r="B599" s="55"/>
      <c r="C599" s="55"/>
      <c r="D599" s="55"/>
      <c r="E599" s="55"/>
      <c r="F599" s="55"/>
      <c r="G599" s="55"/>
      <c r="H599" s="55"/>
      <c r="I599" s="55"/>
      <c r="J599" s="55"/>
      <c r="K599" s="55"/>
      <c r="L599" s="55"/>
      <c r="M599" s="55"/>
      <c r="N599" s="55"/>
      <c r="O599" s="55"/>
      <c r="P599" s="55"/>
      <c r="Q599" s="55"/>
      <c r="R599" s="2226"/>
      <c r="S599" s="255"/>
    </row>
    <row r="600" spans="1:19">
      <c r="A600" s="255"/>
      <c r="B600" s="55"/>
      <c r="C600" s="55"/>
      <c r="D600" s="55"/>
      <c r="E600" s="55"/>
      <c r="F600" s="55"/>
      <c r="G600" s="55"/>
      <c r="H600" s="55"/>
      <c r="I600" s="55"/>
      <c r="J600" s="55"/>
      <c r="K600" s="55"/>
      <c r="L600" s="55"/>
      <c r="M600" s="55"/>
      <c r="N600" s="55"/>
      <c r="O600" s="55"/>
      <c r="P600" s="55"/>
      <c r="Q600" s="55"/>
      <c r="R600" s="2226"/>
      <c r="S600" s="255"/>
    </row>
    <row r="601" spans="1:19">
      <c r="A601" s="255"/>
      <c r="B601" s="55"/>
      <c r="C601" s="55"/>
      <c r="D601" s="55"/>
      <c r="E601" s="55"/>
      <c r="F601" s="55"/>
      <c r="G601" s="55"/>
      <c r="H601" s="55"/>
      <c r="I601" s="55"/>
      <c r="J601" s="55"/>
      <c r="K601" s="55"/>
      <c r="L601" s="55"/>
      <c r="M601" s="55"/>
      <c r="N601" s="55"/>
      <c r="O601" s="55"/>
      <c r="P601" s="55"/>
      <c r="Q601" s="55"/>
      <c r="R601" s="2226"/>
      <c r="S601" s="255"/>
    </row>
    <row r="602" spans="1:19">
      <c r="A602" s="255"/>
      <c r="B602" s="55"/>
      <c r="C602" s="55"/>
      <c r="D602" s="55"/>
      <c r="E602" s="55"/>
      <c r="F602" s="55"/>
      <c r="G602" s="55"/>
      <c r="H602" s="55"/>
      <c r="I602" s="55"/>
      <c r="J602" s="55"/>
      <c r="K602" s="55"/>
      <c r="L602" s="55"/>
      <c r="M602" s="55"/>
      <c r="N602" s="55"/>
      <c r="O602" s="55"/>
      <c r="P602" s="55"/>
      <c r="Q602" s="55"/>
      <c r="R602" s="2226"/>
      <c r="S602" s="255"/>
    </row>
    <row r="603" spans="1:19">
      <c r="A603" s="255"/>
      <c r="B603" s="55"/>
      <c r="C603" s="55"/>
      <c r="D603" s="55"/>
      <c r="E603" s="55"/>
      <c r="F603" s="55"/>
      <c r="G603" s="55"/>
      <c r="H603" s="55"/>
      <c r="I603" s="55"/>
      <c r="J603" s="55"/>
      <c r="K603" s="55"/>
      <c r="L603" s="55"/>
      <c r="M603" s="55"/>
      <c r="N603" s="55"/>
      <c r="O603" s="55"/>
      <c r="P603" s="55"/>
      <c r="Q603" s="55"/>
      <c r="R603" s="2226"/>
      <c r="S603" s="255"/>
    </row>
    <row r="604" spans="1:19">
      <c r="A604" s="255"/>
      <c r="B604" s="55"/>
      <c r="C604" s="55"/>
      <c r="D604" s="55"/>
      <c r="E604" s="55"/>
      <c r="F604" s="55"/>
      <c r="G604" s="55"/>
      <c r="H604" s="55"/>
      <c r="I604" s="55"/>
      <c r="J604" s="55"/>
      <c r="K604" s="55"/>
      <c r="L604" s="55"/>
      <c r="M604" s="55"/>
      <c r="N604" s="55"/>
      <c r="O604" s="55"/>
      <c r="P604" s="55"/>
      <c r="Q604" s="55"/>
      <c r="R604" s="2226"/>
      <c r="S604" s="255"/>
    </row>
    <row r="605" spans="1:19">
      <c r="A605" s="255"/>
      <c r="B605" s="55"/>
      <c r="C605" s="55"/>
      <c r="D605" s="55"/>
      <c r="E605" s="55"/>
      <c r="F605" s="55"/>
      <c r="G605" s="55"/>
      <c r="H605" s="55"/>
      <c r="I605" s="55"/>
      <c r="J605" s="55"/>
      <c r="K605" s="55"/>
      <c r="L605" s="55"/>
      <c r="M605" s="55"/>
      <c r="N605" s="55"/>
      <c r="O605" s="55"/>
      <c r="P605" s="55"/>
      <c r="Q605" s="55"/>
      <c r="R605" s="2226"/>
      <c r="S605" s="255"/>
    </row>
    <row r="606" spans="1:19">
      <c r="A606" s="255"/>
      <c r="B606" s="55"/>
      <c r="C606" s="55"/>
      <c r="D606" s="55"/>
      <c r="E606" s="55"/>
      <c r="F606" s="55"/>
      <c r="G606" s="55"/>
      <c r="H606" s="55"/>
      <c r="I606" s="55"/>
      <c r="J606" s="55"/>
      <c r="K606" s="55"/>
      <c r="L606" s="55"/>
      <c r="M606" s="55"/>
      <c r="N606" s="55"/>
      <c r="O606" s="55"/>
      <c r="P606" s="55"/>
      <c r="Q606" s="55"/>
      <c r="R606" s="2226"/>
      <c r="S606" s="255"/>
    </row>
    <row r="607" spans="1:19">
      <c r="A607" s="255"/>
      <c r="B607" s="55"/>
      <c r="C607" s="55"/>
      <c r="D607" s="55"/>
      <c r="E607" s="55"/>
      <c r="F607" s="55"/>
      <c r="G607" s="55"/>
      <c r="H607" s="55"/>
      <c r="I607" s="55"/>
      <c r="J607" s="55"/>
      <c r="K607" s="55"/>
      <c r="L607" s="55"/>
      <c r="M607" s="55"/>
      <c r="N607" s="55"/>
      <c r="O607" s="55"/>
      <c r="P607" s="55"/>
      <c r="Q607" s="55"/>
      <c r="R607" s="2226"/>
      <c r="S607" s="255"/>
    </row>
    <row r="608" spans="1:19">
      <c r="A608" s="255"/>
      <c r="B608" s="55"/>
      <c r="C608" s="55"/>
      <c r="D608" s="55"/>
      <c r="E608" s="55"/>
      <c r="F608" s="55"/>
      <c r="G608" s="55"/>
      <c r="H608" s="55"/>
      <c r="I608" s="55"/>
      <c r="J608" s="55"/>
      <c r="K608" s="55"/>
      <c r="L608" s="55"/>
      <c r="M608" s="55"/>
      <c r="N608" s="55"/>
      <c r="O608" s="55"/>
      <c r="P608" s="55"/>
      <c r="Q608" s="55"/>
      <c r="R608" s="2226"/>
      <c r="S608" s="255"/>
    </row>
    <row r="609" spans="1:19">
      <c r="A609" s="255"/>
      <c r="B609" s="55"/>
      <c r="C609" s="55"/>
      <c r="D609" s="55"/>
      <c r="E609" s="55"/>
      <c r="F609" s="55"/>
      <c r="G609" s="55"/>
      <c r="H609" s="55"/>
      <c r="I609" s="55"/>
      <c r="J609" s="55"/>
      <c r="K609" s="55"/>
      <c r="L609" s="55"/>
      <c r="M609" s="55"/>
      <c r="N609" s="55"/>
      <c r="O609" s="55"/>
      <c r="P609" s="55"/>
      <c r="Q609" s="55"/>
      <c r="R609" s="2226"/>
      <c r="S609" s="255"/>
    </row>
    <row r="610" spans="1:19">
      <c r="A610" s="255"/>
      <c r="B610" s="55"/>
      <c r="C610" s="55"/>
      <c r="D610" s="55"/>
      <c r="E610" s="55"/>
      <c r="F610" s="55"/>
      <c r="G610" s="55"/>
      <c r="H610" s="55"/>
      <c r="I610" s="55"/>
      <c r="J610" s="55"/>
      <c r="K610" s="55"/>
      <c r="L610" s="55"/>
      <c r="M610" s="55"/>
      <c r="N610" s="55"/>
      <c r="O610" s="55"/>
      <c r="P610" s="55"/>
      <c r="Q610" s="55"/>
      <c r="R610" s="2226"/>
      <c r="S610" s="255"/>
    </row>
    <row r="611" spans="1:19">
      <c r="A611" s="255"/>
      <c r="B611" s="55"/>
      <c r="C611" s="55"/>
      <c r="D611" s="55"/>
      <c r="E611" s="55"/>
      <c r="F611" s="55"/>
      <c r="G611" s="55"/>
      <c r="H611" s="55"/>
      <c r="I611" s="55"/>
      <c r="J611" s="55"/>
      <c r="K611" s="55"/>
      <c r="L611" s="55"/>
      <c r="M611" s="55"/>
      <c r="N611" s="55"/>
      <c r="O611" s="55"/>
      <c r="P611" s="55"/>
      <c r="Q611" s="55"/>
      <c r="R611" s="2226"/>
      <c r="S611" s="255"/>
    </row>
    <row r="612" spans="1:19">
      <c r="A612" s="255"/>
      <c r="B612" s="55"/>
      <c r="C612" s="55"/>
      <c r="D612" s="55"/>
      <c r="E612" s="55"/>
      <c r="F612" s="55"/>
      <c r="G612" s="55"/>
      <c r="H612" s="55"/>
      <c r="I612" s="55"/>
      <c r="J612" s="55"/>
      <c r="K612" s="55"/>
      <c r="L612" s="55"/>
      <c r="M612" s="55"/>
      <c r="N612" s="55"/>
      <c r="O612" s="55"/>
      <c r="P612" s="55"/>
      <c r="Q612" s="55"/>
      <c r="R612" s="2226"/>
      <c r="S612" s="255"/>
    </row>
    <row r="613" spans="1:19">
      <c r="A613" s="255"/>
      <c r="B613" s="55"/>
      <c r="C613" s="55"/>
      <c r="D613" s="55"/>
      <c r="E613" s="55"/>
      <c r="F613" s="55"/>
      <c r="G613" s="55"/>
      <c r="H613" s="55"/>
      <c r="I613" s="55"/>
      <c r="J613" s="55"/>
      <c r="K613" s="55"/>
      <c r="L613" s="55"/>
      <c r="M613" s="55"/>
      <c r="N613" s="55"/>
      <c r="O613" s="55"/>
      <c r="P613" s="55"/>
      <c r="Q613" s="55"/>
      <c r="R613" s="2226"/>
      <c r="S613" s="255"/>
    </row>
    <row r="614" spans="1:19">
      <c r="A614" s="255"/>
      <c r="B614" s="55"/>
      <c r="C614" s="55"/>
      <c r="D614" s="55"/>
      <c r="E614" s="55"/>
      <c r="F614" s="55"/>
      <c r="G614" s="55"/>
      <c r="H614" s="55"/>
      <c r="I614" s="55"/>
      <c r="J614" s="55"/>
      <c r="K614" s="55"/>
      <c r="L614" s="55"/>
      <c r="M614" s="55"/>
      <c r="N614" s="55"/>
      <c r="O614" s="55"/>
      <c r="P614" s="55"/>
      <c r="Q614" s="55"/>
      <c r="R614" s="2226"/>
      <c r="S614" s="255"/>
    </row>
    <row r="615" spans="1:19">
      <c r="A615" s="255"/>
      <c r="B615" s="55"/>
      <c r="C615" s="55"/>
      <c r="D615" s="55"/>
      <c r="E615" s="55"/>
      <c r="F615" s="55"/>
      <c r="G615" s="55"/>
      <c r="H615" s="55"/>
      <c r="I615" s="55"/>
      <c r="J615" s="55"/>
      <c r="K615" s="55"/>
      <c r="L615" s="55"/>
      <c r="M615" s="55"/>
      <c r="N615" s="55"/>
      <c r="O615" s="55"/>
      <c r="P615" s="55"/>
      <c r="Q615" s="55"/>
      <c r="R615" s="2226"/>
      <c r="S615" s="255"/>
    </row>
    <row r="616" spans="1:19">
      <c r="A616" s="255"/>
      <c r="B616" s="55"/>
      <c r="C616" s="55"/>
      <c r="D616" s="55"/>
      <c r="E616" s="55"/>
      <c r="F616" s="55"/>
      <c r="G616" s="55"/>
      <c r="H616" s="55"/>
      <c r="I616" s="55"/>
      <c r="J616" s="55"/>
      <c r="K616" s="55"/>
      <c r="L616" s="55"/>
      <c r="M616" s="55"/>
      <c r="N616" s="55"/>
      <c r="O616" s="55"/>
      <c r="P616" s="55"/>
      <c r="Q616" s="55"/>
      <c r="R616" s="2226"/>
      <c r="S616" s="255"/>
    </row>
    <row r="617" spans="1:19">
      <c r="A617" s="255"/>
      <c r="B617" s="55"/>
      <c r="C617" s="55"/>
      <c r="D617" s="55"/>
      <c r="E617" s="55"/>
      <c r="F617" s="55"/>
      <c r="G617" s="55"/>
      <c r="H617" s="55"/>
      <c r="I617" s="55"/>
      <c r="J617" s="55"/>
      <c r="K617" s="55"/>
      <c r="L617" s="55"/>
      <c r="M617" s="55"/>
      <c r="N617" s="55"/>
      <c r="O617" s="55"/>
      <c r="P617" s="55"/>
      <c r="Q617" s="55"/>
      <c r="R617" s="2226"/>
      <c r="S617" s="255"/>
    </row>
    <row r="618" spans="1:19">
      <c r="A618" s="255"/>
      <c r="B618" s="55"/>
      <c r="C618" s="55"/>
      <c r="D618" s="55"/>
      <c r="E618" s="55"/>
      <c r="F618" s="55"/>
      <c r="G618" s="55"/>
      <c r="H618" s="55"/>
      <c r="I618" s="55"/>
      <c r="J618" s="55"/>
      <c r="K618" s="55"/>
      <c r="L618" s="55"/>
      <c r="M618" s="55"/>
      <c r="N618" s="55"/>
      <c r="O618" s="55"/>
      <c r="P618" s="55"/>
      <c r="Q618" s="55"/>
      <c r="R618" s="2226"/>
      <c r="S618" s="255"/>
    </row>
    <row r="619" spans="1:19">
      <c r="A619" s="255"/>
      <c r="B619" s="55"/>
      <c r="C619" s="55"/>
      <c r="D619" s="55"/>
      <c r="E619" s="55"/>
      <c r="F619" s="55"/>
      <c r="G619" s="55"/>
      <c r="H619" s="55"/>
      <c r="I619" s="55"/>
      <c r="J619" s="55"/>
      <c r="K619" s="55"/>
      <c r="L619" s="55"/>
      <c r="M619" s="55"/>
      <c r="N619" s="55"/>
      <c r="O619" s="55"/>
      <c r="P619" s="55"/>
      <c r="Q619" s="55"/>
      <c r="R619" s="2226"/>
      <c r="S619" s="255"/>
    </row>
    <row r="620" spans="1:19">
      <c r="A620" s="255"/>
      <c r="B620" s="55"/>
      <c r="C620" s="55"/>
      <c r="D620" s="55"/>
      <c r="E620" s="55"/>
      <c r="F620" s="55"/>
      <c r="G620" s="55"/>
      <c r="H620" s="55"/>
      <c r="I620" s="55"/>
      <c r="J620" s="55"/>
      <c r="K620" s="55"/>
      <c r="L620" s="55"/>
      <c r="M620" s="55"/>
      <c r="N620" s="55"/>
      <c r="O620" s="55"/>
      <c r="P620" s="55"/>
      <c r="Q620" s="55"/>
      <c r="R620" s="2226"/>
      <c r="S620" s="255"/>
    </row>
    <row r="621" spans="1:19">
      <c r="A621" s="255"/>
      <c r="B621" s="55"/>
      <c r="C621" s="55"/>
      <c r="D621" s="55"/>
      <c r="E621" s="55"/>
      <c r="F621" s="55"/>
      <c r="G621" s="55"/>
      <c r="H621" s="55"/>
      <c r="I621" s="55"/>
      <c r="J621" s="55"/>
      <c r="K621" s="55"/>
      <c r="L621" s="55"/>
      <c r="M621" s="55"/>
      <c r="N621" s="55"/>
      <c r="O621" s="55"/>
      <c r="P621" s="55"/>
      <c r="Q621" s="55"/>
      <c r="R621" s="2226"/>
      <c r="S621" s="255"/>
    </row>
    <row r="622" spans="1:19">
      <c r="A622" s="255"/>
      <c r="B622" s="55"/>
      <c r="C622" s="55"/>
      <c r="D622" s="55"/>
      <c r="E622" s="55"/>
      <c r="F622" s="55"/>
      <c r="G622" s="55"/>
      <c r="H622" s="55"/>
      <c r="I622" s="55"/>
      <c r="J622" s="55"/>
      <c r="K622" s="55"/>
      <c r="L622" s="55"/>
      <c r="M622" s="55"/>
      <c r="N622" s="55"/>
      <c r="O622" s="55"/>
      <c r="P622" s="55"/>
      <c r="Q622" s="55"/>
      <c r="R622" s="2226"/>
      <c r="S622" s="255"/>
    </row>
    <row r="623" spans="1:19">
      <c r="A623" s="255"/>
      <c r="B623" s="55"/>
      <c r="C623" s="55"/>
      <c r="D623" s="55"/>
      <c r="E623" s="55"/>
      <c r="F623" s="55"/>
      <c r="G623" s="55"/>
      <c r="H623" s="55"/>
      <c r="I623" s="55"/>
      <c r="J623" s="55"/>
      <c r="K623" s="55"/>
      <c r="L623" s="55"/>
      <c r="M623" s="55"/>
      <c r="N623" s="55"/>
      <c r="O623" s="55"/>
      <c r="P623" s="55"/>
      <c r="Q623" s="55"/>
      <c r="R623" s="2226"/>
      <c r="S623" s="255"/>
    </row>
    <row r="624" spans="1:19">
      <c r="A624" s="255"/>
      <c r="B624" s="55"/>
      <c r="C624" s="55"/>
      <c r="D624" s="55"/>
      <c r="E624" s="55"/>
      <c r="F624" s="55"/>
      <c r="G624" s="55"/>
      <c r="H624" s="55"/>
      <c r="I624" s="55"/>
      <c r="J624" s="55"/>
      <c r="K624" s="55"/>
      <c r="L624" s="55"/>
      <c r="M624" s="55"/>
      <c r="N624" s="55"/>
      <c r="O624" s="55"/>
      <c r="P624" s="55"/>
      <c r="Q624" s="55"/>
      <c r="R624" s="2226"/>
      <c r="S624" s="255"/>
    </row>
    <row r="625" spans="1:19">
      <c r="A625" s="255"/>
      <c r="B625" s="55"/>
      <c r="C625" s="55"/>
      <c r="D625" s="55"/>
      <c r="E625" s="55"/>
      <c r="F625" s="55"/>
      <c r="G625" s="55"/>
      <c r="H625" s="55"/>
      <c r="I625" s="55"/>
      <c r="J625" s="55"/>
      <c r="K625" s="55"/>
      <c r="L625" s="55"/>
      <c r="M625" s="55"/>
      <c r="N625" s="55"/>
      <c r="O625" s="55"/>
      <c r="P625" s="55"/>
      <c r="Q625" s="55"/>
      <c r="R625" s="2226"/>
      <c r="S625" s="255"/>
    </row>
    <row r="626" spans="1:19">
      <c r="A626" s="255"/>
      <c r="B626" s="55"/>
      <c r="C626" s="55"/>
      <c r="D626" s="55"/>
      <c r="E626" s="55"/>
      <c r="F626" s="55"/>
      <c r="G626" s="55"/>
      <c r="H626" s="55"/>
      <c r="I626" s="55"/>
      <c r="J626" s="55"/>
      <c r="K626" s="55"/>
      <c r="L626" s="55"/>
      <c r="M626" s="55"/>
      <c r="N626" s="55"/>
      <c r="O626" s="55"/>
      <c r="P626" s="55"/>
      <c r="Q626" s="55"/>
      <c r="R626" s="2226"/>
      <c r="S626" s="255"/>
    </row>
    <row r="627" spans="1:19">
      <c r="A627" s="255"/>
      <c r="B627" s="55"/>
      <c r="C627" s="55"/>
      <c r="D627" s="55"/>
      <c r="E627" s="55"/>
      <c r="F627" s="55"/>
      <c r="G627" s="55"/>
      <c r="H627" s="55"/>
      <c r="I627" s="55"/>
      <c r="J627" s="55"/>
      <c r="K627" s="55"/>
      <c r="L627" s="55"/>
      <c r="M627" s="55"/>
      <c r="N627" s="55"/>
      <c r="O627" s="55"/>
      <c r="P627" s="55"/>
      <c r="Q627" s="55"/>
      <c r="R627" s="2226"/>
      <c r="S627" s="255"/>
    </row>
    <row r="628" spans="1:19">
      <c r="A628" s="255"/>
      <c r="B628" s="55"/>
      <c r="C628" s="55"/>
      <c r="D628" s="55"/>
      <c r="E628" s="55"/>
      <c r="F628" s="55"/>
      <c r="G628" s="55"/>
      <c r="H628" s="55"/>
      <c r="I628" s="55"/>
      <c r="J628" s="55"/>
      <c r="K628" s="55"/>
      <c r="L628" s="55"/>
      <c r="M628" s="55"/>
      <c r="N628" s="55"/>
      <c r="O628" s="55"/>
      <c r="P628" s="55"/>
      <c r="Q628" s="55"/>
      <c r="R628" s="2226"/>
      <c r="S628" s="255"/>
    </row>
    <row r="629" spans="1:19">
      <c r="A629" s="255"/>
      <c r="B629" s="55"/>
      <c r="C629" s="55"/>
      <c r="D629" s="55"/>
      <c r="E629" s="55"/>
      <c r="F629" s="55"/>
      <c r="G629" s="55"/>
      <c r="H629" s="55"/>
      <c r="I629" s="55"/>
      <c r="J629" s="55"/>
      <c r="K629" s="55"/>
      <c r="L629" s="55"/>
      <c r="M629" s="55"/>
      <c r="N629" s="55"/>
      <c r="O629" s="55"/>
      <c r="P629" s="55"/>
      <c r="Q629" s="55"/>
      <c r="R629" s="2226"/>
      <c r="S629" s="255"/>
    </row>
    <row r="630" spans="1:19">
      <c r="A630" s="255"/>
      <c r="B630" s="55"/>
      <c r="C630" s="55"/>
      <c r="D630" s="55"/>
      <c r="E630" s="55"/>
      <c r="F630" s="55"/>
      <c r="G630" s="55"/>
      <c r="H630" s="55"/>
      <c r="I630" s="55"/>
      <c r="J630" s="55"/>
      <c r="K630" s="55"/>
      <c r="L630" s="55"/>
      <c r="M630" s="55"/>
      <c r="N630" s="55"/>
      <c r="O630" s="55"/>
      <c r="P630" s="55"/>
      <c r="Q630" s="55"/>
      <c r="R630" s="2226"/>
      <c r="S630" s="255"/>
    </row>
    <row r="631" spans="1:19">
      <c r="A631" s="255"/>
      <c r="B631" s="55"/>
      <c r="C631" s="55"/>
      <c r="D631" s="55"/>
      <c r="E631" s="55"/>
      <c r="F631" s="55"/>
      <c r="G631" s="55"/>
      <c r="H631" s="55"/>
      <c r="I631" s="55"/>
      <c r="J631" s="55"/>
      <c r="K631" s="55"/>
      <c r="L631" s="55"/>
      <c r="M631" s="55"/>
      <c r="N631" s="55"/>
      <c r="O631" s="55"/>
      <c r="P631" s="55"/>
      <c r="Q631" s="55"/>
      <c r="R631" s="2226"/>
      <c r="S631" s="255"/>
    </row>
    <row r="632" spans="1:19">
      <c r="A632" s="255"/>
      <c r="B632" s="55"/>
      <c r="C632" s="55"/>
      <c r="D632" s="55"/>
      <c r="E632" s="55"/>
      <c r="F632" s="55"/>
      <c r="G632" s="55"/>
      <c r="H632" s="55"/>
      <c r="I632" s="55"/>
      <c r="J632" s="55"/>
      <c r="K632" s="55"/>
      <c r="L632" s="55"/>
      <c r="M632" s="55"/>
      <c r="N632" s="55"/>
      <c r="O632" s="55"/>
      <c r="P632" s="55"/>
      <c r="Q632" s="55"/>
      <c r="R632" s="2226"/>
      <c r="S632" s="255"/>
    </row>
    <row r="633" spans="1:19">
      <c r="A633" s="255"/>
      <c r="B633" s="55"/>
      <c r="C633" s="55"/>
      <c r="D633" s="55"/>
      <c r="E633" s="55"/>
      <c r="F633" s="55"/>
      <c r="G633" s="55"/>
      <c r="H633" s="55"/>
      <c r="I633" s="55"/>
      <c r="J633" s="55"/>
      <c r="K633" s="55"/>
      <c r="L633" s="55"/>
      <c r="M633" s="55"/>
      <c r="N633" s="55"/>
      <c r="O633" s="55"/>
      <c r="P633" s="55"/>
      <c r="Q633" s="55"/>
      <c r="R633" s="2226"/>
      <c r="S633" s="255"/>
    </row>
    <row r="634" spans="1:19">
      <c r="A634" s="255"/>
      <c r="B634" s="55"/>
      <c r="C634" s="55"/>
      <c r="D634" s="55"/>
      <c r="E634" s="55"/>
      <c r="F634" s="55"/>
      <c r="G634" s="55"/>
      <c r="H634" s="55"/>
      <c r="I634" s="55"/>
      <c r="J634" s="55"/>
      <c r="K634" s="55"/>
      <c r="L634" s="55"/>
      <c r="M634" s="55"/>
      <c r="N634" s="55"/>
      <c r="O634" s="55"/>
      <c r="P634" s="55"/>
      <c r="Q634" s="55"/>
      <c r="R634" s="2226"/>
      <c r="S634" s="255"/>
    </row>
    <row r="635" spans="1:19">
      <c r="A635" s="255"/>
      <c r="B635" s="55"/>
      <c r="C635" s="55"/>
      <c r="D635" s="55"/>
      <c r="E635" s="55"/>
      <c r="F635" s="55"/>
      <c r="G635" s="55"/>
      <c r="H635" s="55"/>
      <c r="I635" s="55"/>
      <c r="J635" s="55"/>
      <c r="K635" s="55"/>
      <c r="L635" s="55"/>
      <c r="M635" s="55"/>
      <c r="N635" s="55"/>
      <c r="O635" s="55"/>
      <c r="P635" s="55"/>
      <c r="Q635" s="55"/>
      <c r="R635" s="2226"/>
      <c r="S635" s="255"/>
    </row>
    <row r="636" spans="1:19">
      <c r="A636" s="255"/>
      <c r="B636" s="55"/>
      <c r="C636" s="55"/>
      <c r="D636" s="55"/>
      <c r="E636" s="55"/>
      <c r="F636" s="55"/>
      <c r="G636" s="55"/>
      <c r="H636" s="55"/>
      <c r="I636" s="55"/>
      <c r="J636" s="55"/>
      <c r="K636" s="55"/>
      <c r="L636" s="55"/>
      <c r="M636" s="55"/>
      <c r="N636" s="55"/>
      <c r="O636" s="55"/>
      <c r="P636" s="55"/>
      <c r="Q636" s="55"/>
      <c r="R636" s="2226"/>
      <c r="S636" s="255"/>
    </row>
    <row r="637" spans="1:19">
      <c r="A637" s="255"/>
      <c r="B637" s="55"/>
      <c r="C637" s="55"/>
      <c r="D637" s="55"/>
      <c r="E637" s="55"/>
      <c r="F637" s="55"/>
      <c r="G637" s="55"/>
      <c r="H637" s="55"/>
      <c r="I637" s="55"/>
      <c r="J637" s="55"/>
      <c r="K637" s="55"/>
      <c r="L637" s="55"/>
      <c r="M637" s="55"/>
      <c r="N637" s="55"/>
      <c r="O637" s="55"/>
      <c r="P637" s="55"/>
      <c r="Q637" s="55"/>
      <c r="R637" s="2226"/>
      <c r="S637" s="255"/>
    </row>
    <row r="638" spans="1:19">
      <c r="A638" s="255"/>
      <c r="B638" s="55"/>
      <c r="C638" s="55"/>
      <c r="D638" s="55"/>
      <c r="E638" s="55"/>
      <c r="F638" s="55"/>
      <c r="G638" s="55"/>
      <c r="H638" s="55"/>
      <c r="I638" s="55"/>
      <c r="J638" s="55"/>
      <c r="K638" s="55"/>
      <c r="L638" s="55"/>
      <c r="M638" s="55"/>
      <c r="N638" s="55"/>
      <c r="O638" s="55"/>
      <c r="P638" s="55"/>
      <c r="Q638" s="55"/>
      <c r="R638" s="2226"/>
      <c r="S638" s="255"/>
    </row>
    <row r="639" spans="1:19">
      <c r="A639" s="255"/>
      <c r="B639" s="55"/>
      <c r="C639" s="55"/>
      <c r="D639" s="55"/>
      <c r="E639" s="55"/>
      <c r="F639" s="55"/>
      <c r="G639" s="55"/>
      <c r="H639" s="55"/>
      <c r="I639" s="55"/>
      <c r="J639" s="55"/>
      <c r="K639" s="55"/>
      <c r="L639" s="55"/>
      <c r="M639" s="55"/>
      <c r="N639" s="55"/>
      <c r="O639" s="55"/>
      <c r="P639" s="55"/>
      <c r="Q639" s="55"/>
      <c r="R639" s="2226"/>
      <c r="S639" s="255"/>
    </row>
    <row r="640" spans="1:19">
      <c r="A640" s="255"/>
      <c r="B640" s="55"/>
      <c r="C640" s="55"/>
      <c r="D640" s="55"/>
      <c r="E640" s="55"/>
      <c r="F640" s="55"/>
      <c r="G640" s="55"/>
      <c r="H640" s="55"/>
      <c r="I640" s="55"/>
      <c r="J640" s="55"/>
      <c r="K640" s="55"/>
      <c r="L640" s="55"/>
      <c r="M640" s="55"/>
      <c r="N640" s="55"/>
      <c r="O640" s="55"/>
      <c r="P640" s="55"/>
      <c r="Q640" s="55"/>
      <c r="R640" s="2226"/>
      <c r="S640" s="255"/>
    </row>
    <row r="641" spans="1:19">
      <c r="A641" s="255"/>
      <c r="B641" s="55"/>
      <c r="C641" s="55"/>
      <c r="D641" s="55"/>
      <c r="E641" s="55"/>
      <c r="F641" s="55"/>
      <c r="G641" s="55"/>
      <c r="H641" s="55"/>
      <c r="I641" s="55"/>
      <c r="J641" s="55"/>
      <c r="K641" s="55"/>
      <c r="L641" s="55"/>
      <c r="M641" s="55"/>
      <c r="N641" s="55"/>
      <c r="O641" s="55"/>
      <c r="P641" s="55"/>
      <c r="Q641" s="55"/>
      <c r="R641" s="2226"/>
      <c r="S641" s="255"/>
    </row>
    <row r="642" spans="1:19">
      <c r="A642" s="255"/>
      <c r="B642" s="55"/>
      <c r="C642" s="55"/>
      <c r="D642" s="55"/>
      <c r="E642" s="55"/>
      <c r="F642" s="55"/>
      <c r="G642" s="55"/>
      <c r="H642" s="55"/>
      <c r="I642" s="55"/>
      <c r="J642" s="55"/>
      <c r="K642" s="55"/>
      <c r="L642" s="55"/>
      <c r="M642" s="55"/>
      <c r="N642" s="55"/>
      <c r="O642" s="55"/>
      <c r="P642" s="55"/>
      <c r="Q642" s="55"/>
      <c r="R642" s="2226"/>
      <c r="S642" s="255"/>
    </row>
    <row r="643" spans="1:19">
      <c r="A643" s="255"/>
      <c r="B643" s="55"/>
      <c r="C643" s="55"/>
      <c r="D643" s="55"/>
      <c r="E643" s="55"/>
      <c r="F643" s="55"/>
      <c r="G643" s="55"/>
      <c r="H643" s="55"/>
      <c r="I643" s="55"/>
      <c r="J643" s="55"/>
      <c r="K643" s="55"/>
      <c r="L643" s="55"/>
      <c r="M643" s="55"/>
      <c r="N643" s="55"/>
      <c r="O643" s="55"/>
      <c r="P643" s="55"/>
      <c r="Q643" s="55"/>
      <c r="R643" s="2226"/>
      <c r="S643" s="255"/>
    </row>
    <row r="644" spans="1:19">
      <c r="A644" s="255"/>
      <c r="B644" s="55"/>
      <c r="C644" s="55"/>
      <c r="D644" s="55"/>
      <c r="E644" s="55"/>
      <c r="F644" s="55"/>
      <c r="G644" s="55"/>
      <c r="H644" s="55"/>
      <c r="I644" s="55"/>
      <c r="J644" s="55"/>
      <c r="K644" s="55"/>
      <c r="L644" s="55"/>
      <c r="M644" s="55"/>
      <c r="N644" s="55"/>
      <c r="O644" s="55"/>
      <c r="P644" s="55"/>
      <c r="Q644" s="55"/>
      <c r="R644" s="2226"/>
      <c r="S644" s="255"/>
    </row>
    <row r="645" spans="1:19">
      <c r="A645" s="255"/>
      <c r="B645" s="55"/>
      <c r="C645" s="55"/>
      <c r="D645" s="55"/>
      <c r="E645" s="55"/>
      <c r="F645" s="55"/>
      <c r="G645" s="55"/>
      <c r="H645" s="55"/>
      <c r="I645" s="55"/>
      <c r="J645" s="55"/>
      <c r="K645" s="55"/>
      <c r="L645" s="55"/>
      <c r="M645" s="55"/>
      <c r="N645" s="55"/>
      <c r="O645" s="55"/>
      <c r="P645" s="55"/>
      <c r="Q645" s="55"/>
      <c r="R645" s="2226"/>
      <c r="S645" s="255"/>
    </row>
    <row r="646" spans="1:19">
      <c r="A646" s="255"/>
      <c r="B646" s="55"/>
      <c r="C646" s="55"/>
      <c r="D646" s="55"/>
      <c r="E646" s="55"/>
      <c r="F646" s="55"/>
      <c r="G646" s="55"/>
      <c r="H646" s="55"/>
      <c r="I646" s="55"/>
      <c r="J646" s="55"/>
      <c r="K646" s="55"/>
      <c r="L646" s="55"/>
      <c r="M646" s="55"/>
      <c r="N646" s="55"/>
      <c r="O646" s="55"/>
      <c r="P646" s="55"/>
      <c r="Q646" s="55"/>
      <c r="R646" s="2226"/>
      <c r="S646" s="255"/>
    </row>
    <row r="647" spans="1:19">
      <c r="A647" s="255"/>
      <c r="B647" s="55"/>
      <c r="C647" s="55"/>
      <c r="D647" s="55"/>
      <c r="E647" s="55"/>
      <c r="F647" s="55"/>
      <c r="G647" s="55"/>
      <c r="H647" s="55"/>
      <c r="I647" s="55"/>
      <c r="J647" s="55"/>
      <c r="K647" s="55"/>
      <c r="L647" s="55"/>
      <c r="M647" s="55"/>
      <c r="N647" s="55"/>
      <c r="O647" s="55"/>
      <c r="P647" s="55"/>
      <c r="Q647" s="55"/>
      <c r="R647" s="2226"/>
      <c r="S647" s="255"/>
    </row>
    <row r="648" spans="1:19">
      <c r="A648" s="255"/>
      <c r="B648" s="55"/>
      <c r="C648" s="55"/>
      <c r="D648" s="55"/>
      <c r="E648" s="55"/>
      <c r="F648" s="55"/>
      <c r="G648" s="55"/>
      <c r="H648" s="55"/>
      <c r="I648" s="55"/>
      <c r="J648" s="55"/>
      <c r="K648" s="55"/>
      <c r="L648" s="55"/>
      <c r="M648" s="55"/>
      <c r="N648" s="55"/>
      <c r="O648" s="55"/>
      <c r="P648" s="55"/>
      <c r="Q648" s="55"/>
      <c r="R648" s="2226"/>
      <c r="S648" s="255"/>
    </row>
    <row r="649" spans="1:19">
      <c r="A649" s="255"/>
      <c r="B649" s="55"/>
      <c r="C649" s="55"/>
      <c r="D649" s="55"/>
      <c r="E649" s="55"/>
      <c r="F649" s="55"/>
      <c r="G649" s="55"/>
      <c r="H649" s="55"/>
      <c r="I649" s="55"/>
      <c r="J649" s="55"/>
      <c r="K649" s="55"/>
      <c r="L649" s="55"/>
      <c r="M649" s="55"/>
      <c r="N649" s="55"/>
      <c r="O649" s="55"/>
      <c r="P649" s="55"/>
      <c r="Q649" s="55"/>
      <c r="R649" s="2226"/>
      <c r="S649" s="255"/>
    </row>
    <row r="650" spans="1:19">
      <c r="A650" s="255"/>
      <c r="B650" s="55"/>
      <c r="C650" s="55"/>
      <c r="D650" s="55"/>
      <c r="E650" s="55"/>
      <c r="F650" s="55"/>
      <c r="G650" s="55"/>
      <c r="H650" s="55"/>
      <c r="I650" s="55"/>
      <c r="J650" s="55"/>
      <c r="K650" s="55"/>
      <c r="L650" s="55"/>
      <c r="M650" s="55"/>
      <c r="N650" s="55"/>
      <c r="O650" s="55"/>
      <c r="P650" s="55"/>
      <c r="Q650" s="55"/>
      <c r="R650" s="2226"/>
      <c r="S650" s="255"/>
    </row>
    <row r="651" spans="1:19">
      <c r="A651" s="255"/>
      <c r="B651" s="55"/>
      <c r="C651" s="55"/>
      <c r="D651" s="55"/>
      <c r="E651" s="55"/>
      <c r="F651" s="55"/>
      <c r="G651" s="55"/>
      <c r="H651" s="55"/>
      <c r="I651" s="55"/>
      <c r="J651" s="55"/>
      <c r="K651" s="55"/>
      <c r="L651" s="55"/>
      <c r="M651" s="55"/>
      <c r="N651" s="55"/>
      <c r="O651" s="55"/>
      <c r="P651" s="55"/>
      <c r="Q651" s="55"/>
      <c r="R651" s="2226"/>
      <c r="S651" s="255"/>
    </row>
    <row r="652" spans="1:19">
      <c r="A652" s="255"/>
      <c r="B652" s="55"/>
      <c r="C652" s="55"/>
      <c r="D652" s="55"/>
      <c r="E652" s="55"/>
      <c r="F652" s="55"/>
      <c r="G652" s="55"/>
      <c r="H652" s="55"/>
      <c r="I652" s="55"/>
      <c r="J652" s="55"/>
      <c r="K652" s="55"/>
      <c r="L652" s="55"/>
      <c r="M652" s="55"/>
      <c r="N652" s="55"/>
      <c r="O652" s="55"/>
      <c r="P652" s="55"/>
      <c r="Q652" s="55"/>
      <c r="R652" s="2226"/>
      <c r="S652" s="255"/>
    </row>
    <row r="653" spans="1:19">
      <c r="A653" s="255"/>
      <c r="B653" s="55"/>
      <c r="C653" s="55"/>
      <c r="D653" s="55"/>
      <c r="E653" s="55"/>
      <c r="F653" s="55"/>
      <c r="G653" s="55"/>
      <c r="H653" s="55"/>
      <c r="I653" s="55"/>
      <c r="J653" s="55"/>
      <c r="K653" s="55"/>
      <c r="L653" s="55"/>
      <c r="M653" s="55"/>
      <c r="N653" s="55"/>
      <c r="O653" s="55"/>
      <c r="P653" s="55"/>
      <c r="Q653" s="55"/>
      <c r="R653" s="2226"/>
      <c r="S653" s="255"/>
    </row>
    <row r="654" spans="1:19">
      <c r="A654" s="255"/>
      <c r="B654" s="55"/>
      <c r="C654" s="55"/>
      <c r="D654" s="55"/>
      <c r="E654" s="55"/>
      <c r="F654" s="55"/>
      <c r="G654" s="55"/>
      <c r="H654" s="55"/>
      <c r="I654" s="55"/>
      <c r="J654" s="55"/>
      <c r="K654" s="55"/>
      <c r="L654" s="55"/>
      <c r="M654" s="55"/>
      <c r="N654" s="55"/>
      <c r="O654" s="55"/>
      <c r="P654" s="55"/>
      <c r="Q654" s="55"/>
      <c r="R654" s="2226"/>
      <c r="S654" s="255"/>
    </row>
    <row r="655" spans="1:19">
      <c r="A655" s="255"/>
      <c r="B655" s="55"/>
      <c r="C655" s="55"/>
      <c r="D655" s="55"/>
      <c r="E655" s="55"/>
      <c r="F655" s="55"/>
      <c r="G655" s="55"/>
      <c r="H655" s="55"/>
      <c r="I655" s="55"/>
      <c r="J655" s="55"/>
      <c r="K655" s="55"/>
      <c r="L655" s="55"/>
      <c r="M655" s="55"/>
      <c r="N655" s="55"/>
      <c r="O655" s="55"/>
      <c r="P655" s="55"/>
      <c r="Q655" s="55"/>
      <c r="R655" s="2226"/>
      <c r="S655" s="255"/>
    </row>
    <row r="656" spans="1:19">
      <c r="A656" s="255"/>
      <c r="B656" s="55"/>
      <c r="C656" s="55"/>
      <c r="D656" s="55"/>
      <c r="E656" s="55"/>
      <c r="F656" s="55"/>
      <c r="G656" s="55"/>
      <c r="H656" s="55"/>
      <c r="I656" s="55"/>
      <c r="J656" s="55"/>
      <c r="K656" s="55"/>
      <c r="L656" s="55"/>
      <c r="M656" s="55"/>
      <c r="N656" s="55"/>
      <c r="O656" s="55"/>
      <c r="P656" s="55"/>
      <c r="Q656" s="55"/>
      <c r="R656" s="2226"/>
      <c r="S656" s="255"/>
    </row>
    <row r="657" spans="1:19">
      <c r="A657" s="255"/>
      <c r="B657" s="55"/>
      <c r="C657" s="55"/>
      <c r="D657" s="55"/>
      <c r="E657" s="55"/>
      <c r="F657" s="55"/>
      <c r="G657" s="55"/>
      <c r="H657" s="55"/>
      <c r="I657" s="55"/>
      <c r="J657" s="55"/>
      <c r="K657" s="55"/>
      <c r="L657" s="55"/>
      <c r="M657" s="55"/>
      <c r="N657" s="55"/>
      <c r="O657" s="55"/>
      <c r="P657" s="55"/>
      <c r="Q657" s="55"/>
      <c r="R657" s="2226"/>
      <c r="S657" s="255"/>
    </row>
    <row r="658" spans="1:19">
      <c r="A658" s="255"/>
      <c r="B658" s="55"/>
      <c r="C658" s="55"/>
      <c r="D658" s="55"/>
      <c r="E658" s="55"/>
      <c r="F658" s="55"/>
      <c r="G658" s="55"/>
      <c r="H658" s="55"/>
      <c r="I658" s="55"/>
      <c r="J658" s="55"/>
      <c r="K658" s="55"/>
      <c r="L658" s="55"/>
      <c r="M658" s="55"/>
      <c r="N658" s="55"/>
      <c r="O658" s="55"/>
      <c r="P658" s="55"/>
      <c r="Q658" s="55"/>
      <c r="R658" s="2226"/>
      <c r="S658" s="255"/>
    </row>
    <row r="659" spans="1:19">
      <c r="A659" s="255"/>
      <c r="B659" s="55"/>
      <c r="C659" s="55"/>
      <c r="D659" s="55"/>
      <c r="E659" s="55"/>
      <c r="F659" s="55"/>
      <c r="G659" s="55"/>
      <c r="H659" s="55"/>
      <c r="I659" s="55"/>
      <c r="J659" s="55"/>
      <c r="K659" s="55"/>
      <c r="L659" s="55"/>
      <c r="M659" s="55"/>
      <c r="N659" s="55"/>
      <c r="O659" s="55"/>
      <c r="P659" s="55"/>
      <c r="Q659" s="55"/>
      <c r="R659" s="2226"/>
      <c r="S659" s="255"/>
    </row>
    <row r="660" spans="1:19">
      <c r="A660" s="255"/>
      <c r="B660" s="55"/>
      <c r="C660" s="55"/>
      <c r="D660" s="55"/>
      <c r="E660" s="55"/>
      <c r="F660" s="55"/>
      <c r="G660" s="55"/>
      <c r="H660" s="55"/>
      <c r="I660" s="55"/>
      <c r="J660" s="55"/>
      <c r="K660" s="55"/>
      <c r="L660" s="55"/>
      <c r="M660" s="55"/>
      <c r="N660" s="55"/>
      <c r="O660" s="55"/>
      <c r="P660" s="55"/>
      <c r="Q660" s="55"/>
      <c r="R660" s="2226"/>
      <c r="S660" s="255"/>
    </row>
    <row r="661" spans="1:19">
      <c r="A661" s="255"/>
      <c r="B661" s="55"/>
      <c r="C661" s="55"/>
      <c r="D661" s="55"/>
      <c r="E661" s="55"/>
      <c r="F661" s="55"/>
      <c r="G661" s="55"/>
      <c r="H661" s="55"/>
      <c r="I661" s="55"/>
      <c r="J661" s="55"/>
      <c r="K661" s="55"/>
      <c r="L661" s="55"/>
      <c r="M661" s="55"/>
      <c r="N661" s="55"/>
      <c r="O661" s="55"/>
      <c r="P661" s="55"/>
      <c r="Q661" s="55"/>
      <c r="R661" s="2226"/>
      <c r="S661" s="255"/>
    </row>
    <row r="662" spans="1:19">
      <c r="A662" s="255"/>
      <c r="B662" s="55"/>
      <c r="C662" s="55"/>
      <c r="D662" s="55"/>
      <c r="E662" s="55"/>
      <c r="F662" s="55"/>
      <c r="G662" s="55"/>
      <c r="H662" s="55"/>
      <c r="I662" s="55"/>
      <c r="J662" s="55"/>
      <c r="K662" s="55"/>
      <c r="L662" s="55"/>
      <c r="M662" s="55"/>
      <c r="N662" s="55"/>
      <c r="O662" s="55"/>
      <c r="P662" s="55"/>
      <c r="Q662" s="55"/>
      <c r="R662" s="2226"/>
      <c r="S662" s="255"/>
    </row>
    <row r="663" spans="1:19">
      <c r="A663" s="255"/>
      <c r="B663" s="55"/>
      <c r="C663" s="55"/>
      <c r="D663" s="55"/>
      <c r="E663" s="55"/>
      <c r="F663" s="55"/>
      <c r="G663" s="55"/>
      <c r="H663" s="55"/>
      <c r="I663" s="55"/>
      <c r="J663" s="55"/>
      <c r="K663" s="55"/>
      <c r="L663" s="55"/>
      <c r="M663" s="55"/>
      <c r="N663" s="55"/>
      <c r="O663" s="55"/>
      <c r="P663" s="55"/>
      <c r="Q663" s="55"/>
      <c r="R663" s="2226"/>
      <c r="S663" s="255"/>
    </row>
    <row r="664" spans="1:19">
      <c r="A664" s="255"/>
      <c r="B664" s="55"/>
      <c r="C664" s="55"/>
      <c r="D664" s="55"/>
      <c r="E664" s="55"/>
      <c r="F664" s="55"/>
      <c r="G664" s="55"/>
      <c r="H664" s="55"/>
      <c r="I664" s="55"/>
      <c r="J664" s="55"/>
      <c r="K664" s="55"/>
      <c r="L664" s="55"/>
      <c r="M664" s="55"/>
      <c r="N664" s="55"/>
      <c r="O664" s="55"/>
      <c r="P664" s="55"/>
      <c r="Q664" s="55"/>
      <c r="R664" s="2226"/>
      <c r="S664" s="255"/>
    </row>
    <row r="665" spans="1:19">
      <c r="A665" s="255"/>
      <c r="B665" s="55"/>
      <c r="C665" s="55"/>
      <c r="D665" s="55"/>
      <c r="E665" s="55"/>
      <c r="F665" s="55"/>
      <c r="G665" s="55"/>
      <c r="H665" s="55"/>
      <c r="I665" s="55"/>
      <c r="J665" s="55"/>
      <c r="K665" s="55"/>
      <c r="L665" s="55"/>
      <c r="M665" s="55"/>
      <c r="N665" s="55"/>
      <c r="O665" s="55"/>
      <c r="P665" s="55"/>
      <c r="Q665" s="55"/>
      <c r="R665" s="2226"/>
      <c r="S665" s="255"/>
    </row>
    <row r="666" spans="1:19">
      <c r="A666" s="255"/>
      <c r="B666" s="55"/>
      <c r="C666" s="55"/>
      <c r="D666" s="55"/>
      <c r="E666" s="55"/>
      <c r="F666" s="55"/>
      <c r="G666" s="55"/>
      <c r="H666" s="55"/>
      <c r="I666" s="55"/>
      <c r="J666" s="55"/>
      <c r="K666" s="55"/>
      <c r="L666" s="55"/>
      <c r="M666" s="55"/>
      <c r="N666" s="55"/>
      <c r="O666" s="55"/>
      <c r="P666" s="55"/>
      <c r="Q666" s="55"/>
      <c r="R666" s="2226"/>
      <c r="S666" s="255"/>
    </row>
    <row r="667" spans="1:19">
      <c r="A667" s="255"/>
      <c r="B667" s="55"/>
      <c r="C667" s="55"/>
      <c r="D667" s="55"/>
      <c r="E667" s="55"/>
      <c r="F667" s="55"/>
      <c r="G667" s="55"/>
      <c r="H667" s="55"/>
      <c r="I667" s="55"/>
      <c r="J667" s="55"/>
      <c r="K667" s="55"/>
      <c r="L667" s="55"/>
      <c r="M667" s="55"/>
      <c r="N667" s="55"/>
      <c r="O667" s="55"/>
      <c r="P667" s="55"/>
      <c r="Q667" s="55"/>
      <c r="R667" s="2226"/>
      <c r="S667" s="255"/>
    </row>
    <row r="668" spans="1:19">
      <c r="A668" s="255"/>
      <c r="B668" s="55"/>
      <c r="C668" s="55"/>
      <c r="D668" s="55"/>
      <c r="E668" s="55"/>
      <c r="F668" s="55"/>
      <c r="G668" s="55"/>
      <c r="H668" s="55"/>
      <c r="I668" s="55"/>
      <c r="J668" s="55"/>
      <c r="K668" s="55"/>
      <c r="L668" s="55"/>
      <c r="M668" s="55"/>
      <c r="N668" s="55"/>
      <c r="O668" s="55"/>
      <c r="P668" s="55"/>
      <c r="Q668" s="55"/>
      <c r="R668" s="2226"/>
      <c r="S668" s="255"/>
    </row>
    <row r="669" spans="1:19">
      <c r="A669" s="255"/>
      <c r="B669" s="55"/>
      <c r="C669" s="55"/>
      <c r="D669" s="55"/>
      <c r="E669" s="55"/>
      <c r="F669" s="55"/>
      <c r="G669" s="55"/>
      <c r="H669" s="55"/>
      <c r="I669" s="55"/>
      <c r="J669" s="55"/>
      <c r="K669" s="55"/>
      <c r="L669" s="55"/>
      <c r="M669" s="55"/>
      <c r="N669" s="55"/>
      <c r="O669" s="55"/>
      <c r="P669" s="55"/>
      <c r="Q669" s="55"/>
      <c r="R669" s="2226"/>
      <c r="S669" s="255"/>
    </row>
    <row r="670" spans="1:19">
      <c r="A670" s="255"/>
      <c r="B670" s="55"/>
      <c r="C670" s="55"/>
      <c r="D670" s="55"/>
      <c r="E670" s="55"/>
      <c r="F670" s="55"/>
      <c r="G670" s="55"/>
      <c r="H670" s="55"/>
      <c r="I670" s="55"/>
      <c r="J670" s="55"/>
      <c r="K670" s="55"/>
      <c r="L670" s="55"/>
      <c r="M670" s="55"/>
      <c r="N670" s="55"/>
      <c r="O670" s="55"/>
      <c r="P670" s="55"/>
      <c r="Q670" s="55"/>
      <c r="R670" s="2226"/>
      <c r="S670" s="255"/>
    </row>
    <row r="671" spans="1:19">
      <c r="A671" s="255"/>
      <c r="B671" s="55"/>
      <c r="C671" s="55"/>
      <c r="D671" s="55"/>
      <c r="E671" s="55"/>
      <c r="F671" s="55"/>
      <c r="G671" s="55"/>
      <c r="H671" s="55"/>
      <c r="I671" s="55"/>
      <c r="J671" s="55"/>
      <c r="K671" s="55"/>
      <c r="L671" s="55"/>
      <c r="M671" s="55"/>
      <c r="N671" s="55"/>
      <c r="O671" s="55"/>
      <c r="P671" s="55"/>
      <c r="Q671" s="55"/>
      <c r="R671" s="2226"/>
      <c r="S671" s="255"/>
    </row>
    <row r="672" spans="1:19">
      <c r="A672" s="255"/>
      <c r="B672" s="55"/>
      <c r="C672" s="55"/>
      <c r="D672" s="55"/>
      <c r="E672" s="55"/>
      <c r="F672" s="55"/>
      <c r="G672" s="55"/>
      <c r="H672" s="55"/>
      <c r="I672" s="55"/>
      <c r="J672" s="55"/>
      <c r="K672" s="55"/>
      <c r="L672" s="55"/>
      <c r="M672" s="55"/>
      <c r="N672" s="55"/>
      <c r="O672" s="55"/>
      <c r="P672" s="55"/>
      <c r="Q672" s="55"/>
      <c r="R672" s="2226"/>
      <c r="S672" s="255"/>
    </row>
    <row r="673" spans="1:19">
      <c r="A673" s="255"/>
      <c r="B673" s="55"/>
      <c r="C673" s="55"/>
      <c r="D673" s="55"/>
      <c r="E673" s="55"/>
      <c r="F673" s="55"/>
      <c r="G673" s="55"/>
      <c r="H673" s="55"/>
      <c r="I673" s="55"/>
      <c r="J673" s="55"/>
      <c r="K673" s="55"/>
      <c r="L673" s="55"/>
      <c r="M673" s="55"/>
      <c r="N673" s="55"/>
      <c r="O673" s="55"/>
      <c r="P673" s="55"/>
      <c r="Q673" s="55"/>
      <c r="R673" s="2226"/>
      <c r="S673" s="255"/>
    </row>
    <row r="674" spans="1:19">
      <c r="A674" s="255"/>
      <c r="B674" s="55"/>
      <c r="C674" s="55"/>
      <c r="D674" s="55"/>
      <c r="E674" s="55"/>
      <c r="F674" s="55"/>
      <c r="G674" s="55"/>
      <c r="H674" s="55"/>
      <c r="I674" s="55"/>
      <c r="J674" s="55"/>
      <c r="K674" s="55"/>
      <c r="L674" s="55"/>
      <c r="M674" s="55"/>
      <c r="N674" s="55"/>
      <c r="O674" s="55"/>
      <c r="P674" s="55"/>
      <c r="Q674" s="55"/>
      <c r="R674" s="2226"/>
      <c r="S674" s="255"/>
    </row>
    <row r="675" spans="1:19">
      <c r="A675" s="255"/>
      <c r="B675" s="55"/>
      <c r="C675" s="55"/>
      <c r="D675" s="55"/>
      <c r="E675" s="55"/>
      <c r="F675" s="55"/>
      <c r="G675" s="55"/>
      <c r="H675" s="55"/>
      <c r="I675" s="55"/>
      <c r="J675" s="55"/>
      <c r="K675" s="55"/>
      <c r="L675" s="55"/>
      <c r="M675" s="55"/>
      <c r="N675" s="55"/>
      <c r="O675" s="55"/>
      <c r="P675" s="55"/>
      <c r="Q675" s="55"/>
      <c r="R675" s="2226"/>
      <c r="S675" s="255"/>
    </row>
    <row r="676" spans="1:19">
      <c r="A676" s="255"/>
      <c r="B676" s="55"/>
      <c r="C676" s="55"/>
      <c r="D676" s="55"/>
      <c r="E676" s="55"/>
      <c r="F676" s="55"/>
      <c r="G676" s="55"/>
      <c r="H676" s="55"/>
      <c r="I676" s="55"/>
      <c r="J676" s="55"/>
      <c r="K676" s="55"/>
      <c r="L676" s="55"/>
      <c r="M676" s="55"/>
      <c r="N676" s="55"/>
      <c r="O676" s="55"/>
      <c r="P676" s="55"/>
      <c r="Q676" s="55"/>
      <c r="R676" s="2226"/>
      <c r="S676" s="255"/>
    </row>
    <row r="677" spans="1:19">
      <c r="A677" s="255"/>
      <c r="B677" s="55"/>
      <c r="C677" s="55"/>
      <c r="D677" s="55"/>
      <c r="E677" s="55"/>
      <c r="F677" s="55"/>
      <c r="G677" s="55"/>
      <c r="H677" s="55"/>
      <c r="I677" s="55"/>
      <c r="J677" s="55"/>
      <c r="K677" s="55"/>
      <c r="L677" s="55"/>
      <c r="M677" s="55"/>
      <c r="N677" s="55"/>
      <c r="O677" s="55"/>
      <c r="P677" s="55"/>
      <c r="Q677" s="55"/>
      <c r="R677" s="2226"/>
      <c r="S677" s="255"/>
    </row>
    <row r="678" spans="1:19">
      <c r="A678" s="255"/>
      <c r="B678" s="55"/>
      <c r="C678" s="55"/>
      <c r="D678" s="55"/>
      <c r="E678" s="55"/>
      <c r="F678" s="55"/>
      <c r="G678" s="55"/>
      <c r="H678" s="55"/>
      <c r="I678" s="55"/>
      <c r="J678" s="55"/>
      <c r="K678" s="55"/>
      <c r="L678" s="55"/>
      <c r="M678" s="55"/>
      <c r="N678" s="55"/>
      <c r="O678" s="55"/>
      <c r="P678" s="55"/>
      <c r="Q678" s="55"/>
      <c r="R678" s="2226"/>
      <c r="S678" s="255"/>
    </row>
    <row r="679" spans="1:19">
      <c r="A679" s="255"/>
      <c r="B679" s="55"/>
      <c r="C679" s="55"/>
      <c r="D679" s="55"/>
      <c r="E679" s="55"/>
      <c r="F679" s="55"/>
      <c r="G679" s="55"/>
      <c r="H679" s="55"/>
      <c r="I679" s="55"/>
      <c r="J679" s="55"/>
      <c r="K679" s="55"/>
      <c r="L679" s="55"/>
      <c r="M679" s="55"/>
      <c r="N679" s="55"/>
      <c r="O679" s="55"/>
      <c r="P679" s="55"/>
      <c r="Q679" s="55"/>
      <c r="R679" s="2226"/>
      <c r="S679" s="255"/>
    </row>
    <row r="680" spans="1:19">
      <c r="A680" s="255"/>
      <c r="B680" s="55"/>
      <c r="C680" s="55"/>
      <c r="D680" s="55"/>
      <c r="E680" s="55"/>
      <c r="F680" s="55"/>
      <c r="G680" s="55"/>
      <c r="H680" s="55"/>
      <c r="I680" s="55"/>
      <c r="J680" s="55"/>
      <c r="K680" s="55"/>
      <c r="L680" s="55"/>
      <c r="M680" s="55"/>
      <c r="N680" s="55"/>
      <c r="O680" s="55"/>
      <c r="P680" s="55"/>
      <c r="Q680" s="55"/>
      <c r="R680" s="2226"/>
      <c r="S680" s="255"/>
    </row>
    <row r="681" spans="1:19">
      <c r="A681" s="255"/>
      <c r="B681" s="55"/>
      <c r="C681" s="55"/>
      <c r="D681" s="55"/>
      <c r="E681" s="55"/>
      <c r="F681" s="55"/>
      <c r="G681" s="55"/>
      <c r="H681" s="55"/>
      <c r="I681" s="55"/>
      <c r="J681" s="55"/>
      <c r="K681" s="55"/>
      <c r="L681" s="55"/>
      <c r="M681" s="55"/>
      <c r="N681" s="55"/>
      <c r="O681" s="55"/>
      <c r="P681" s="55"/>
      <c r="Q681" s="55"/>
      <c r="R681" s="2226"/>
      <c r="S681" s="255"/>
    </row>
    <row r="682" spans="1:19">
      <c r="A682" s="255"/>
      <c r="B682" s="55"/>
      <c r="C682" s="55"/>
      <c r="D682" s="55"/>
      <c r="E682" s="55"/>
      <c r="F682" s="55"/>
      <c r="G682" s="55"/>
      <c r="H682" s="55"/>
      <c r="I682" s="55"/>
      <c r="J682" s="55"/>
      <c r="K682" s="55"/>
      <c r="L682" s="55"/>
      <c r="M682" s="55"/>
      <c r="N682" s="55"/>
      <c r="O682" s="55"/>
      <c r="P682" s="55"/>
      <c r="Q682" s="55"/>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43230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1.5</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82" workbookViewId="0">
      <selection activeCell="I31" sqref="I31"/>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Q15" sqref="Q15"/>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
  <sheetViews>
    <sheetView workbookViewId="0">
      <selection activeCell="M29" sqref="M29"/>
    </sheetView>
  </sheetViews>
  <sheetFormatPr defaultRowHeight="13.5"/>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workbookViewId="0">
      <selection activeCell="N25" sqref="N25"/>
    </sheetView>
  </sheetViews>
  <sheetFormatPr defaultRowHeight="13.5"/>
  <sheetData>
    <row r="1" spans="1:1">
      <c r="A1" t="s">
        <v>3111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5" t="s">
        <v>2041</v>
      </c>
      <c r="B1" s="3295"/>
      <c r="C1" s="3295"/>
      <c r="D1" s="3295"/>
      <c r="E1" s="3295"/>
      <c r="F1" s="3295"/>
      <c r="G1" s="3295"/>
      <c r="H1" s="3295"/>
      <c r="I1" s="3295"/>
      <c r="J1" s="3295"/>
      <c r="K1" s="3295"/>
      <c r="L1" s="3295"/>
      <c r="M1" s="3295"/>
      <c r="N1" s="3295"/>
      <c r="O1" s="3295"/>
      <c r="P1" s="3295"/>
      <c r="Q1" s="3295"/>
      <c r="R1" s="3295"/>
    </row>
    <row r="2" spans="1:18">
      <c r="A2" s="1807" t="s">
        <v>2043</v>
      </c>
      <c r="B2" s="1807"/>
      <c r="C2" s="1807"/>
      <c r="D2" s="1807"/>
      <c r="E2" s="1807"/>
      <c r="F2" s="1807"/>
      <c r="G2" s="1807"/>
      <c r="H2" s="1807"/>
      <c r="I2" s="1808"/>
      <c r="J2" s="1808"/>
      <c r="K2" s="1809" t="str">
        <f>"估价期日："&amp;TEXT(项目基本情况!D3,"yyyy年m月d日;;")</f>
        <v>估价期日：2018年5月10日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96" t="s">
        <v>2032</v>
      </c>
      <c r="B3" s="3296" t="s">
        <v>2735</v>
      </c>
      <c r="C3" s="3297" t="s">
        <v>2033</v>
      </c>
      <c r="D3" s="3296" t="s">
        <v>2739</v>
      </c>
      <c r="E3" s="3299" t="s">
        <v>2034</v>
      </c>
      <c r="F3" s="3299"/>
      <c r="G3" s="3299"/>
      <c r="H3" s="3299" t="s">
        <v>2035</v>
      </c>
      <c r="I3" s="3299"/>
      <c r="J3" s="3299"/>
      <c r="K3" s="3297" t="s">
        <v>2036</v>
      </c>
      <c r="L3" s="3297" t="s">
        <v>2037</v>
      </c>
      <c r="M3" s="3296" t="s">
        <v>2736</v>
      </c>
      <c r="N3" s="3298" t="str">
        <f>"（分摊）"&amp;项目基本情况!B16&amp;"国有建设用地使用权面积/㎡"</f>
        <v>（分摊）出让国有建设用地使用权面积/㎡</v>
      </c>
      <c r="O3" s="3296" t="s">
        <v>2066</v>
      </c>
      <c r="P3" s="3297" t="s">
        <v>2046</v>
      </c>
      <c r="Q3" s="3297" t="s">
        <v>2067</v>
      </c>
      <c r="R3" s="3297" t="s">
        <v>2038</v>
      </c>
    </row>
    <row r="4" spans="1:18" ht="36.75" customHeight="1">
      <c r="A4" s="3296"/>
      <c r="B4" s="3296"/>
      <c r="C4" s="3297"/>
      <c r="D4" s="3296"/>
      <c r="E4" s="2671" t="s">
        <v>2045</v>
      </c>
      <c r="F4" s="2671" t="s">
        <v>2748</v>
      </c>
      <c r="G4" s="2671" t="s">
        <v>2039</v>
      </c>
      <c r="H4" s="2671" t="s">
        <v>2040</v>
      </c>
      <c r="I4" s="2671" t="s">
        <v>2749</v>
      </c>
      <c r="J4" s="2671" t="s">
        <v>2039</v>
      </c>
      <c r="K4" s="3297"/>
      <c r="L4" s="3297"/>
      <c r="M4" s="3296"/>
      <c r="N4" s="3298"/>
      <c r="O4" s="3296"/>
      <c r="P4" s="3297"/>
      <c r="Q4" s="3297"/>
      <c r="R4" s="3297"/>
    </row>
    <row r="5" spans="1:18" ht="135" customHeight="1">
      <c r="A5" s="1943" t="s">
        <v>2659</v>
      </c>
      <c r="B5" s="2889" t="s">
        <v>2657</v>
      </c>
      <c r="C5" s="2670">
        <v>22</v>
      </c>
      <c r="D5" s="2669" t="s">
        <v>2658</v>
      </c>
      <c r="E5" s="1810">
        <f>项目基本情况!B12</f>
        <v>0</v>
      </c>
      <c r="F5" s="2669">
        <v>258</v>
      </c>
      <c r="G5" s="1810">
        <f>项目基本情况!B13</f>
        <v>0</v>
      </c>
      <c r="H5" s="2669">
        <v>1.5</v>
      </c>
      <c r="I5" s="2669">
        <v>1.5</v>
      </c>
      <c r="J5" s="2669">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2079.0700000000002</v>
      </c>
      <c r="O5" s="1810">
        <f>项目基本情况!C21</f>
        <v>10000</v>
      </c>
      <c r="P5" s="1810">
        <f ca="1">结果表!E42</f>
        <v>159413</v>
      </c>
      <c r="Q5" s="1810">
        <f ca="1">结果表!D42</f>
        <v>33143</v>
      </c>
      <c r="R5" s="1811">
        <f ca="1">结果表!C42</f>
        <v>33143</v>
      </c>
    </row>
    <row r="6" spans="1:18">
      <c r="A6" s="3300" t="str">
        <f>IF(项目基本情况!B9="市场价格","——","抵押价格")</f>
        <v>——</v>
      </c>
      <c r="B6" s="3301"/>
      <c r="C6" s="3301"/>
      <c r="D6" s="3301"/>
      <c r="E6" s="3301"/>
      <c r="F6" s="3301"/>
      <c r="G6" s="3301"/>
      <c r="H6" s="3301"/>
      <c r="I6" s="3301"/>
      <c r="J6" s="3301"/>
      <c r="K6" s="3301"/>
      <c r="L6" s="3301"/>
      <c r="M6" s="3301"/>
      <c r="N6" s="3301"/>
      <c r="O6" s="3301"/>
      <c r="P6" s="3301"/>
      <c r="Q6" s="3302"/>
      <c r="R6" s="1812" t="str">
        <f>结果表!O39</f>
        <v>——</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812" t="str">
        <f>结果表!O40</f>
        <v>——</v>
      </c>
    </row>
    <row r="8" spans="1:18">
      <c r="A8" s="3300" t="str">
        <f>IF(项目基本情况!B9="市场价格","——",项目基本情况!E9)</f>
        <v>——</v>
      </c>
      <c r="B8" s="3301"/>
      <c r="C8" s="3301"/>
      <c r="D8" s="3301"/>
      <c r="E8" s="3301"/>
      <c r="F8" s="3301"/>
      <c r="G8" s="3301"/>
      <c r="H8" s="3301"/>
      <c r="I8" s="3301"/>
      <c r="J8" s="3301"/>
      <c r="K8" s="3301"/>
      <c r="L8" s="3301"/>
      <c r="M8" s="3301"/>
      <c r="N8" s="3301"/>
      <c r="O8" s="3301"/>
      <c r="P8" s="3301"/>
      <c r="Q8" s="3302"/>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303" t="s">
        <v>2068</v>
      </c>
      <c r="B1" s="3303"/>
      <c r="C1" s="3303"/>
      <c r="D1" s="3303"/>
    </row>
    <row r="2" spans="1:4" ht="47.25" customHeight="1">
      <c r="A2" s="3307" t="str">
        <f>"1.权利限制："&amp;项目基本情况!L24&amp;"未设定租赁等其他他项权利。"</f>
        <v>1.权利限制：根据估价对象《不动产权证书》原件、《国有土地使用权》复印件，截至估价期日，估价对象抵押权未见登记。未设定租赁等其他他项权利。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6" t="s">
        <v>2069</v>
      </c>
      <c r="B5" s="3306"/>
      <c r="C5" s="3306"/>
      <c r="D5" s="3306"/>
    </row>
    <row r="6" spans="1:4">
      <c r="A6" s="3303" t="s">
        <v>2047</v>
      </c>
      <c r="B6" s="3303"/>
      <c r="C6" s="3303"/>
      <c r="D6" s="3303"/>
    </row>
    <row r="7" spans="1:4" ht="33" customHeight="1">
      <c r="A7" s="3303" t="s">
        <v>2579</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03"/>
      <c r="C8" s="3303"/>
      <c r="D8" s="3303"/>
    </row>
    <row r="9" spans="1:4" ht="33.75" customHeight="1">
      <c r="A9" s="3303" t="str">
        <f>IF(项目基本情况!B8="抵押","3.抵押双方在办理抵押登记手续时，应使用本公司出具的正式《土地估价报告》，特提请报告使用者注意。","——")</f>
        <v>——</v>
      </c>
      <c r="B9" s="3303"/>
      <c r="C9" s="3303"/>
      <c r="D9" s="3303"/>
    </row>
    <row r="10" spans="1:4">
      <c r="A10" s="3303" t="str">
        <f>IF(项目基本情况!B8="抵押","4.估价师所知悉的法定优先受偿款情况为：","——")</f>
        <v>——</v>
      </c>
      <c r="B10" s="3303"/>
      <c r="C10" s="3303"/>
      <c r="D10" s="3303"/>
    </row>
    <row r="11" spans="1:4" ht="37.5" customHeight="1">
      <c r="A11" s="3305" t="str">
        <f>IF(项目基本情况!B8="抵押","（1）"&amp;CONCATENATE(项目基本情况!L24,项目基本情况!L25,项目基本情况!L26),"——")</f>
        <v>——</v>
      </c>
      <c r="B11" s="3305"/>
      <c r="C11" s="3305"/>
      <c r="D11" s="3305"/>
    </row>
    <row r="12" spans="1:4" ht="168" customHeight="1">
      <c r="A12" s="3306" t="s">
        <v>2071</v>
      </c>
      <c r="B12" s="3306"/>
      <c r="C12" s="3306"/>
      <c r="D12" s="3306"/>
    </row>
    <row r="13" spans="1:4">
      <c r="A13" s="3304" t="s">
        <v>2750</v>
      </c>
      <c r="B13" s="3304"/>
      <c r="C13" s="3304"/>
      <c r="D13" s="3304"/>
    </row>
    <row r="14" spans="1:4">
      <c r="A14" s="3305" t="str">
        <f>IF(项目基本情况!B8="抵押","综上，"&amp;结果表!K47,"——")</f>
        <v>——</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2706</v>
      </c>
      <c r="B17" s="3303"/>
      <c r="C17" s="3303"/>
      <c r="D17" s="3303"/>
    </row>
    <row r="18" spans="1:4">
      <c r="A18" s="3303" t="s">
        <v>2698</v>
      </c>
      <c r="B18" s="3303"/>
      <c r="C18" s="3303"/>
      <c r="D18" s="3303"/>
    </row>
    <row r="19" spans="1:4">
      <c r="A19" s="2890" t="s">
        <v>2699</v>
      </c>
      <c r="B19" s="2890" t="s">
        <v>2700</v>
      </c>
      <c r="C19" s="2890" t="s">
        <v>2701</v>
      </c>
      <c r="D19" s="2890" t="s">
        <v>2702</v>
      </c>
    </row>
    <row r="20" spans="1:4">
      <c r="A20" s="2890" t="str">
        <f>项目基本情况!B4</f>
        <v>陈颖</v>
      </c>
      <c r="B20" s="2890">
        <f ca="1">项目基本情况!C4</f>
        <v>2004110096</v>
      </c>
      <c r="C20" s="2892"/>
      <c r="D20" s="1800" t="s">
        <v>2707</v>
      </c>
    </row>
    <row r="21" spans="1:4">
      <c r="A21" s="2890" t="str">
        <f>项目基本情况!D4</f>
        <v>杨红英</v>
      </c>
      <c r="B21" s="2890">
        <f>项目基本情况!E4</f>
        <v>2004110128</v>
      </c>
      <c r="C21" s="2892"/>
      <c r="D21" s="1800" t="s">
        <v>2708</v>
      </c>
    </row>
    <row r="23" spans="1:4">
      <c r="A23" s="3303" t="s">
        <v>2703</v>
      </c>
      <c r="B23" s="3303"/>
      <c r="C23" s="3303"/>
      <c r="D23" s="3303"/>
    </row>
    <row r="24" spans="1:4">
      <c r="A24" s="2890" t="s">
        <v>2699</v>
      </c>
      <c r="B24" s="2890" t="s">
        <v>2704</v>
      </c>
      <c r="C24" s="2890" t="s">
        <v>2701</v>
      </c>
      <c r="D24" s="2890" t="s">
        <v>2702</v>
      </c>
    </row>
    <row r="25" spans="1:4">
      <c r="A25" s="2893" t="s">
        <v>2705</v>
      </c>
      <c r="B25" s="2890" t="s">
        <v>952</v>
      </c>
      <c r="C25" s="2892"/>
      <c r="D25" s="1800" t="s">
        <v>2708</v>
      </c>
    </row>
    <row r="29" spans="1:4">
      <c r="D29" s="2891" t="s">
        <v>2042</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315" t="s">
        <v>53</v>
      </c>
      <c r="B15" s="3316" t="s">
        <v>846</v>
      </c>
      <c r="C15" s="3312"/>
    </row>
    <row r="16" spans="1:7" ht="14.25">
      <c r="A16" s="3315"/>
      <c r="B16" s="3313" t="s">
        <v>54</v>
      </c>
      <c r="C16" s="1170" t="s">
        <v>53</v>
      </c>
    </row>
    <row r="17" spans="1:3" ht="14.25">
      <c r="A17" s="3315"/>
      <c r="B17" s="3313"/>
      <c r="C17" s="1170" t="s">
        <v>55</v>
      </c>
    </row>
    <row r="18" spans="1:3" ht="14.25">
      <c r="A18" s="3315"/>
      <c r="B18" s="3313"/>
      <c r="C18" s="1170" t="s">
        <v>56</v>
      </c>
    </row>
    <row r="19" spans="1:3" ht="14.25">
      <c r="A19" s="3315"/>
      <c r="B19" s="3311" t="s">
        <v>57</v>
      </c>
      <c r="C19" s="3312"/>
    </row>
    <row r="20" spans="1:3" ht="14.25">
      <c r="A20" s="1171" t="s">
        <v>58</v>
      </c>
      <c r="B20" s="1172"/>
      <c r="C20" s="1173"/>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74" t="s">
        <v>837</v>
      </c>
    </row>
    <row r="25" spans="1:3" ht="14.25">
      <c r="A25" s="3314"/>
      <c r="B25" s="3318"/>
      <c r="C25" s="1174" t="s">
        <v>838</v>
      </c>
    </row>
    <row r="26" spans="1:3" ht="14.25">
      <c r="A26" s="3314"/>
      <c r="B26" s="3318"/>
      <c r="C26" s="1174" t="s">
        <v>839</v>
      </c>
    </row>
    <row r="27" spans="1:3" ht="14.25">
      <c r="A27" s="3314"/>
      <c r="B27" s="3318"/>
      <c r="C27" s="1174" t="s">
        <v>840</v>
      </c>
    </row>
    <row r="28" spans="1:3" ht="14.25">
      <c r="A28" s="3314"/>
      <c r="B28" s="3318"/>
      <c r="C28" s="1174" t="s">
        <v>841</v>
      </c>
    </row>
    <row r="29" spans="1:3" ht="14.25">
      <c r="A29" s="3314"/>
      <c r="B29" s="3318"/>
      <c r="C29" s="1174" t="s">
        <v>842</v>
      </c>
    </row>
    <row r="30" spans="1:3" ht="14.25">
      <c r="A30" s="3314"/>
      <c r="B30" s="3318"/>
      <c r="C30" s="1174" t="s">
        <v>843</v>
      </c>
    </row>
    <row r="31" spans="1:3" ht="14.25">
      <c r="A31" s="3314"/>
      <c r="B31" s="3318"/>
      <c r="C31" s="1174" t="s">
        <v>844</v>
      </c>
    </row>
    <row r="32" spans="1:3" ht="14.25">
      <c r="A32" s="3314"/>
      <c r="B32" s="3318"/>
      <c r="C32" s="1174" t="s">
        <v>1647</v>
      </c>
    </row>
    <row r="33" spans="1:3" ht="14.25">
      <c r="A33" s="3314"/>
      <c r="B33" s="3308" t="s">
        <v>1653</v>
      </c>
      <c r="C33" s="1174" t="s">
        <v>1648</v>
      </c>
    </row>
    <row r="34" spans="1:3" ht="14.25">
      <c r="A34" s="3314"/>
      <c r="B34" s="3309"/>
      <c r="C34" s="1179" t="s">
        <v>1649</v>
      </c>
    </row>
    <row r="35" spans="1:3" ht="14.25">
      <c r="A35" s="3314"/>
      <c r="B35" s="3309"/>
      <c r="C35" s="1180" t="s">
        <v>1650</v>
      </c>
    </row>
    <row r="36" spans="1:3" ht="14.25">
      <c r="A36" s="3314"/>
      <c r="B36" s="3309"/>
      <c r="C36" s="1180" t="s">
        <v>1651</v>
      </c>
    </row>
    <row r="37" spans="1:3" ht="14.25">
      <c r="A37" s="3314"/>
      <c r="B37" s="3310"/>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6" sqref="E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43312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8">
        <v>43849</v>
      </c>
      <c r="D4" s="2343" t="s">
        <v>1915</v>
      </c>
      <c r="E4" s="2343">
        <f ca="1">IF(F4&lt;B2,"已过期",96010014)</f>
        <v>96010014</v>
      </c>
      <c r="F4" s="3029">
        <v>47118</v>
      </c>
    </row>
    <row r="5" spans="1:6" ht="20.25" customHeight="1">
      <c r="A5" s="2343" t="s">
        <v>1916</v>
      </c>
      <c r="B5" s="2343">
        <f ca="1">IF(C5&lt;B2,"已过期",1119970074)</f>
        <v>1119970074</v>
      </c>
      <c r="C5" s="3028">
        <v>43849</v>
      </c>
      <c r="D5" s="2343" t="s">
        <v>1916</v>
      </c>
      <c r="E5" s="2343">
        <f ca="1">IF(F5&lt;B2,"已过期",2002110027)</f>
        <v>2002110027</v>
      </c>
      <c r="F5" s="3029">
        <v>46752</v>
      </c>
    </row>
    <row r="6" spans="1:6" ht="20.25" customHeight="1">
      <c r="A6" s="2343" t="s">
        <v>1917</v>
      </c>
      <c r="B6" s="2343">
        <f ca="1">IF(C6&lt;B2,"已过期",1119970111)</f>
        <v>1119970111</v>
      </c>
      <c r="C6" s="3028">
        <v>43849</v>
      </c>
      <c r="D6" s="2343" t="s">
        <v>1917</v>
      </c>
      <c r="E6" s="2343">
        <f ca="1">IF(F6&lt;B2,"已过期",94010078)</f>
        <v>94010078</v>
      </c>
      <c r="F6" s="3029">
        <v>46387</v>
      </c>
    </row>
    <row r="7" spans="1:6" ht="20.25" customHeight="1">
      <c r="A7" s="2343" t="s">
        <v>1918</v>
      </c>
      <c r="B7" s="2343">
        <f ca="1">IF(C7&lt;B2,"已过期",1120050019)</f>
        <v>1120050019</v>
      </c>
      <c r="C7" s="3028">
        <v>43359</v>
      </c>
      <c r="D7" s="2343" t="s">
        <v>1918</v>
      </c>
      <c r="E7" s="2343">
        <f ca="1">IF(F7&lt;B2,"已过期",2002110030)</f>
        <v>2002110030</v>
      </c>
      <c r="F7" s="3029">
        <v>46387</v>
      </c>
    </row>
    <row r="8" spans="1:6" ht="20.25" customHeight="1">
      <c r="A8" s="2343" t="s">
        <v>1919</v>
      </c>
      <c r="B8" s="2343">
        <f ca="1">IF(C8&lt;B2,"已过期",1120000080)</f>
        <v>1120000080</v>
      </c>
      <c r="C8" s="3028">
        <v>43849</v>
      </c>
      <c r="D8" s="2343" t="s">
        <v>1919</v>
      </c>
      <c r="E8" s="2343">
        <f ca="1">IF(F8&lt;B2,"已过期",2000110082)</f>
        <v>2000110082</v>
      </c>
      <c r="F8" s="3029">
        <v>46387</v>
      </c>
    </row>
    <row r="9" spans="1:6" ht="20.25" customHeight="1">
      <c r="A9" s="2343" t="s">
        <v>1920</v>
      </c>
      <c r="B9" s="2343">
        <f ca="1">IF(C9&lt;B2,"已过期",1419970001)</f>
        <v>1419970001</v>
      </c>
      <c r="C9" s="3028">
        <v>43867</v>
      </c>
      <c r="D9" s="2343" t="s">
        <v>1920</v>
      </c>
      <c r="E9" s="2343">
        <f ca="1">IF(F9&lt;B2,"已过期",2002110125)</f>
        <v>2002110125</v>
      </c>
      <c r="F9" s="3029">
        <v>47118</v>
      </c>
    </row>
    <row r="10" spans="1:6" ht="20.25" customHeight="1">
      <c r="A10" s="2343" t="s">
        <v>1921</v>
      </c>
      <c r="B10" s="2343">
        <f ca="1">IF(C10&lt;B2,"已过期",1120060040)</f>
        <v>1120060040</v>
      </c>
      <c r="C10" s="3028">
        <v>43483</v>
      </c>
      <c r="D10" s="2343" t="s">
        <v>1921</v>
      </c>
      <c r="E10" s="2343">
        <f ca="1">IF(F10&lt;B2,"已过期",2004110096)</f>
        <v>2004110096</v>
      </c>
      <c r="F10" s="3029">
        <v>47118</v>
      </c>
    </row>
    <row r="11" spans="1:6" ht="20.25" customHeight="1">
      <c r="A11" s="2343" t="s">
        <v>1922</v>
      </c>
      <c r="B11" s="2343">
        <f ca="1">IF(C11&lt;B2,"已过期",1120100036)</f>
        <v>1120100036</v>
      </c>
      <c r="C11" s="3028">
        <v>43622</v>
      </c>
      <c r="D11" s="2343" t="s">
        <v>1922</v>
      </c>
      <c r="E11" s="2343">
        <f ca="1">IF(F11&lt;B2,"已过期",2010110070)</f>
        <v>2010110070</v>
      </c>
      <c r="F11" s="3029">
        <v>47907</v>
      </c>
    </row>
    <row r="12" spans="1:6" ht="20.25" customHeight="1">
      <c r="A12" s="2343" t="s">
        <v>2980</v>
      </c>
      <c r="B12" s="2343">
        <v>1120110054</v>
      </c>
      <c r="C12" s="3028">
        <v>43937</v>
      </c>
      <c r="D12" s="2343" t="s">
        <v>2980</v>
      </c>
      <c r="E12" s="2343">
        <v>2008110060</v>
      </c>
      <c r="F12" s="3029">
        <v>47177</v>
      </c>
    </row>
    <row r="13" spans="1:6" ht="20.25" customHeight="1">
      <c r="A13" s="2343" t="s">
        <v>1923</v>
      </c>
      <c r="B13" s="2343">
        <f ca="1">IF(C13&lt;B2,"已过期",1120070131)</f>
        <v>1120070131</v>
      </c>
      <c r="C13" s="3028">
        <v>43814</v>
      </c>
      <c r="D13" s="2343" t="s">
        <v>1923</v>
      </c>
      <c r="E13" s="2343">
        <v>2014110011</v>
      </c>
      <c r="F13" s="3029">
        <v>49302</v>
      </c>
    </row>
    <row r="14" spans="1:6" ht="20.25" customHeight="1">
      <c r="A14" s="2343" t="s">
        <v>1924</v>
      </c>
      <c r="B14" s="2343">
        <f ca="1">IF(C14&lt;B2,"已过期",1120130020)</f>
        <v>1120130020</v>
      </c>
      <c r="C14" s="3028">
        <v>43622</v>
      </c>
      <c r="D14" s="2343"/>
      <c r="E14" s="2343"/>
      <c r="F14" s="2343"/>
    </row>
    <row r="15" spans="1:6" ht="20.25" customHeight="1">
      <c r="A15" s="2343" t="s">
        <v>2578</v>
      </c>
      <c r="B15" s="2343">
        <v>1120070085</v>
      </c>
      <c r="C15" s="3028">
        <v>43814</v>
      </c>
      <c r="D15" s="2343" t="s">
        <v>2578</v>
      </c>
      <c r="E15" s="2343">
        <v>2004110128</v>
      </c>
      <c r="F15" s="3029">
        <v>47118</v>
      </c>
    </row>
    <row r="16" spans="1:6" ht="20.25" customHeight="1">
      <c r="A16" s="2343" t="s">
        <v>1925</v>
      </c>
      <c r="B16" s="2343">
        <f ca="1">IF(C16&lt;B2,"已过期",1120140022)</f>
        <v>1120140022</v>
      </c>
      <c r="C16" s="3028">
        <v>44029</v>
      </c>
      <c r="D16" s="2343" t="s">
        <v>1925</v>
      </c>
      <c r="E16" s="2343">
        <f ca="1">IF(F16&lt;B2,"已过期",2008110059)</f>
        <v>2008110059</v>
      </c>
      <c r="F16" s="3029">
        <v>47177</v>
      </c>
    </row>
    <row r="17" spans="1:7" ht="20.25" customHeight="1">
      <c r="A17" s="2343"/>
      <c r="B17" s="2343"/>
      <c r="C17" s="3028"/>
      <c r="D17" s="2343"/>
      <c r="E17" s="2343"/>
      <c r="F17" s="3029"/>
    </row>
    <row r="18" spans="1:7" ht="20.25" customHeight="1">
      <c r="A18" s="2343"/>
      <c r="B18" s="2343"/>
      <c r="C18" s="3028"/>
      <c r="D18" s="2343"/>
      <c r="E18" s="2343"/>
      <c r="F18" s="3029"/>
    </row>
    <row r="19" spans="1:7" ht="20.25" customHeight="1">
      <c r="A19" s="2343"/>
      <c r="B19" s="2343"/>
      <c r="C19" s="3028"/>
      <c r="D19" s="2343"/>
      <c r="E19" s="2343"/>
      <c r="F19" s="2343"/>
    </row>
    <row r="20" spans="1:7" ht="20.25" customHeight="1">
      <c r="A20" s="2343"/>
      <c r="B20" s="2343"/>
      <c r="C20" s="3028"/>
      <c r="D20" s="2343"/>
      <c r="E20" s="2343"/>
      <c r="F20" s="2343"/>
    </row>
    <row r="21" spans="1:7" ht="20.25" customHeight="1">
      <c r="A21" s="2343"/>
      <c r="B21" s="2343"/>
      <c r="C21" s="3028"/>
      <c r="D21" s="2343" t="s">
        <v>1926</v>
      </c>
      <c r="E21" s="2343">
        <f ca="1">IF(F21&lt;B2,"已过期",2011110090)</f>
        <v>2011110090</v>
      </c>
      <c r="F21" s="3029">
        <v>48302</v>
      </c>
    </row>
    <row r="22" spans="1:7" ht="20.25" customHeight="1">
      <c r="A22" s="2343" t="s">
        <v>1927</v>
      </c>
      <c r="B22" s="2343" t="str">
        <f ca="1">IF(C22&lt;B2,"已过期",1120020033)</f>
        <v>已过期</v>
      </c>
      <c r="C22" s="3028">
        <v>43304</v>
      </c>
      <c r="D22" s="2343" t="s">
        <v>1927</v>
      </c>
      <c r="E22" s="2343">
        <f ca="1">IF(F22&lt;B2,"已过期",2000110137)</f>
        <v>2000110137</v>
      </c>
      <c r="F22" s="3029">
        <v>46387</v>
      </c>
    </row>
    <row r="23" spans="1:7" ht="20.25" customHeight="1">
      <c r="A23" s="2343" t="s">
        <v>1928</v>
      </c>
      <c r="B23" s="2343">
        <f ca="1">IF(C23&lt;B2,"已过期",1120130048)</f>
        <v>1120130048</v>
      </c>
      <c r="C23" s="3028">
        <v>43686</v>
      </c>
      <c r="D23" s="2343"/>
      <c r="E23" s="2343"/>
      <c r="F23" s="2343"/>
    </row>
    <row r="24" spans="1:7" s="2347" customFormat="1" ht="20.25" customHeight="1">
      <c r="A24" s="2345" t="s">
        <v>2056</v>
      </c>
      <c r="B24" s="2345" t="s">
        <v>2056</v>
      </c>
      <c r="C24" s="3028"/>
      <c r="D24" s="3030" t="s">
        <v>2056</v>
      </c>
      <c r="E24" s="2345" t="s">
        <v>2056</v>
      </c>
      <c r="F24" s="2346"/>
    </row>
    <row r="25" spans="1:7" ht="20.25" customHeight="1">
      <c r="A25" s="3319" t="s">
        <v>1929</v>
      </c>
      <c r="B25" s="3319"/>
      <c r="C25" s="3319"/>
      <c r="D25" s="3319"/>
      <c r="E25" s="3319"/>
      <c r="F25" s="3319"/>
      <c r="G25" s="3319"/>
    </row>
    <row r="26" spans="1:7" ht="20.25" customHeight="1">
      <c r="A26" s="3320" t="s">
        <v>1930</v>
      </c>
      <c r="B26" s="3320"/>
      <c r="C26" s="3320"/>
      <c r="D26" s="3320" t="s">
        <v>1931</v>
      </c>
      <c r="E26" s="3320"/>
      <c r="F26" s="3320"/>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9" t="s">
        <v>2957</v>
      </c>
      <c r="C18" s="1553"/>
    </row>
    <row r="19" spans="1:3">
      <c r="A19" s="8" t="s">
        <v>120</v>
      </c>
      <c r="B19" s="3139" t="s">
        <v>2965</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321"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c r="D53" s="1767"/>
      <c r="E53" s="1767"/>
    </row>
    <row r="54" spans="1:5">
      <c r="A54" s="3321"/>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21"/>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21"/>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21"/>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Sheet1</vt:lpstr>
      <vt:lpstr>Sheet2</vt:lpstr>
      <vt:lpstr>'剩余法-待开发'!Print_Area</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2018-07-30T13:35:34Z</cp:lastPrinted>
  <dcterms:created xsi:type="dcterms:W3CDTF">2015-07-13T07:17:23Z</dcterms:created>
  <dcterms:modified xsi:type="dcterms:W3CDTF">2018-07-31T05:37:35Z</dcterms:modified>
</cp:coreProperties>
</file>