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60" yWindow="15" windowWidth="12120" windowHeight="7620" tabRatio="881" firstSheet="8" activeTab="2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 sheetId="64" r:id="rId22"/>
    <sheet name="比较法-租金" sheetId="63"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1" hidden="1">比较法!$A$1:$L$49</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2"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比较法!$B$88:$M$88</definedName>
    <definedName name="住宅朝向" localSheetId="22">'比较法-租金'!$B$88:$M$88</definedName>
    <definedName name="住宅朝向">'比较法-住宅'!$B$88:$M$88</definedName>
    <definedName name="住宅房型" localSheetId="21">比较法!$B$118:$M$118</definedName>
    <definedName name="住宅房型" localSheetId="22">'比较法-租金'!$B$118:$M$118</definedName>
    <definedName name="住宅房型">'比较法-住宅'!$B$118:$M$118</definedName>
    <definedName name="住宅公共部分装修" localSheetId="21">比较法!$B$109:$M$109</definedName>
    <definedName name="住宅公共部分装修" localSheetId="22">'比较法-租金'!$B$109:$M$109</definedName>
    <definedName name="住宅公共部分装修">'比较法-住宅'!$B$109:$M$109</definedName>
    <definedName name="住宅基础设施水平" localSheetId="21">比较法!$B$116:$M$116</definedName>
    <definedName name="住宅基础设施水平" localSheetId="22">'比较法-租金'!$B$116:$M$116</definedName>
    <definedName name="住宅基础设施水平">'比较法-住宅'!$B$116:$M$116</definedName>
    <definedName name="住宅建筑结构" localSheetId="21">比较法!$B$105:$M$105</definedName>
    <definedName name="住宅建筑结构" localSheetId="22">'比较法-租金'!$B$105:$M$105</definedName>
    <definedName name="住宅建筑结构">'比较法-住宅'!$B$105:$M$105</definedName>
    <definedName name="住宅建筑类型" localSheetId="21">比较法!$B$100:$M$100</definedName>
    <definedName name="住宅建筑类型" localSheetId="22">'比较法-租金'!$B$100:$M$100</definedName>
    <definedName name="住宅建筑类型">'比较法-住宅'!$B$100:$M$100</definedName>
    <definedName name="住宅建筑品质" localSheetId="21">比较法!$B$107:$M$107</definedName>
    <definedName name="住宅建筑品质" localSheetId="22">'比较法-租金'!$B$107:$M$107</definedName>
    <definedName name="住宅建筑品质">'比较法-住宅'!$B$107:$M$107</definedName>
    <definedName name="住宅交易情况" localSheetId="21">比较法!$A$61:$M$61</definedName>
    <definedName name="住宅交易情况" localSheetId="22">'比较法-租金'!$A$61:$M$61</definedName>
    <definedName name="住宅交易情况">'比较法-住宅'!$A$61:$M$61</definedName>
    <definedName name="住宅楼层" localSheetId="21">比较法!$B$86:$M$86</definedName>
    <definedName name="住宅楼层" localSheetId="22">'比较法-租金'!$B$86:$M$86</definedName>
    <definedName name="住宅楼层">'比较法-住宅'!$B$86:$M$86</definedName>
    <definedName name="住宅内部装修" localSheetId="21">比较法!$B$122:$M$122</definedName>
    <definedName name="住宅内部装修" localSheetId="22">'比较法-租金'!$B$122:$M$122</definedName>
    <definedName name="住宅内部装修">'比较法-住宅'!$B$122:$M$122</definedName>
    <definedName name="住宅物业管理" localSheetId="21">比较法!$B$114:$M$114</definedName>
    <definedName name="住宅物业管理" localSheetId="22">'比较法-租金'!$B$114:$M$114</definedName>
    <definedName name="住宅物业管理">'比较法-住宅'!$B$114:$M$114</definedName>
    <definedName name="住宅用途" localSheetId="21">比较法!$B$63:$M$63</definedName>
    <definedName name="住宅用途" localSheetId="22">'比较法-租金'!$B$63:$M$63</definedName>
    <definedName name="住宅用途">'比较法-住宅'!$B$63:$M$63</definedName>
    <definedName name="住宅主力户型面积" localSheetId="21">比较法!$B$120:$M$120</definedName>
    <definedName name="住宅主力户型面积" localSheetId="22">'比较法-租金'!$B$120:$M$120</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L10" i="31" l="1"/>
  <c r="D10" i="31"/>
  <c r="E10" i="31"/>
  <c r="F10" i="31"/>
  <c r="G10" i="31"/>
  <c r="H10" i="31"/>
  <c r="I10" i="31"/>
  <c r="J10" i="31"/>
  <c r="K10" i="31"/>
  <c r="C10" i="31"/>
  <c r="E20" i="1" l="1"/>
  <c r="E13" i="1"/>
  <c r="B15" i="62" l="1"/>
  <c r="C145" i="64" l="1"/>
  <c r="J142" i="64"/>
  <c r="J140" i="64"/>
  <c r="K139" i="64"/>
  <c r="K141" i="64" s="1"/>
  <c r="B130" i="64"/>
  <c r="B128" i="64"/>
  <c r="J45" i="64" s="1"/>
  <c r="B126" i="64"/>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D113" i="64"/>
  <c r="E113" i="64" s="1"/>
  <c r="F113" i="64" s="1"/>
  <c r="G113" i="64" s="1"/>
  <c r="H113" i="64" s="1"/>
  <c r="H111" i="64"/>
  <c r="G111" i="64"/>
  <c r="F111" i="64"/>
  <c r="E111" i="64"/>
  <c r="D111" i="64"/>
  <c r="C111" i="64"/>
  <c r="D110" i="64"/>
  <c r="E110" i="64" s="1"/>
  <c r="F110" i="64" s="1"/>
  <c r="G110" i="64" s="1"/>
  <c r="H110" i="64" s="1"/>
  <c r="I110" i="64" s="1"/>
  <c r="J110" i="64" s="1"/>
  <c r="K110" i="64" s="1"/>
  <c r="L110" i="64" s="1"/>
  <c r="M110" i="64" s="1"/>
  <c r="D108" i="64"/>
  <c r="E108" i="64" s="1"/>
  <c r="F108" i="64" s="1"/>
  <c r="G108" i="64" s="1"/>
  <c r="H108" i="64" s="1"/>
  <c r="I108" i="64" s="1"/>
  <c r="J108" i="64" s="1"/>
  <c r="K108" i="64" s="1"/>
  <c r="L108" i="64" s="1"/>
  <c r="M108" i="64" s="1"/>
  <c r="D106" i="64"/>
  <c r="E106" i="64" s="1"/>
  <c r="F106" i="64" s="1"/>
  <c r="G106" i="64" s="1"/>
  <c r="H106" i="64" s="1"/>
  <c r="I106" i="64" s="1"/>
  <c r="J106" i="64" s="1"/>
  <c r="K106" i="64" s="1"/>
  <c r="L106" i="64" s="1"/>
  <c r="M106" i="64" s="1"/>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J30" i="64" s="1"/>
  <c r="AC30" i="64" s="1"/>
  <c r="B94" i="64"/>
  <c r="B92" i="64"/>
  <c r="J28" i="64" s="1"/>
  <c r="AC28" i="64" s="1"/>
  <c r="B90" i="64"/>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H14" i="64" s="1"/>
  <c r="AB14" i="64" s="1"/>
  <c r="B72" i="64"/>
  <c r="B70" i="64"/>
  <c r="H12" i="64" s="1"/>
  <c r="AB12" i="64" s="1"/>
  <c r="D69" i="64"/>
  <c r="E69" i="64" s="1"/>
  <c r="F69" i="64" s="1"/>
  <c r="G69" i="64" s="1"/>
  <c r="H69" i="64" s="1"/>
  <c r="I69" i="64" s="1"/>
  <c r="J69" i="64" s="1"/>
  <c r="K69" i="64" s="1"/>
  <c r="L69" i="64" s="1"/>
  <c r="M69" i="64" s="1"/>
  <c r="M67" i="64"/>
  <c r="L67" i="64"/>
  <c r="K67" i="64"/>
  <c r="J67" i="64"/>
  <c r="I67" i="64"/>
  <c r="H67" i="64"/>
  <c r="G67" i="64"/>
  <c r="F67" i="64"/>
  <c r="E67" i="64"/>
  <c r="D67" i="64"/>
  <c r="C67" i="64"/>
  <c r="D66" i="64"/>
  <c r="E66" i="64" s="1"/>
  <c r="F66" i="64" s="1"/>
  <c r="G66" i="64" s="1"/>
  <c r="H66" i="64" s="1"/>
  <c r="I66" i="64" s="1"/>
  <c r="C63" i="64"/>
  <c r="H9" i="64" s="1"/>
  <c r="AB9" i="64" s="1"/>
  <c r="I54" i="64"/>
  <c r="J54" i="64" s="1"/>
  <c r="G54" i="64"/>
  <c r="H54" i="64" s="1"/>
  <c r="E54" i="64"/>
  <c r="F54" i="64" s="1"/>
  <c r="P49" i="64"/>
  <c r="P48" i="64"/>
  <c r="V47" i="64"/>
  <c r="T47" i="64"/>
  <c r="R47" i="64"/>
  <c r="P47" i="64"/>
  <c r="Q46" i="64"/>
  <c r="Z46" i="64" s="1"/>
  <c r="J46" i="64"/>
  <c r="AC46" i="64" s="1"/>
  <c r="H46" i="64"/>
  <c r="AB46" i="64" s="1"/>
  <c r="F46" i="64"/>
  <c r="AA46" i="64" s="1"/>
  <c r="Q45" i="64"/>
  <c r="Z45" i="64" s="1"/>
  <c r="H45" i="64"/>
  <c r="AB45" i="64" s="1"/>
  <c r="Q44" i="64"/>
  <c r="Z44" i="64" s="1"/>
  <c r="J44" i="64"/>
  <c r="AC44" i="64" s="1"/>
  <c r="H44" i="64"/>
  <c r="AB44" i="64" s="1"/>
  <c r="F44" i="64"/>
  <c r="AA44" i="64" s="1"/>
  <c r="Q43" i="64"/>
  <c r="Z43" i="64" s="1"/>
  <c r="H43" i="64"/>
  <c r="AB43" i="64" s="1"/>
  <c r="Q42" i="64"/>
  <c r="Z42" i="64" s="1"/>
  <c r="J42" i="64"/>
  <c r="AC42" i="64" s="1"/>
  <c r="H42" i="64"/>
  <c r="AB42" i="64" s="1"/>
  <c r="F42" i="64"/>
  <c r="AA42" i="64" s="1"/>
  <c r="Q41" i="64"/>
  <c r="Z41" i="64" s="1"/>
  <c r="C41" i="64"/>
  <c r="J41" i="64" s="1"/>
  <c r="Q40" i="64"/>
  <c r="Z40" i="64" s="1"/>
  <c r="H40" i="64"/>
  <c r="AB40" i="64" s="1"/>
  <c r="Q39" i="64"/>
  <c r="Z39" i="64" s="1"/>
  <c r="J39" i="64"/>
  <c r="AC39" i="64" s="1"/>
  <c r="H39" i="64"/>
  <c r="AB39" i="64" s="1"/>
  <c r="F39" i="64"/>
  <c r="AA39" i="64" s="1"/>
  <c r="Q38" i="64"/>
  <c r="Z38" i="64" s="1"/>
  <c r="H38" i="64"/>
  <c r="AB38" i="64" s="1"/>
  <c r="Q37" i="64"/>
  <c r="Z37" i="64" s="1"/>
  <c r="J37" i="64"/>
  <c r="AC37" i="64" s="1"/>
  <c r="H37" i="64"/>
  <c r="AB37" i="64" s="1"/>
  <c r="F37" i="64"/>
  <c r="AA37" i="64" s="1"/>
  <c r="Q36" i="64"/>
  <c r="Z36" i="64" s="1"/>
  <c r="H36" i="64"/>
  <c r="AB36" i="64" s="1"/>
  <c r="Q35" i="64"/>
  <c r="Z35" i="64" s="1"/>
  <c r="J35" i="64"/>
  <c r="AC35" i="64" s="1"/>
  <c r="H35" i="64"/>
  <c r="AB35" i="64" s="1"/>
  <c r="F35" i="64"/>
  <c r="AA35" i="64" s="1"/>
  <c r="Q34" i="64"/>
  <c r="Z34" i="64" s="1"/>
  <c r="J34" i="64"/>
  <c r="AC34" i="64" s="1"/>
  <c r="H34" i="64"/>
  <c r="AB34" i="64" s="1"/>
  <c r="F34" i="64"/>
  <c r="AA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H30" i="64"/>
  <c r="AB30" i="64" s="1"/>
  <c r="Q29" i="64"/>
  <c r="Z29" i="64" s="1"/>
  <c r="J29" i="64"/>
  <c r="AC29" i="64" s="1"/>
  <c r="H29" i="64"/>
  <c r="AB29" i="64" s="1"/>
  <c r="F29" i="64"/>
  <c r="AA29" i="64" s="1"/>
  <c r="Q28" i="64"/>
  <c r="Z28" i="64" s="1"/>
  <c r="H28" i="64"/>
  <c r="AB28" i="64" s="1"/>
  <c r="Q27" i="64"/>
  <c r="Z27" i="64" s="1"/>
  <c r="J27" i="64"/>
  <c r="AC27" i="64" s="1"/>
  <c r="H27" i="64"/>
  <c r="AB27" i="64" s="1"/>
  <c r="F27" i="64"/>
  <c r="AA27" i="64" s="1"/>
  <c r="Q26" i="64"/>
  <c r="Z26" i="64" s="1"/>
  <c r="H26" i="64"/>
  <c r="AB26" i="64" s="1"/>
  <c r="Q25" i="64"/>
  <c r="Z25" i="64" s="1"/>
  <c r="J25" i="64"/>
  <c r="AC25" i="64" s="1"/>
  <c r="H25" i="64"/>
  <c r="AB25" i="64" s="1"/>
  <c r="F25" i="64"/>
  <c r="AA25" i="64" s="1"/>
  <c r="AC23" i="64"/>
  <c r="Q23" i="64"/>
  <c r="Z23" i="64" s="1"/>
  <c r="J23" i="64"/>
  <c r="W23" i="64" s="1"/>
  <c r="H23" i="64"/>
  <c r="F23" i="64"/>
  <c r="AA23" i="64" s="1"/>
  <c r="C23" i="64"/>
  <c r="E23" i="64" s="1"/>
  <c r="G23" i="64" s="1"/>
  <c r="I23" i="64" s="1"/>
  <c r="Q21" i="64"/>
  <c r="Z21" i="64" s="1"/>
  <c r="J21" i="64"/>
  <c r="F21" i="64"/>
  <c r="C21" i="64"/>
  <c r="E21" i="64" s="1"/>
  <c r="G21" i="64" s="1"/>
  <c r="I21" i="64" s="1"/>
  <c r="Q19" i="64"/>
  <c r="Z19" i="64" s="1"/>
  <c r="J19" i="64"/>
  <c r="AC19" i="64" s="1"/>
  <c r="H19" i="64"/>
  <c r="AB19" i="64" s="1"/>
  <c r="F19" i="64"/>
  <c r="AA19" i="64" s="1"/>
  <c r="C19" i="64"/>
  <c r="E19" i="64" s="1"/>
  <c r="G19" i="64" s="1"/>
  <c r="I19" i="64" s="1"/>
  <c r="Q17" i="64"/>
  <c r="Z17" i="64" s="1"/>
  <c r="H17" i="64"/>
  <c r="U17" i="64" s="1"/>
  <c r="E17" i="64"/>
  <c r="G17" i="64" s="1"/>
  <c r="I17" i="64" s="1"/>
  <c r="C17" i="64"/>
  <c r="Q15" i="64"/>
  <c r="Z15" i="64" s="1"/>
  <c r="J15" i="64"/>
  <c r="AC15" i="64" s="1"/>
  <c r="H15" i="64"/>
  <c r="AB15" i="64" s="1"/>
  <c r="F15" i="64"/>
  <c r="AA15" i="64" s="1"/>
  <c r="C15" i="64"/>
  <c r="E15" i="64" s="1"/>
  <c r="G15" i="64" s="1"/>
  <c r="I15" i="64" s="1"/>
  <c r="Q14" i="64"/>
  <c r="Z14" i="64" s="1"/>
  <c r="J14" i="64"/>
  <c r="AC14" i="64" s="1"/>
  <c r="F14" i="64"/>
  <c r="AA14" i="64" s="1"/>
  <c r="Q13" i="64"/>
  <c r="Z13" i="64" s="1"/>
  <c r="J13" i="64"/>
  <c r="AC13" i="64" s="1"/>
  <c r="H13" i="64"/>
  <c r="AB13" i="64" s="1"/>
  <c r="F13" i="64"/>
  <c r="AA13" i="64" s="1"/>
  <c r="Q12" i="64"/>
  <c r="Z12" i="64" s="1"/>
  <c r="J12" i="64"/>
  <c r="AC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F9" i="64"/>
  <c r="AA9" i="64" s="1"/>
  <c r="S8" i="64"/>
  <c r="J8" i="64"/>
  <c r="AC8" i="64" s="1"/>
  <c r="H8" i="64"/>
  <c r="AB8" i="64" s="1"/>
  <c r="F8" i="64"/>
  <c r="AA8" i="64" s="1"/>
  <c r="D3" i="64"/>
  <c r="C2" i="64"/>
  <c r="C41" i="63"/>
  <c r="E2" i="64"/>
  <c r="AB17" i="64" l="1"/>
  <c r="W8" i="64"/>
  <c r="F17" i="64"/>
  <c r="AA17" i="64" s="1"/>
  <c r="J17" i="64"/>
  <c r="AC17" i="64" s="1"/>
  <c r="H21" i="64"/>
  <c r="AB21" i="64" s="1"/>
  <c r="F26" i="64"/>
  <c r="AA26" i="64" s="1"/>
  <c r="J26" i="64"/>
  <c r="AC26" i="64" s="1"/>
  <c r="F28" i="64"/>
  <c r="AA28" i="64" s="1"/>
  <c r="F30" i="64"/>
  <c r="AA30" i="64" s="1"/>
  <c r="F36" i="64"/>
  <c r="AA36" i="64" s="1"/>
  <c r="J36" i="64"/>
  <c r="AC36" i="64" s="1"/>
  <c r="F38" i="64"/>
  <c r="AA38" i="64" s="1"/>
  <c r="J38" i="64"/>
  <c r="AC38" i="64" s="1"/>
  <c r="F40" i="64"/>
  <c r="AA40" i="64" s="1"/>
  <c r="J40" i="64"/>
  <c r="AC40" i="64" s="1"/>
  <c r="F43" i="64"/>
  <c r="AA43" i="64" s="1"/>
  <c r="J43" i="64"/>
  <c r="AC43" i="64" s="1"/>
  <c r="F45" i="64"/>
  <c r="AA45" i="64" s="1"/>
  <c r="K145" i="64"/>
  <c r="F2" i="64"/>
  <c r="U8" i="64"/>
  <c r="U9" i="64"/>
  <c r="S10" i="64"/>
  <c r="W10" i="64"/>
  <c r="U11" i="64"/>
  <c r="S12" i="64"/>
  <c r="W12" i="64"/>
  <c r="U13" i="64"/>
  <c r="S14" i="64"/>
  <c r="W14" i="64"/>
  <c r="U15" i="64"/>
  <c r="S17" i="64"/>
  <c r="W17" i="64"/>
  <c r="U19" i="64"/>
  <c r="AA21" i="64"/>
  <c r="S21" i="64"/>
  <c r="AC21" i="64"/>
  <c r="W21" i="64"/>
  <c r="U21" i="64"/>
  <c r="S23" i="64"/>
  <c r="U25" i="64"/>
  <c r="S9" i="64"/>
  <c r="W9" i="64"/>
  <c r="U10" i="64"/>
  <c r="S11" i="64"/>
  <c r="W11" i="64"/>
  <c r="U12" i="64"/>
  <c r="S13" i="64"/>
  <c r="W13" i="64"/>
  <c r="U14" i="64"/>
  <c r="S15" i="64"/>
  <c r="W15" i="64"/>
  <c r="S19" i="64"/>
  <c r="W19" i="64"/>
  <c r="AB23" i="64"/>
  <c r="U23" i="64"/>
  <c r="AC41" i="64"/>
  <c r="W41" i="64"/>
  <c r="S25" i="64"/>
  <c r="W25" i="64"/>
  <c r="U26" i="64"/>
  <c r="S27" i="64"/>
  <c r="W27" i="64"/>
  <c r="U28" i="64"/>
  <c r="S29" i="64"/>
  <c r="W29" i="64"/>
  <c r="U30" i="64"/>
  <c r="S31" i="64"/>
  <c r="W31" i="64"/>
  <c r="U32" i="64"/>
  <c r="S33" i="64"/>
  <c r="W33" i="64"/>
  <c r="U34" i="64"/>
  <c r="S35" i="64"/>
  <c r="W35" i="64"/>
  <c r="U36" i="64"/>
  <c r="S37" i="64"/>
  <c r="W37" i="64"/>
  <c r="U38" i="64"/>
  <c r="S39" i="64"/>
  <c r="W39" i="64"/>
  <c r="U40" i="64"/>
  <c r="H41" i="64"/>
  <c r="S42" i="64"/>
  <c r="W42" i="64"/>
  <c r="U43" i="64"/>
  <c r="S44" i="64"/>
  <c r="W44" i="64"/>
  <c r="U45" i="64"/>
  <c r="W26" i="64"/>
  <c r="U27" i="64"/>
  <c r="S28" i="64"/>
  <c r="W28" i="64"/>
  <c r="U29" i="64"/>
  <c r="S30" i="64"/>
  <c r="W30" i="64"/>
  <c r="U31" i="64"/>
  <c r="S32" i="64"/>
  <c r="W32" i="64"/>
  <c r="U33" i="64"/>
  <c r="S34" i="64"/>
  <c r="W34" i="64"/>
  <c r="U35" i="64"/>
  <c r="S36" i="64"/>
  <c r="W36" i="64"/>
  <c r="U37" i="64"/>
  <c r="W38" i="64"/>
  <c r="U39" i="64"/>
  <c r="S40" i="64"/>
  <c r="W40" i="64"/>
  <c r="F41" i="64"/>
  <c r="U42" i="64"/>
  <c r="S43" i="64"/>
  <c r="W43" i="64"/>
  <c r="U44" i="64"/>
  <c r="AC45" i="64"/>
  <c r="W45" i="64"/>
  <c r="S46" i="64"/>
  <c r="W46" i="64"/>
  <c r="K143" i="64"/>
  <c r="U46" i="64"/>
  <c r="K144" i="64"/>
  <c r="C145" i="63"/>
  <c r="J142" i="63"/>
  <c r="J140" i="63"/>
  <c r="K139" i="63"/>
  <c r="B130" i="63"/>
  <c r="B128" i="63"/>
  <c r="H45" i="63" s="1"/>
  <c r="AB45" i="63" s="1"/>
  <c r="B126" i="63"/>
  <c r="H44" i="63" s="1"/>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H111" i="63"/>
  <c r="G111" i="63"/>
  <c r="F111" i="63"/>
  <c r="E111" i="63"/>
  <c r="D111" i="63"/>
  <c r="C111" i="63"/>
  <c r="D110" i="63"/>
  <c r="E110" i="63" s="1"/>
  <c r="F110" i="63" s="1"/>
  <c r="G110" i="63" s="1"/>
  <c r="H110" i="63" s="1"/>
  <c r="I110" i="63" s="1"/>
  <c r="J110" i="63" s="1"/>
  <c r="K110" i="63" s="1"/>
  <c r="L110" i="63" s="1"/>
  <c r="M110" i="63" s="1"/>
  <c r="E108" i="63"/>
  <c r="F108" i="63" s="1"/>
  <c r="G108" i="63" s="1"/>
  <c r="H108" i="63" s="1"/>
  <c r="I108" i="63" s="1"/>
  <c r="J108" i="63" s="1"/>
  <c r="K108" i="63" s="1"/>
  <c r="L108" i="63" s="1"/>
  <c r="M108" i="63" s="1"/>
  <c r="D108" i="63"/>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H30" i="63" s="1"/>
  <c r="B94" i="63"/>
  <c r="B92" i="63"/>
  <c r="H28" i="63" s="1"/>
  <c r="B90" i="63"/>
  <c r="D89" i="63"/>
  <c r="E89" i="63" s="1"/>
  <c r="F89" i="63" s="1"/>
  <c r="G89" i="63" s="1"/>
  <c r="H89" i="63" s="1"/>
  <c r="I89" i="63" s="1"/>
  <c r="J89" i="63" s="1"/>
  <c r="K89" i="63" s="1"/>
  <c r="L89" i="63" s="1"/>
  <c r="M89" i="63" s="1"/>
  <c r="M87" i="63"/>
  <c r="L87" i="63"/>
  <c r="K87" i="63"/>
  <c r="J87" i="63"/>
  <c r="I87" i="63"/>
  <c r="H87" i="63"/>
  <c r="G87" i="63"/>
  <c r="F87" i="63"/>
  <c r="E87" i="63"/>
  <c r="D87" i="63"/>
  <c r="E85" i="63"/>
  <c r="F85" i="63" s="1"/>
  <c r="G85" i="63" s="1"/>
  <c r="D85" i="63"/>
  <c r="E83" i="63"/>
  <c r="F83" i="63" s="1"/>
  <c r="G83" i="63" s="1"/>
  <c r="D83" i="63"/>
  <c r="D81" i="63"/>
  <c r="E81" i="63" s="1"/>
  <c r="F81" i="63" s="1"/>
  <c r="G81" i="63" s="1"/>
  <c r="D79" i="63"/>
  <c r="E79" i="63" s="1"/>
  <c r="F79" i="63" s="1"/>
  <c r="G79" i="63" s="1"/>
  <c r="E77" i="63"/>
  <c r="F77" i="63" s="1"/>
  <c r="G77" i="63" s="1"/>
  <c r="D77" i="63"/>
  <c r="B74" i="63"/>
  <c r="J14" i="63" s="1"/>
  <c r="AC14" i="63" s="1"/>
  <c r="B72" i="63"/>
  <c r="H13" i="63" s="1"/>
  <c r="AB13" i="63" s="1"/>
  <c r="B70" i="63"/>
  <c r="H12" i="63" s="1"/>
  <c r="AB12" i="63" s="1"/>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C63" i="63"/>
  <c r="I54" i="63"/>
  <c r="J54" i="63" s="1"/>
  <c r="G54" i="63"/>
  <c r="H54" i="63" s="1"/>
  <c r="E54" i="63"/>
  <c r="F54" i="63" s="1"/>
  <c r="P49" i="63"/>
  <c r="P48" i="63"/>
  <c r="V47" i="63"/>
  <c r="T47" i="63"/>
  <c r="R47" i="63"/>
  <c r="P47" i="63"/>
  <c r="Q46" i="63"/>
  <c r="Z46" i="63" s="1"/>
  <c r="H46" i="63"/>
  <c r="AB46" i="63" s="1"/>
  <c r="Q45" i="63"/>
  <c r="Z45" i="63" s="1"/>
  <c r="J45" i="63"/>
  <c r="AC45" i="63" s="1"/>
  <c r="F45" i="63"/>
  <c r="AA45" i="63" s="1"/>
  <c r="Q44" i="63"/>
  <c r="Z44" i="63" s="1"/>
  <c r="J44" i="63"/>
  <c r="F44" i="63"/>
  <c r="AA44" i="63" s="1"/>
  <c r="Q43" i="63"/>
  <c r="Z43" i="63" s="1"/>
  <c r="J43" i="63"/>
  <c r="AC43" i="63" s="1"/>
  <c r="Q42" i="63"/>
  <c r="Z42" i="63" s="1"/>
  <c r="H42" i="63"/>
  <c r="AB42" i="63" s="1"/>
  <c r="Q41" i="63"/>
  <c r="Z41" i="63" s="1"/>
  <c r="J41" i="63"/>
  <c r="AC41" i="63" s="1"/>
  <c r="H41" i="63"/>
  <c r="AB41" i="63" s="1"/>
  <c r="F41" i="63"/>
  <c r="AA41" i="63" s="1"/>
  <c r="Q40" i="63"/>
  <c r="Z40" i="63" s="1"/>
  <c r="Q39" i="63"/>
  <c r="Z39" i="63" s="1"/>
  <c r="J39" i="63"/>
  <c r="AC39" i="63" s="1"/>
  <c r="H39" i="63"/>
  <c r="AB39" i="63" s="1"/>
  <c r="F39" i="63"/>
  <c r="AA39" i="63" s="1"/>
  <c r="Q38" i="63"/>
  <c r="Z38" i="63" s="1"/>
  <c r="J38" i="63"/>
  <c r="AC38" i="63" s="1"/>
  <c r="F38" i="63"/>
  <c r="AA38" i="63" s="1"/>
  <c r="Q37" i="63"/>
  <c r="Z37" i="63" s="1"/>
  <c r="Q36" i="63"/>
  <c r="Z36" i="63" s="1"/>
  <c r="H36" i="63"/>
  <c r="AB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F30" i="63"/>
  <c r="AA30" i="63" s="1"/>
  <c r="Q29" i="63"/>
  <c r="Z29" i="63" s="1"/>
  <c r="J29" i="63"/>
  <c r="AC29" i="63" s="1"/>
  <c r="H29" i="63"/>
  <c r="AB29" i="63" s="1"/>
  <c r="F29" i="63"/>
  <c r="AA29" i="63" s="1"/>
  <c r="Q28" i="63"/>
  <c r="Z28" i="63" s="1"/>
  <c r="F28" i="63"/>
  <c r="AA28" i="63" s="1"/>
  <c r="Q27" i="63"/>
  <c r="Z27" i="63" s="1"/>
  <c r="J27" i="63"/>
  <c r="AC27" i="63" s="1"/>
  <c r="H27" i="63"/>
  <c r="AB27" i="63" s="1"/>
  <c r="F27" i="63"/>
  <c r="AA27" i="63" s="1"/>
  <c r="Q26" i="63"/>
  <c r="Z26" i="63" s="1"/>
  <c r="J26" i="63"/>
  <c r="W26" i="63" s="1"/>
  <c r="F26" i="63"/>
  <c r="AA26" i="63" s="1"/>
  <c r="Q25" i="63"/>
  <c r="Z25" i="63" s="1"/>
  <c r="J25" i="63"/>
  <c r="AC25" i="63" s="1"/>
  <c r="H25" i="63"/>
  <c r="AB25" i="63" s="1"/>
  <c r="F25" i="63"/>
  <c r="AA25" i="63" s="1"/>
  <c r="Q23" i="63"/>
  <c r="Z23" i="63" s="1"/>
  <c r="J23" i="63"/>
  <c r="AC23" i="63" s="1"/>
  <c r="F23" i="63"/>
  <c r="AA23" i="63" s="1"/>
  <c r="C23" i="63"/>
  <c r="E23" i="63" s="1"/>
  <c r="G23" i="63" s="1"/>
  <c r="I23" i="63" s="1"/>
  <c r="Q21" i="63"/>
  <c r="Z21" i="63" s="1"/>
  <c r="J21" i="63"/>
  <c r="AC21" i="63" s="1"/>
  <c r="H21" i="63"/>
  <c r="AB21" i="63" s="1"/>
  <c r="F21" i="63"/>
  <c r="AA21" i="63" s="1"/>
  <c r="C21" i="63"/>
  <c r="E21" i="63" s="1"/>
  <c r="G21" i="63" s="1"/>
  <c r="I21" i="63" s="1"/>
  <c r="Q19" i="63"/>
  <c r="Z19" i="63" s="1"/>
  <c r="J19" i="63"/>
  <c r="AC19" i="63" s="1"/>
  <c r="F19" i="63"/>
  <c r="AA19" i="63" s="1"/>
  <c r="C19" i="63"/>
  <c r="E19" i="63" s="1"/>
  <c r="G19" i="63" s="1"/>
  <c r="I19" i="63" s="1"/>
  <c r="Q17" i="63"/>
  <c r="Z17" i="63" s="1"/>
  <c r="H17" i="63"/>
  <c r="AB17" i="63" s="1"/>
  <c r="C17" i="63"/>
  <c r="E17" i="63" s="1"/>
  <c r="G17" i="63" s="1"/>
  <c r="I17" i="63" s="1"/>
  <c r="Q15" i="63"/>
  <c r="Z15" i="63" s="1"/>
  <c r="J15" i="63"/>
  <c r="AC15" i="63" s="1"/>
  <c r="H15" i="63"/>
  <c r="AB15" i="63" s="1"/>
  <c r="F15" i="63"/>
  <c r="AA15" i="63" s="1"/>
  <c r="C15" i="63"/>
  <c r="E15" i="63" s="1"/>
  <c r="G15" i="63" s="1"/>
  <c r="I15" i="63" s="1"/>
  <c r="Q14" i="63"/>
  <c r="Z14" i="63" s="1"/>
  <c r="Q13" i="63"/>
  <c r="Z13" i="63" s="1"/>
  <c r="J13" i="63"/>
  <c r="AC13" i="63" s="1"/>
  <c r="F13" i="63"/>
  <c r="AA13" i="63" s="1"/>
  <c r="Q12" i="63"/>
  <c r="Z12" i="63" s="1"/>
  <c r="J12" i="63"/>
  <c r="AC12" i="63" s="1"/>
  <c r="Q11" i="63"/>
  <c r="Z11" i="63" s="1"/>
  <c r="J11" i="63"/>
  <c r="AC11" i="63" s="1"/>
  <c r="H11" i="63"/>
  <c r="AB11" i="63" s="1"/>
  <c r="F11" i="63"/>
  <c r="AA11" i="63" s="1"/>
  <c r="Q10" i="63"/>
  <c r="Z10" i="63" s="1"/>
  <c r="Q9" i="63"/>
  <c r="Z9" i="63" s="1"/>
  <c r="J9" i="63"/>
  <c r="AC9" i="63" s="1"/>
  <c r="H9" i="63"/>
  <c r="AB9" i="63" s="1"/>
  <c r="F9" i="63"/>
  <c r="AA9" i="63" s="1"/>
  <c r="J8" i="63"/>
  <c r="W8" i="63" s="1"/>
  <c r="H8" i="63"/>
  <c r="AB8" i="63" s="1"/>
  <c r="F8" i="63"/>
  <c r="S8" i="63" s="1"/>
  <c r="D3" i="63"/>
  <c r="C2" i="63"/>
  <c r="F2" i="63" s="1"/>
  <c r="E43" i="1"/>
  <c r="E44" i="1"/>
  <c r="E45" i="1"/>
  <c r="E46" i="1"/>
  <c r="E47" i="1"/>
  <c r="E48" i="1"/>
  <c r="E49" i="1"/>
  <c r="E42" i="1"/>
  <c r="E2" i="63"/>
  <c r="H66" i="63" l="1"/>
  <c r="I66" i="63" s="1"/>
  <c r="J10" i="63"/>
  <c r="AC10" i="63" s="1"/>
  <c r="F10" i="63"/>
  <c r="AA10" i="63" s="1"/>
  <c r="H10" i="63"/>
  <c r="AB10" i="63" s="1"/>
  <c r="F113" i="63"/>
  <c r="G113" i="63" s="1"/>
  <c r="H113" i="63" s="1"/>
  <c r="F37" i="63"/>
  <c r="AA37" i="63" s="1"/>
  <c r="J37" i="63"/>
  <c r="AC37" i="63" s="1"/>
  <c r="F12" i="63"/>
  <c r="AA12" i="63" s="1"/>
  <c r="H14" i="63"/>
  <c r="AB14" i="63" s="1"/>
  <c r="F17" i="63"/>
  <c r="AA17" i="63" s="1"/>
  <c r="J17" i="63"/>
  <c r="AC17" i="63" s="1"/>
  <c r="H19" i="63"/>
  <c r="AB19" i="63" s="1"/>
  <c r="H23" i="63"/>
  <c r="H26" i="63"/>
  <c r="AB26" i="63" s="1"/>
  <c r="J30" i="63"/>
  <c r="AC30" i="63" s="1"/>
  <c r="H38" i="63"/>
  <c r="AB38" i="63" s="1"/>
  <c r="F42" i="63"/>
  <c r="AA42" i="63" s="1"/>
  <c r="J42" i="63"/>
  <c r="AC42" i="63" s="1"/>
  <c r="F43" i="63"/>
  <c r="AA43" i="63" s="1"/>
  <c r="S45" i="64"/>
  <c r="S38" i="64"/>
  <c r="S26" i="64"/>
  <c r="AA41" i="64"/>
  <c r="S41" i="64"/>
  <c r="AB41" i="64"/>
  <c r="U41" i="64"/>
  <c r="F36" i="63"/>
  <c r="AA36" i="63" s="1"/>
  <c r="J36" i="63"/>
  <c r="AC36" i="63" s="1"/>
  <c r="H37" i="63"/>
  <c r="AB37" i="63" s="1"/>
  <c r="H43" i="63"/>
  <c r="AB43" i="63" s="1"/>
  <c r="H40" i="63"/>
  <c r="AB40" i="63" s="1"/>
  <c r="F40" i="63"/>
  <c r="AA40" i="63" s="1"/>
  <c r="J40" i="63"/>
  <c r="AC40" i="63" s="1"/>
  <c r="U8" i="63"/>
  <c r="J28" i="63"/>
  <c r="AC26" i="63"/>
  <c r="F14" i="63"/>
  <c r="AA14" i="63" s="1"/>
  <c r="AA8" i="63"/>
  <c r="AC8" i="63"/>
  <c r="S9" i="63"/>
  <c r="W9" i="63"/>
  <c r="U10" i="63"/>
  <c r="S11" i="63"/>
  <c r="W11" i="63"/>
  <c r="U12" i="63"/>
  <c r="S13" i="63"/>
  <c r="W13" i="63"/>
  <c r="U14" i="63"/>
  <c r="U15" i="63"/>
  <c r="U17" i="63"/>
  <c r="U21" i="63"/>
  <c r="AB23" i="63"/>
  <c r="U23" i="63"/>
  <c r="W23" i="63"/>
  <c r="S26" i="63"/>
  <c r="U27" i="63"/>
  <c r="S28" i="63"/>
  <c r="AB28" i="63"/>
  <c r="U28" i="63"/>
  <c r="AB30" i="63"/>
  <c r="U30" i="63"/>
  <c r="U9" i="63"/>
  <c r="S10" i="63"/>
  <c r="U11" i="63"/>
  <c r="W12" i="63"/>
  <c r="U13" i="63"/>
  <c r="S14" i="63"/>
  <c r="W14" i="63"/>
  <c r="S15" i="63"/>
  <c r="W15" i="63"/>
  <c r="S17" i="63"/>
  <c r="W17" i="63"/>
  <c r="S19" i="63"/>
  <c r="W19" i="63"/>
  <c r="S21" i="63"/>
  <c r="W21" i="63"/>
  <c r="S23" i="63"/>
  <c r="U25" i="63"/>
  <c r="AB44" i="63"/>
  <c r="U44" i="63"/>
  <c r="S25" i="63"/>
  <c r="W25" i="63"/>
  <c r="U26" i="63"/>
  <c r="S27" i="63"/>
  <c r="W27" i="63"/>
  <c r="S29" i="63"/>
  <c r="W29" i="63"/>
  <c r="S31" i="63"/>
  <c r="W31" i="63"/>
  <c r="U32" i="63"/>
  <c r="S33" i="63"/>
  <c r="W33" i="63"/>
  <c r="U34" i="63"/>
  <c r="S35" i="63"/>
  <c r="W35" i="63"/>
  <c r="U36" i="63"/>
  <c r="S37" i="63"/>
  <c r="W37" i="63"/>
  <c r="U38" i="63"/>
  <c r="S39" i="63"/>
  <c r="W39" i="63"/>
  <c r="S41" i="63"/>
  <c r="W41" i="63"/>
  <c r="U42" i="63"/>
  <c r="S43" i="63"/>
  <c r="W43" i="63"/>
  <c r="W45" i="63"/>
  <c r="U29" i="63"/>
  <c r="S30" i="63"/>
  <c r="W30" i="63"/>
  <c r="U31" i="63"/>
  <c r="S32" i="63"/>
  <c r="W32" i="63"/>
  <c r="U33" i="63"/>
  <c r="S34" i="63"/>
  <c r="W34" i="63"/>
  <c r="U35" i="63"/>
  <c r="W36" i="63"/>
  <c r="U37" i="63"/>
  <c r="S38" i="63"/>
  <c r="W38" i="63"/>
  <c r="U39" i="63"/>
  <c r="U41" i="63"/>
  <c r="S42" i="63"/>
  <c r="W42" i="63"/>
  <c r="U43" i="63"/>
  <c r="AC44" i="63"/>
  <c r="W44" i="63"/>
  <c r="S44" i="63"/>
  <c r="S45" i="63"/>
  <c r="U46" i="63"/>
  <c r="J46" i="63"/>
  <c r="F46" i="63"/>
  <c r="K143" i="63"/>
  <c r="K141" i="63"/>
  <c r="K144" i="63"/>
  <c r="K145" i="63"/>
  <c r="U45" i="63"/>
  <c r="I5" i="59"/>
  <c r="I4" i="59" s="1"/>
  <c r="N4" i="59" s="1"/>
  <c r="L5" i="59"/>
  <c r="L4" i="59" s="1"/>
  <c r="Q4" i="59" s="1"/>
  <c r="K5" i="59"/>
  <c r="K4" i="59" s="1"/>
  <c r="P4" i="59" s="1"/>
  <c r="J5" i="59"/>
  <c r="J4" i="59" s="1"/>
  <c r="O4" i="59" s="1"/>
  <c r="S12" i="63" l="1"/>
  <c r="W10" i="63"/>
  <c r="U19" i="63"/>
  <c r="S36" i="63"/>
  <c r="W40" i="63"/>
  <c r="U40" i="63"/>
  <c r="S40" i="63"/>
  <c r="AC28" i="63"/>
  <c r="W28" i="63"/>
  <c r="AA46" i="63"/>
  <c r="S46" i="63"/>
  <c r="AC46" i="63"/>
  <c r="W46" i="63"/>
  <c r="N5" i="59"/>
  <c r="P5" i="59"/>
  <c r="O5" i="59"/>
  <c r="Q5" i="59"/>
  <c r="A2" i="50"/>
  <c r="K60" i="15" l="1"/>
  <c r="P72" i="15" s="1"/>
  <c r="P59" i="15" l="1"/>
  <c r="A126" i="57"/>
  <c r="A123" i="9"/>
  <c r="A16" i="54"/>
  <c r="A14" i="54"/>
  <c r="A19" i="55" l="1"/>
  <c r="A13" i="55"/>
  <c r="A1" i="52"/>
  <c r="A4" i="50"/>
  <c r="D5" i="43" l="1"/>
  <c r="P6" i="59" l="1"/>
  <c r="O6" i="59"/>
  <c r="N6" i="59"/>
  <c r="Q6" i="59"/>
  <c r="H23" i="31"/>
  <c r="B2" i="1" l="1"/>
  <c r="C7" i="64" l="1"/>
  <c r="C58" i="64" s="1"/>
  <c r="C7" i="63"/>
  <c r="C58" i="63" s="1"/>
  <c r="C76" i="9"/>
  <c r="C77" i="57"/>
  <c r="F30" i="1"/>
  <c r="D58" i="63" l="1"/>
  <c r="E58" i="63" s="1"/>
  <c r="F58" i="63" s="1"/>
  <c r="G58" i="63" s="1"/>
  <c r="H58" i="63" s="1"/>
  <c r="I58" i="63" s="1"/>
  <c r="J58" i="63" s="1"/>
  <c r="K58" i="63" s="1"/>
  <c r="L58" i="63" s="1"/>
  <c r="M58" i="63" s="1"/>
  <c r="N58" i="63" s="1"/>
  <c r="O58" i="63" s="1"/>
  <c r="H7" i="63"/>
  <c r="J7" i="63"/>
  <c r="F7" i="63"/>
  <c r="D58" i="64"/>
  <c r="E58" i="64" s="1"/>
  <c r="F58" i="64" s="1"/>
  <c r="G58" i="64" s="1"/>
  <c r="H58" i="64" s="1"/>
  <c r="I58" i="64" s="1"/>
  <c r="J58" i="64" s="1"/>
  <c r="K58" i="64" s="1"/>
  <c r="L58" i="64" s="1"/>
  <c r="M58" i="64" s="1"/>
  <c r="N58" i="64" s="1"/>
  <c r="O58" i="64" s="1"/>
  <c r="F7" i="64"/>
  <c r="J7" i="64"/>
  <c r="H7" i="64"/>
  <c r="J56" i="57"/>
  <c r="K55" i="9"/>
  <c r="J55" i="9"/>
  <c r="I6" i="4"/>
  <c r="K56" i="9" s="1"/>
  <c r="U7" i="64" l="1"/>
  <c r="AB7" i="64"/>
  <c r="T48" i="64" s="1"/>
  <c r="G48" i="64" s="1"/>
  <c r="S7" i="64"/>
  <c r="AA7" i="64"/>
  <c r="R48" i="64" s="1"/>
  <c r="AA7" i="63"/>
  <c r="R48" i="63" s="1"/>
  <c r="S7" i="63"/>
  <c r="U7" i="63"/>
  <c r="AB7" i="63"/>
  <c r="T48" i="63" s="1"/>
  <c r="G48" i="63" s="1"/>
  <c r="W7" i="64"/>
  <c r="AC7" i="64"/>
  <c r="V48" i="64" s="1"/>
  <c r="I48" i="64" s="1"/>
  <c r="AC7" i="63"/>
  <c r="V48" i="63" s="1"/>
  <c r="I48" i="63" s="1"/>
  <c r="W7" i="63"/>
  <c r="J57" i="57"/>
  <c r="J58" i="57" s="1"/>
  <c r="J60" i="57" s="1"/>
  <c r="J62" i="57" s="1"/>
  <c r="N57" i="57"/>
  <c r="K57" i="57"/>
  <c r="N56" i="9"/>
  <c r="J56" i="9"/>
  <c r="J57" i="9" s="1"/>
  <c r="J59" i="9" s="1"/>
  <c r="J61" i="9" s="1"/>
  <c r="I52" i="64" l="1"/>
  <c r="J52" i="64" s="1"/>
  <c r="G52" i="63"/>
  <c r="H52" i="63" s="1"/>
  <c r="G53" i="63"/>
  <c r="H53" i="63" s="1"/>
  <c r="R49" i="64"/>
  <c r="E48" i="64"/>
  <c r="G53" i="64"/>
  <c r="H53" i="64" s="1"/>
  <c r="G52" i="64"/>
  <c r="H52" i="64" s="1"/>
  <c r="I52" i="63"/>
  <c r="J52" i="63" s="1"/>
  <c r="I53" i="63"/>
  <c r="J53" i="63" s="1"/>
  <c r="E48" i="63"/>
  <c r="R49" i="63"/>
  <c r="E16" i="62"/>
  <c r="F16" i="62"/>
  <c r="E17" i="62"/>
  <c r="F17" i="62"/>
  <c r="E18" i="62"/>
  <c r="F18" i="62"/>
  <c r="E19" i="62"/>
  <c r="F19" i="62"/>
  <c r="E20" i="62"/>
  <c r="F20" i="62"/>
  <c r="E21" i="62"/>
  <c r="F21" i="62"/>
  <c r="E22" i="62"/>
  <c r="F22" i="62"/>
  <c r="E23" i="62"/>
  <c r="F23" i="62"/>
  <c r="C49" i="63" l="1"/>
  <c r="C48" i="63"/>
  <c r="E53" i="64"/>
  <c r="F53" i="64" s="1"/>
  <c r="E52" i="64"/>
  <c r="F52" i="64" s="1"/>
  <c r="I53" i="64"/>
  <c r="J53" i="64" s="1"/>
  <c r="E53" i="63"/>
  <c r="F53" i="63" s="1"/>
  <c r="E52" i="63"/>
  <c r="F52" i="63" s="1"/>
  <c r="C49" i="64"/>
  <c r="C48" i="64"/>
  <c r="C14" i="62"/>
  <c r="B2" i="62" s="1"/>
  <c r="B14" i="62"/>
  <c r="B1" i="62" s="1"/>
  <c r="B3" i="62"/>
  <c r="B3" i="64" l="1"/>
  <c r="B2" i="64"/>
  <c r="B2" i="63"/>
  <c r="B3" i="63" s="1"/>
  <c r="M19" i="43"/>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D7" i="61"/>
  <c r="F6" i="61"/>
  <c r="D4" i="61"/>
  <c r="D5" i="61"/>
  <c r="D3" i="61"/>
  <c r="D6" i="61"/>
  <c r="F4" i="61"/>
  <c r="F3" i="61"/>
  <c r="F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Q17" i="59"/>
  <c r="AB17" i="59" s="1"/>
  <c r="P17" i="59"/>
  <c r="O17" i="59"/>
  <c r="N17" i="59"/>
  <c r="D17" i="59"/>
  <c r="Q16" i="59"/>
  <c r="P16" i="59"/>
  <c r="O16" i="59"/>
  <c r="N16" i="59"/>
  <c r="X16" i="59" s="1"/>
  <c r="Q15" i="59"/>
  <c r="P15" i="59"/>
  <c r="AA15" i="59" s="1"/>
  <c r="O15" i="59"/>
  <c r="N15" i="59"/>
  <c r="X15" i="59" s="1"/>
  <c r="Q14" i="59"/>
  <c r="P14" i="59"/>
  <c r="AA14" i="59" s="1"/>
  <c r="O14" i="59"/>
  <c r="N14" i="59"/>
  <c r="X14" i="59" s="1"/>
  <c r="Q13" i="59"/>
  <c r="AB13" i="59" s="1"/>
  <c r="P13" i="59"/>
  <c r="O13" i="59"/>
  <c r="N13" i="59"/>
  <c r="D13" i="59"/>
  <c r="Q12" i="59"/>
  <c r="P12" i="59"/>
  <c r="AA12" i="59" s="1"/>
  <c r="O12" i="59"/>
  <c r="N12" i="59"/>
  <c r="X12" i="59" s="1"/>
  <c r="Q11" i="59"/>
  <c r="P11" i="59"/>
  <c r="AA11" i="59" s="1"/>
  <c r="O11" i="59"/>
  <c r="N11" i="59"/>
  <c r="X11" i="59" s="1"/>
  <c r="Q10" i="59"/>
  <c r="P10" i="59"/>
  <c r="AA10" i="59" s="1"/>
  <c r="O10" i="59"/>
  <c r="N10" i="59"/>
  <c r="X10" i="59" s="1"/>
  <c r="Q9" i="59"/>
  <c r="AB9" i="59" s="1"/>
  <c r="P9" i="59"/>
  <c r="O9" i="59"/>
  <c r="N9" i="59"/>
  <c r="D9" i="59"/>
  <c r="O8" i="59"/>
  <c r="N8" i="59"/>
  <c r="F10" i="59" l="1"/>
  <c r="F11" i="59" s="1"/>
  <c r="F12" i="59" s="1"/>
  <c r="V12" i="59" s="1"/>
  <c r="Y10" i="59"/>
  <c r="Z10" i="59" s="1"/>
  <c r="AB10" i="59"/>
  <c r="Y11" i="59"/>
  <c r="Z11" i="59" s="1"/>
  <c r="AB11" i="59"/>
  <c r="Y12" i="59"/>
  <c r="Z12" i="59" s="1"/>
  <c r="AB12" i="59"/>
  <c r="F14" i="59"/>
  <c r="F15" i="59" s="1"/>
  <c r="F16" i="59" s="1"/>
  <c r="V16" i="59" s="1"/>
  <c r="Y14" i="59"/>
  <c r="Z14" i="59" s="1"/>
  <c r="AB14" i="59"/>
  <c r="Y15" i="59"/>
  <c r="Z15" i="59" s="1"/>
  <c r="AB15" i="59"/>
  <c r="Y16" i="59"/>
  <c r="Z16" i="59" s="1"/>
  <c r="AB16" i="59"/>
  <c r="F18" i="59"/>
  <c r="F19" i="59" s="1"/>
  <c r="F20" i="59" s="1"/>
  <c r="V20" i="59" s="1"/>
  <c r="B35" i="59"/>
  <c r="B36" i="59" s="1"/>
  <c r="S36" i="59" s="1"/>
  <c r="E46" i="59"/>
  <c r="P45" i="59" s="1"/>
  <c r="B10" i="59"/>
  <c r="B11" i="59" s="1"/>
  <c r="B12" i="59" s="1"/>
  <c r="S12" i="59" s="1"/>
  <c r="X9" i="59"/>
  <c r="E10" i="59"/>
  <c r="E11" i="59" s="1"/>
  <c r="E12" i="59" s="1"/>
  <c r="U12" i="59" s="1"/>
  <c r="AA9" i="59"/>
  <c r="B14" i="59"/>
  <c r="B15" i="59" s="1"/>
  <c r="B16" i="59" s="1"/>
  <c r="S16" i="59" s="1"/>
  <c r="X13" i="59"/>
  <c r="E14" i="59"/>
  <c r="E15" i="59" s="1"/>
  <c r="E16" i="59" s="1"/>
  <c r="U16" i="59" s="1"/>
  <c r="AA13" i="59"/>
  <c r="B18" i="59"/>
  <c r="B19" i="59" s="1"/>
  <c r="B20" i="59" s="1"/>
  <c r="S20" i="59" s="1"/>
  <c r="X17" i="59"/>
  <c r="E18" i="59"/>
  <c r="E19" i="59" s="1"/>
  <c r="E20" i="59" s="1"/>
  <c r="U20" i="59" s="1"/>
  <c r="AA17" i="59"/>
  <c r="P48" i="59"/>
  <c r="U48" i="59"/>
  <c r="C10" i="59"/>
  <c r="C11" i="59" s="1"/>
  <c r="Y9" i="59"/>
  <c r="Z9" i="59" s="1"/>
  <c r="C14" i="59"/>
  <c r="C15" i="59" s="1"/>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D10"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s="1"/>
  <c r="I9" i="58"/>
  <c r="I8" i="58"/>
  <c r="I7" i="58"/>
  <c r="I6" i="58"/>
  <c r="I5" i="58"/>
  <c r="I4" i="58"/>
  <c r="I3" i="58"/>
  <c r="I10" i="58" s="1"/>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382" i="31"/>
  <c r="S338" i="31"/>
  <c r="S298" i="31"/>
  <c r="S255" i="31"/>
  <c r="S251" i="31"/>
  <c r="S247" i="31"/>
  <c r="S243" i="31"/>
  <c r="S239" i="31"/>
  <c r="S235" i="31"/>
  <c r="S231" i="31"/>
  <c r="S227" i="31"/>
  <c r="S432" i="31"/>
  <c r="S196" i="31"/>
  <c r="S164" i="31"/>
  <c r="S132" i="31"/>
  <c r="S499" i="31"/>
  <c r="S122" i="31"/>
  <c r="S74" i="31"/>
  <c r="S92" i="31"/>
  <c r="S102" i="31"/>
  <c r="S45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S40" i="33" s="1"/>
  <c r="J41" i="33"/>
  <c r="W41" i="33" s="1"/>
  <c r="D113" i="33"/>
  <c r="F37" i="33"/>
  <c r="S37" i="33" s="1"/>
  <c r="D111" i="33"/>
  <c r="E111" i="33" s="1"/>
  <c r="F111" i="33" s="1"/>
  <c r="G111" i="33" s="1"/>
  <c r="H111" i="33" s="1"/>
  <c r="I111" i="33" s="1"/>
  <c r="J111" i="33" s="1"/>
  <c r="K111" i="33" s="1"/>
  <c r="L111" i="33" s="1"/>
  <c r="M111" i="33" s="1"/>
  <c r="S519" i="31"/>
  <c r="S523"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B95" i="36"/>
  <c r="D83" i="36"/>
  <c r="E83" i="36" s="1"/>
  <c r="D78" i="36"/>
  <c r="E78" i="36" s="1"/>
  <c r="F78" i="36" s="1"/>
  <c r="G78" i="36" s="1"/>
  <c r="H78" i="36" s="1"/>
  <c r="I78" i="36" s="1"/>
  <c r="J78" i="36" s="1"/>
  <c r="K78" i="36" s="1"/>
  <c r="L78" i="36" s="1"/>
  <c r="M78" i="36" s="1"/>
  <c r="B75" i="36"/>
  <c r="B73" i="36"/>
  <c r="B71" i="36"/>
  <c r="H23" i="36" s="1"/>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U41" i="21"/>
  <c r="AA41" i="21"/>
  <c r="W41" i="21"/>
  <c r="F45" i="39"/>
  <c r="J44" i="39"/>
  <c r="H36" i="39"/>
  <c r="AB36" i="39" s="1"/>
  <c r="S8" i="39"/>
  <c r="U38" i="39"/>
  <c r="H32" i="37"/>
  <c r="AB32" i="37" s="1"/>
  <c r="W31" i="37"/>
  <c r="U14" i="37"/>
  <c r="W30" i="37"/>
  <c r="F29" i="36"/>
  <c r="AA29" i="36" s="1"/>
  <c r="F16" i="36"/>
  <c r="S16" i="36" s="1"/>
  <c r="S23" i="36"/>
  <c r="W22" i="36"/>
  <c r="AC31" i="36"/>
  <c r="U31" i="36"/>
  <c r="H22" i="35"/>
  <c r="AB22" i="35" s="1"/>
  <c r="U9" i="35"/>
  <c r="S32" i="35"/>
  <c r="S31" i="35"/>
  <c r="W31" i="35"/>
  <c r="F36" i="34"/>
  <c r="AA36" i="34" s="1"/>
  <c r="H39" i="33"/>
  <c r="AB39" i="33" s="1"/>
  <c r="W8" i="21"/>
  <c r="H39" i="37"/>
  <c r="AB39" i="37" s="1"/>
  <c r="S27" i="35"/>
  <c r="F11" i="40"/>
  <c r="AA11" i="40" s="1"/>
  <c r="H11" i="40"/>
  <c r="AB11" i="40" s="1"/>
  <c r="U9" i="40"/>
  <c r="U34" i="40"/>
  <c r="W39" i="40"/>
  <c r="F42" i="39"/>
  <c r="AA42" i="39" s="1"/>
  <c r="F41" i="39"/>
  <c r="AA41" i="39" s="1"/>
  <c r="H40" i="39"/>
  <c r="AB40" i="39" s="1"/>
  <c r="H39" i="39"/>
  <c r="U39" i="39" s="1"/>
  <c r="H34" i="39"/>
  <c r="AB34" i="39" s="1"/>
  <c r="H31" i="39"/>
  <c r="AB31" i="39" s="1"/>
  <c r="E103" i="39"/>
  <c r="F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F37" i="39"/>
  <c r="S37" i="39" s="1"/>
  <c r="J34" i="36"/>
  <c r="W34" i="36" s="1"/>
  <c r="U30" i="36"/>
  <c r="J30" i="35"/>
  <c r="H30" i="35"/>
  <c r="AB30" i="35" s="1"/>
  <c r="F22" i="35"/>
  <c r="AA22" i="35" s="1"/>
  <c r="H10" i="35"/>
  <c r="U10" i="35" s="1"/>
  <c r="AB29" i="36"/>
  <c r="E85" i="36"/>
  <c r="F85" i="36" s="1"/>
  <c r="G85" i="36" s="1"/>
  <c r="H85" i="36" s="1"/>
  <c r="I85" i="36" s="1"/>
  <c r="J85" i="36" s="1"/>
  <c r="K85" i="36" s="1"/>
  <c r="L85" i="36" s="1"/>
  <c r="M85" i="36" s="1"/>
  <c r="J29" i="36"/>
  <c r="AC29" i="36" s="1"/>
  <c r="F12" i="36"/>
  <c r="AA12"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14" i="34"/>
  <c r="J10" i="36"/>
  <c r="AC10" i="36"/>
  <c r="AB46" i="21"/>
  <c r="U14" i="21"/>
  <c r="AC14" i="21"/>
  <c r="AC13" i="36"/>
  <c r="U32" i="36"/>
  <c r="AB45" i="33"/>
  <c r="U31" i="33"/>
  <c r="AC29" i="33"/>
  <c r="W29" i="33"/>
  <c r="U42" i="21"/>
  <c r="S33" i="21"/>
  <c r="S19" i="21"/>
  <c r="J41" i="39"/>
  <c r="W41" i="39" s="1"/>
  <c r="U36" i="39"/>
  <c r="C4" i="12"/>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07" i="31"/>
  <c r="S391" i="31"/>
  <c r="S375" i="31"/>
  <c r="S359" i="31"/>
  <c r="S343" i="31"/>
  <c r="S327" i="31"/>
  <c r="T317" i="31"/>
  <c r="T309" i="31"/>
  <c r="T301" i="31"/>
  <c r="T293" i="31"/>
  <c r="T285" i="31"/>
  <c r="T277" i="31"/>
  <c r="T269" i="31"/>
  <c r="T261" i="31"/>
  <c r="S113" i="31"/>
  <c r="S81" i="31"/>
  <c r="S97" i="31"/>
  <c r="S465" i="31"/>
  <c r="S437" i="31"/>
  <c r="S131" i="31"/>
  <c r="S147" i="31"/>
  <c r="S163" i="31"/>
  <c r="S179" i="31"/>
  <c r="S195" i="31"/>
  <c r="S211"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N102" i="43"/>
  <c r="C102" i="43"/>
  <c r="G103" i="43"/>
  <c r="K104" i="43"/>
  <c r="D103" i="43"/>
  <c r="H106" i="43"/>
  <c r="E103" i="43"/>
  <c r="M105" i="43"/>
  <c r="G4" i="47"/>
  <c r="F59" i="43"/>
  <c r="H63" i="43" s="1"/>
  <c r="G15" i="47"/>
  <c r="U15" i="37"/>
  <c r="H25" i="34"/>
  <c r="U25" i="34" s="1"/>
  <c r="AC40" i="37"/>
  <c r="AC36" i="37"/>
  <c r="S27"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AB25" i="34"/>
  <c r="I60" i="37"/>
  <c r="J10" i="37"/>
  <c r="AC10" i="37" s="1"/>
  <c r="H23" i="39"/>
  <c r="AB23" i="39" s="1"/>
  <c r="J11" i="34"/>
  <c r="W11" i="34" s="1"/>
  <c r="J27" i="33"/>
  <c r="W27" i="33" s="1"/>
  <c r="W17" i="34"/>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37" i="11"/>
  <c r="C37" i="11" s="1"/>
  <c r="M29" i="15"/>
  <c r="G1" i="61"/>
  <c r="S514" i="31" l="1"/>
  <c r="S110" i="31"/>
  <c r="S84" i="31"/>
  <c r="S58" i="31"/>
  <c r="S456" i="31"/>
  <c r="S148" i="31"/>
  <c r="S180" i="31"/>
  <c r="S212" i="31"/>
  <c r="S276" i="31"/>
  <c r="S320" i="31"/>
  <c r="S360" i="31"/>
  <c r="S402" i="31"/>
  <c r="S27" i="36"/>
  <c r="AA12" i="37"/>
  <c r="AB35" i="39"/>
  <c r="W17" i="21"/>
  <c r="AC11" i="36"/>
  <c r="AC32" i="34"/>
  <c r="AC27" i="40"/>
  <c r="J12" i="21"/>
  <c r="AC12" i="21" s="1"/>
  <c r="H9" i="21"/>
  <c r="AB9" i="21" s="1"/>
  <c r="J9" i="21"/>
  <c r="W38" i="21"/>
  <c r="AC38" i="21"/>
  <c r="H9" i="36"/>
  <c r="J9" i="36"/>
  <c r="AB22" i="36"/>
  <c r="U22" i="36"/>
  <c r="F15" i="47"/>
  <c r="B13" i="47" s="1"/>
  <c r="AC9" i="35"/>
  <c r="W9" i="35"/>
  <c r="J12" i="33"/>
  <c r="W12" i="33" s="1"/>
  <c r="H12" i="33"/>
  <c r="F9" i="36"/>
  <c r="J23" i="36"/>
  <c r="H34" i="36"/>
  <c r="F34" i="36"/>
  <c r="AA34" i="36" s="1"/>
  <c r="H33" i="36"/>
  <c r="J33" i="36"/>
  <c r="F33" i="36"/>
  <c r="S33" i="36" s="1"/>
  <c r="S31" i="36"/>
  <c r="AA31" i="36"/>
  <c r="D1" i="58"/>
  <c r="E10" i="58" s="1"/>
  <c r="S38" i="39"/>
  <c r="S34" i="40"/>
  <c r="W8" i="40"/>
  <c r="S8" i="40"/>
  <c r="U31" i="35"/>
  <c r="S30" i="37"/>
  <c r="F39" i="37"/>
  <c r="U8" i="37"/>
  <c r="J36" i="39"/>
  <c r="AC36" i="39" s="1"/>
  <c r="J45" i="39"/>
  <c r="F44" i="39"/>
  <c r="F39" i="40"/>
  <c r="F33" i="43"/>
  <c r="D4" i="47"/>
  <c r="F4" i="47" s="1"/>
  <c r="B2" i="47" s="1"/>
  <c r="C28" i="31"/>
  <c r="K100" i="43"/>
  <c r="C100" i="43"/>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5" i="31"/>
  <c r="S521" i="31"/>
  <c r="S43" i="31"/>
  <c r="S503" i="31"/>
  <c r="S483" i="31"/>
  <c r="S229" i="31"/>
  <c r="S233" i="31"/>
  <c r="S237" i="31"/>
  <c r="S241" i="31"/>
  <c r="S245" i="31"/>
  <c r="S249" i="31"/>
  <c r="S253" i="31"/>
  <c r="S257" i="31"/>
  <c r="S30" i="31"/>
  <c r="S508" i="31"/>
  <c r="S526" i="31"/>
  <c r="S524" i="31"/>
  <c r="S522" i="31"/>
  <c r="S520" i="31"/>
  <c r="S518" i="31"/>
  <c r="S510" i="31"/>
  <c r="S114" i="31"/>
  <c r="S106" i="31"/>
  <c r="S34" i="31"/>
  <c r="S88" i="31"/>
  <c r="S96" i="31"/>
  <c r="S66" i="31"/>
  <c r="S444" i="31"/>
  <c r="S140" i="31"/>
  <c r="S156" i="31"/>
  <c r="S172" i="31"/>
  <c r="S188" i="31"/>
  <c r="S204" i="31"/>
  <c r="S220" i="31"/>
  <c r="S266" i="31"/>
  <c r="S288" i="31"/>
  <c r="S308" i="31"/>
  <c r="S328" i="31"/>
  <c r="S350" i="31"/>
  <c r="S370" i="31"/>
  <c r="S392" i="31"/>
  <c r="S414" i="3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S502" i="31"/>
  <c r="S506" i="31"/>
  <c r="S516" i="31"/>
  <c r="S512" i="31"/>
  <c r="S452" i="31"/>
  <c r="S448" i="31"/>
  <c r="S112" i="31"/>
  <c r="S108" i="31"/>
  <c r="S104" i="31"/>
  <c r="S32" i="31"/>
  <c r="S82" i="31"/>
  <c r="S86" i="31"/>
  <c r="S90" i="31"/>
  <c r="S94" i="31"/>
  <c r="S98" i="31"/>
  <c r="S62" i="31"/>
  <c r="S70" i="31"/>
  <c r="S464" i="31"/>
  <c r="S118" i="31"/>
  <c r="S436"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D93" i="9"/>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35" i="31"/>
  <c r="S51" i="31"/>
  <c r="S475" i="31"/>
  <c r="S491" i="31"/>
  <c r="Y27" i="31"/>
  <c r="P51" i="15"/>
  <c r="C106" i="9"/>
  <c r="H102" i="9" s="1"/>
  <c r="B103" i="9"/>
  <c r="F101" i="9"/>
  <c r="A121" i="9"/>
  <c r="AC13" i="35"/>
  <c r="W13" i="35"/>
  <c r="U14" i="33"/>
  <c r="AB14" i="33"/>
  <c r="AC36" i="33"/>
  <c r="W36" i="33"/>
  <c r="AA25" i="33"/>
  <c r="S25" i="33"/>
  <c r="W30" i="35"/>
  <c r="AC30" i="35"/>
  <c r="U23" i="39"/>
  <c r="AB24" i="36"/>
  <c r="W40" i="40"/>
  <c r="AC15" i="21"/>
  <c r="S23" i="21"/>
  <c r="AC37" i="34"/>
  <c r="U23" i="37"/>
  <c r="AB28" i="33"/>
  <c r="S46" i="33"/>
  <c r="AA44" i="33"/>
  <c r="AC28" i="37"/>
  <c r="W28" i="37"/>
  <c r="V27" i="31"/>
  <c r="X27" i="31"/>
  <c r="X25" i="31" s="1"/>
  <c r="C36" i="57" s="1"/>
  <c r="F124" i="57" s="1"/>
  <c r="G124" i="57" s="1"/>
  <c r="F31" i="15"/>
  <c r="J100" i="43"/>
  <c r="F100" i="43"/>
  <c r="M100" i="43"/>
  <c r="I100" i="43"/>
  <c r="E100" i="43"/>
  <c r="C30" i="58"/>
  <c r="E26" i="58" s="1"/>
  <c r="C25" i="39"/>
  <c r="F26" i="33"/>
  <c r="U39" i="34"/>
  <c r="U32" i="35"/>
  <c r="H12" i="21"/>
  <c r="AB12" i="21" s="1"/>
  <c r="B74" i="43"/>
  <c r="C27" i="39"/>
  <c r="F12" i="33"/>
  <c r="F9" i="35"/>
  <c r="J25" i="37"/>
  <c r="AC25" i="37"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F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39" i="40" l="1"/>
  <c r="S39" i="40"/>
  <c r="W45" i="39"/>
  <c r="AC45" i="39"/>
  <c r="W33" i="36"/>
  <c r="AC33" i="36"/>
  <c r="AC23" i="36"/>
  <c r="W23" i="36"/>
  <c r="U12" i="33"/>
  <c r="AB12" i="33"/>
  <c r="AB9" i="36"/>
  <c r="U9" i="36"/>
  <c r="AA44" i="39"/>
  <c r="S44" i="39"/>
  <c r="S39" i="37"/>
  <c r="AA39" i="37"/>
  <c r="AB33" i="36"/>
  <c r="U33" i="36"/>
  <c r="U34" i="36"/>
  <c r="AB34" i="36"/>
  <c r="S9" i="36"/>
  <c r="AA9" i="36"/>
  <c r="AC9" i="36"/>
  <c r="W9" i="36"/>
  <c r="W9" i="21"/>
  <c r="AC9" i="21"/>
  <c r="D68" i="39"/>
  <c r="AA9" i="35"/>
  <c r="S9" i="35"/>
  <c r="S12" i="33"/>
  <c r="AA12" i="33"/>
  <c r="AA26" i="33"/>
  <c r="S26" i="3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20" i="57"/>
  <c r="C20" i="9"/>
  <c r="D119" i="57" l="1"/>
  <c r="I115" i="57"/>
  <c r="D132" i="57" s="1"/>
  <c r="D103" i="57"/>
  <c r="C56" i="11"/>
  <c r="C57" i="11" s="1"/>
  <c r="J22" i="15"/>
  <c r="J13" i="15"/>
  <c r="J23" i="15" s="1"/>
  <c r="C62" i="15"/>
  <c r="C60" i="15" s="1"/>
  <c r="C65" i="15"/>
  <c r="J34" i="15"/>
  <c r="Q68" i="15"/>
  <c r="C37" i="15"/>
  <c r="C30" i="15" s="1"/>
  <c r="C39" i="15" s="1"/>
  <c r="C57" i="15"/>
  <c r="C66" i="15" s="1"/>
  <c r="L63" i="40"/>
  <c r="K65" i="40"/>
  <c r="L68" i="39"/>
  <c r="K70" i="39"/>
  <c r="C102" i="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20" i="57"/>
  <c r="E2" i="33"/>
  <c r="E2" i="21"/>
  <c r="E2" i="11"/>
  <c r="E2" i="35"/>
  <c r="E2" i="37"/>
  <c r="E2" i="36"/>
  <c r="E2" i="34"/>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B2" i="15" l="1"/>
  <c r="B3" i="15"/>
  <c r="Q64" i="15"/>
  <c r="Q73" i="15" s="1"/>
  <c r="Q55" i="15"/>
  <c r="Q60" i="15" s="1"/>
  <c r="D22" i="57"/>
  <c r="D102" i="57"/>
  <c r="G19" i="57"/>
  <c r="C105" i="57" s="1"/>
  <c r="C101" i="9"/>
  <c r="H7" i="40"/>
  <c r="F7" i="40"/>
  <c r="J7" i="40"/>
  <c r="H7" i="39"/>
  <c r="F7" i="39"/>
  <c r="J7" i="39"/>
  <c r="D20" i="9"/>
  <c r="D19" i="9"/>
  <c r="G20" i="9" l="1"/>
  <c r="R27" i="31" s="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T27" i="31"/>
  <c r="R28" i="31"/>
  <c r="S27" i="31"/>
  <c r="C32" i="9"/>
  <c r="G47" i="40"/>
  <c r="H47" i="40" s="1"/>
  <c r="G46" i="40"/>
  <c r="H46" i="40" s="1"/>
  <c r="I46" i="40"/>
  <c r="J46" i="40" s="1"/>
  <c r="R48" i="39"/>
  <c r="E47" i="39"/>
  <c r="R43" i="40"/>
  <c r="E42" i="40"/>
  <c r="G51" i="39"/>
  <c r="H51" i="39" s="1"/>
  <c r="G52" i="39"/>
  <c r="H52" i="39" s="1"/>
  <c r="S28" i="31" l="1"/>
  <c r="D15" i="62" s="1"/>
  <c r="T28" i="31"/>
  <c r="T25" i="31"/>
  <c r="E46" i="40"/>
  <c r="F46" i="40" s="1"/>
  <c r="E47" i="40"/>
  <c r="F47" i="40" s="1"/>
  <c r="I52" i="39"/>
  <c r="J52" i="39" s="1"/>
  <c r="E51" i="39"/>
  <c r="F51" i="39" s="1"/>
  <c r="E52" i="39"/>
  <c r="F52" i="39" s="1"/>
  <c r="C42" i="40"/>
  <c r="C43" i="40"/>
  <c r="C47" i="39"/>
  <c r="C48" i="39"/>
  <c r="I47" i="40"/>
  <c r="J47" i="40" s="1"/>
  <c r="S25" i="31" l="1"/>
  <c r="B23" i="31" s="1"/>
  <c r="B2" i="31" s="1"/>
  <c r="C33" i="57" s="1"/>
  <c r="H124" i="57" s="1"/>
  <c r="E15" i="62"/>
  <c r="F15"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4" i="31" s="1"/>
  <c r="B3" i="31" s="1"/>
  <c r="C34" i="57" s="1"/>
  <c r="I124" i="57" s="1"/>
  <c r="C107" i="57" s="1"/>
  <c r="I103" i="57"/>
  <c r="H125" i="57"/>
  <c r="C106" i="57"/>
  <c r="D109" i="57"/>
  <c r="F61" i="40"/>
  <c r="B2" i="40" s="1"/>
  <c r="B3" i="40" s="1"/>
  <c r="F66" i="39"/>
  <c r="B2" i="39" s="1"/>
  <c r="B3" i="39" s="1"/>
  <c r="I104" i="57" l="1"/>
  <c r="D110" i="57"/>
  <c r="D115" i="57"/>
  <c r="D116" i="57" s="1"/>
  <c r="I112" i="57" s="1"/>
  <c r="D129" i="57" s="1"/>
  <c r="D120" i="57"/>
  <c r="I116" i="57" s="1"/>
  <c r="I113" i="57"/>
  <c r="I111" i="57"/>
  <c r="D128" i="57" s="1"/>
  <c r="M49" i="57"/>
  <c r="D46" i="57"/>
  <c r="C79" i="57" l="1"/>
  <c r="C74" i="57" s="1"/>
  <c r="C86" i="57"/>
  <c r="C94" i="57"/>
  <c r="C87" i="57" s="1"/>
  <c r="D56" i="57"/>
  <c r="M54" i="57" s="1"/>
  <c r="D53" i="57"/>
  <c r="D54" i="57"/>
  <c r="D49" i="57" s="1"/>
  <c r="M53" i="57" s="1"/>
  <c r="C73" i="57"/>
  <c r="C80" i="57" s="1"/>
  <c r="C65" i="57"/>
  <c r="C64" i="57" s="1"/>
  <c r="C68" i="57" s="1"/>
  <c r="C69" i="57" s="1"/>
  <c r="D55" i="57" s="1"/>
  <c r="M50" i="57"/>
  <c r="D130" i="57"/>
  <c r="M56" i="9"/>
  <c r="D130" i="9"/>
  <c r="D13" i="52" s="1"/>
  <c r="C96" i="57" l="1"/>
  <c r="L69" i="57"/>
  <c r="M69" i="57" s="1"/>
  <c r="L67" i="57"/>
  <c r="M67" i="57" s="1"/>
  <c r="L65" i="57"/>
  <c r="M65" i="57" s="1"/>
  <c r="L68" i="57"/>
  <c r="M68" i="57" s="1"/>
  <c r="L66" i="57"/>
  <c r="M66" i="57" s="1"/>
  <c r="L64" i="57"/>
  <c r="M64" i="57" s="1"/>
  <c r="M70" i="57" s="1"/>
  <c r="N70" i="57" s="1"/>
  <c r="C81" i="57"/>
  <c r="E81" i="57" s="1"/>
  <c r="E82" i="57" s="1"/>
  <c r="D35" i="9"/>
  <c r="C35" i="9" s="1"/>
  <c r="C82" i="57" l="1"/>
  <c r="C97" i="57"/>
  <c r="E97" i="57" s="1"/>
  <c r="E98" i="57" s="1"/>
  <c r="C34" i="9"/>
  <c r="D34" i="9"/>
  <c r="C98" i="57" l="1"/>
  <c r="D59" i="57" s="1"/>
  <c r="D57" i="57" s="1"/>
  <c r="M55" i="57" s="1"/>
  <c r="N58" i="57" s="1"/>
  <c r="I112" i="9"/>
  <c r="D114" i="9"/>
  <c r="D115" i="9" s="1"/>
  <c r="P58" i="57" l="1"/>
  <c r="N59" i="57"/>
  <c r="N60" i="57"/>
  <c r="I113" i="9"/>
  <c r="D41" i="50"/>
  <c r="B63" i="60" s="1"/>
  <c r="D39" i="50"/>
  <c r="D40" i="50" s="1"/>
  <c r="D18" i="50"/>
  <c r="D127" i="9"/>
  <c r="M49" i="9"/>
  <c r="D10" i="52" l="1"/>
  <c r="H14" i="62"/>
  <c r="B7" i="62" s="1"/>
  <c r="N62" i="57"/>
  <c r="N61" i="57"/>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E121" i="9"/>
  <c r="E4" i="52" s="1"/>
  <c r="B38" i="60" s="1"/>
  <c r="G121" i="9"/>
  <c r="G4" i="52" s="1"/>
  <c r="B41" i="60" s="1"/>
  <c r="I121" i="9"/>
  <c r="C104" i="9" s="1"/>
  <c r="D8" i="62" l="1"/>
  <c r="C8" i="62"/>
  <c r="H121" i="9"/>
  <c r="D14" i="62" s="1"/>
  <c r="F121" i="9"/>
  <c r="D121" i="9"/>
  <c r="D107" i="9"/>
  <c r="I103" i="9"/>
  <c r="I4" i="52"/>
  <c r="E14" i="62" l="1"/>
  <c r="B5" i="62"/>
  <c r="F14" i="62"/>
  <c r="F122" i="9"/>
  <c r="F5" i="52" s="1"/>
  <c r="B42" i="60" s="1"/>
  <c r="F4" i="52"/>
  <c r="B40" i="60" s="1"/>
  <c r="D30" i="50"/>
  <c r="D9" i="50"/>
  <c r="B21" i="60" s="1"/>
  <c r="D122" i="9"/>
  <c r="D5" i="52" s="1"/>
  <c r="B39" i="60" s="1"/>
  <c r="D4" i="52"/>
  <c r="B37" i="60" s="1"/>
  <c r="C103" i="9"/>
  <c r="H122" i="9"/>
  <c r="H5" i="52" s="1"/>
  <c r="D106" i="9"/>
  <c r="D112" i="9" s="1"/>
  <c r="H4" i="52"/>
  <c r="I102" i="9"/>
  <c r="C5" i="62" l="1"/>
  <c r="D5" i="62"/>
  <c r="M48" i="9"/>
  <c r="I110" i="9"/>
  <c r="D7" i="50"/>
  <c r="D28" i="50"/>
  <c r="D29" i="50" s="1"/>
  <c r="D45" i="9"/>
  <c r="D117" i="9"/>
  <c r="D113" i="9"/>
  <c r="D36" i="50" l="1"/>
  <c r="D37" i="50" s="1"/>
  <c r="D125" i="9"/>
  <c r="D15" i="50"/>
  <c r="D44" i="50"/>
  <c r="I115" i="9"/>
  <c r="D23" i="50" s="1"/>
  <c r="B34" i="60" s="1"/>
  <c r="D38" i="50"/>
  <c r="B62" i="60" s="1"/>
  <c r="I111" i="9"/>
  <c r="C78" i="9"/>
  <c r="C73" i="9" s="1"/>
  <c r="C93" i="9"/>
  <c r="C86" i="9" s="1"/>
  <c r="C72" i="9"/>
  <c r="D53" i="9"/>
  <c r="D48" i="9" s="1"/>
  <c r="M52" i="9" s="1"/>
  <c r="C85" i="9"/>
  <c r="D52" i="9"/>
  <c r="D59" i="9"/>
  <c r="M55" i="9" s="1"/>
  <c r="D55" i="9"/>
  <c r="M53" i="9" s="1"/>
  <c r="C64" i="9"/>
  <c r="C63" i="9" s="1"/>
  <c r="C67" i="9" s="1"/>
  <c r="C68" i="9" s="1"/>
  <c r="D54" i="9" s="1"/>
  <c r="B19" i="60"/>
  <c r="D8" i="50"/>
  <c r="B22" i="60" s="1"/>
  <c r="D8" i="52" l="1"/>
  <c r="G14" i="62"/>
  <c r="B6" i="62" s="1"/>
  <c r="C79" i="9"/>
  <c r="C80" i="9" s="1"/>
  <c r="E80" i="9" s="1"/>
  <c r="E81" i="9" s="1"/>
  <c r="C95" i="9"/>
  <c r="C96" i="9" s="1"/>
  <c r="E96" i="9" s="1"/>
  <c r="E97" i="9" s="1"/>
  <c r="D17" i="50"/>
  <c r="D126" i="9"/>
  <c r="D9" i="52" s="1"/>
  <c r="B29" i="60"/>
  <c r="D16" i="50"/>
  <c r="B30" i="60" s="1"/>
  <c r="C81" i="9" l="1"/>
  <c r="D6" i="62"/>
  <c r="C6" i="62"/>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<sst xmlns="http://schemas.openxmlformats.org/spreadsheetml/2006/main" count="7561" uniqueCount="2902">
  <si>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</si>
  <si>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</si>
  <si>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</si>
  <si>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</si>
  <si>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</si>
  <si>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</si>
  <si>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</si>
  <si>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</si>
  <si>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</si>
  <si>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</si>
  <si>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</si>
  <si>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</si>
  <si>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</si>
  <si>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</si>
  <si>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</si>
  <si>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</si>
  <si>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</si>
  <si>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</si>
  <si>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</si>
  <si>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</si>
  <si>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</si>
  <si>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</si>
  <si>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</si>
  <si>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</si>
  <si>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</si>
  <si>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</si>
  <si>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</si>
  <si>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</si>
  <si>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</si>
  <si>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</si>
  <si>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</si>
  <si>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</si>
  <si>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</si>
  <si>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</si>
  <si>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</si>
  <si>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</si>
  <si>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</si>
  <si>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</si>
  <si>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</si>
  <si>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</si>
  <si>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</si>
  <si>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</si>
  <si>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</si>
  <si>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</si>
  <si>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</si>
  <si>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</si>
  <si>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</si>
  <si>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</si>
  <si>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</si>
  <si>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</si>
  <si>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</si>
  <si>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</si>
  <si>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</si>
  <si>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</si>
  <si>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</si>
  <si>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</si>
  <si>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</si>
  <si>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</si>
  <si>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</si>
  <si>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</si>
  <si>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</si>
  <si>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</si>
  <si>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</si>
  <si>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</si>
  <si>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</si>
  <si>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</si>
  <si>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</si>
  <si>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</si>
  <si>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</si>
  <si>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</si>
  <si>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</si>
  <si>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</si>
  <si>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</si>
  <si>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</si>
  <si>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</si>
  <si>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</si>
  <si>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</si>
  <si>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</si>
  <si>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</si>
  <si>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</si>
  <si>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</si>
  <si>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</si>
  <si>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</si>
  <si>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</si>
  <si>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</si>
  <si>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</si>
  <si>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</si>
  <si>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</si>
  <si>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</si>
  <si>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</si>
  <si>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</si>
  <si>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</si>
  <si>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</si>
  <si>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</si>
  <si>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</si>
  <si>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</si>
  <si>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</si>
  <si>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</si>
  <si>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</si>
  <si>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</si>
  <si>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</si>
  <si>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</si>
  <si>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</si>
  <si>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</si>
  <si>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</si>
  <si>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</si>
  <si>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</si>
  <si>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</si>
  <si>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</si>
  <si>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</si>
  <si>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</si>
  <si>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</si>
  <si>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</si>
  <si>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</si>
  <si>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</si>
  <si>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</si>
  <si>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</si>
  <si>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</si>
  <si>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</si>
  <si>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</si>
  <si>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</si>
  <si>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</si>
  <si>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</si>
  <si>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</si>
  <si>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</si>
  <si>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</si>
  <si>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</si>
  <si>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</si>
  <si>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</si>
  <si>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</si>
  <si>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</si>
  <si>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</si>
  <si>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</si>
  <si>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</si>
  <si>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</si>
  <si>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</si>
  <si>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</si>
  <si>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</si>
  <si>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</si>
  <si>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</si>
  <si>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</si>
  <si>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</si>
  <si>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</si>
  <si>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</si>
  <si>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</si>
  <si>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</si>
  <si>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</si>
  <si>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</si>
  <si>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</si>
  <si>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</si>
  <si>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</si>
  <si>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</si>
  <si>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</si>
  <si>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</si>
  <si>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</si>
  <si>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</si>
  <si>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</si>
  <si>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</si>
  <si>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</si>
  <si>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</si>
  <si>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</si>
  <si>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</si>
  <si>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</si>
  <si>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</si>
  <si>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</si>
  <si>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</si>
  <si>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</si>
  <si>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</si>
  <si>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</si>
  <si>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</si>
  <si>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</si>
  <si>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</si>
  <si>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</si>
  <si>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</si>
  <si>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</si>
  <si>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</si>
  <si>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</si>
  <si>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</si>
  <si>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</si>
  <si>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</si>
  <si>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</si>
  <si>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</si>
  <si>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</si>
  <si>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</si>
  <si>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</si>
  <si>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</si>
  <si>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</si>
  <si>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</si>
  <si>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</si>
  <si>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</si>
  <si>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</si>
  <si>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</si>
  <si>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</si>
  <si>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</si>
  <si>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</si>
  <si>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</si>
  <si>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</si>
  <si>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</si>
  <si>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</si>
  <si>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</si>
  <si>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</si>
  <si>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</si>
  <si>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</si>
  <si>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</si>
  <si>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</si>
  <si>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</si>
  <si>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</si>
  <si>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</si>
  <si>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</si>
  <si>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</si>
  <si>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</si>
  <si>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</si>
  <si>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</si>
  <si>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</si>
  <si>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</si>
  <si>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</si>
  <si>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</si>
  <si>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</si>
  <si>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</si>
  <si>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</si>
  <si>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</si>
  <si>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</si>
  <si>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</si>
  <si>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</si>
  <si>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</si>
  <si>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</si>
  <si>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</si>
  <si>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</si>
  <si>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</si>
  <si>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</si>
  <si>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</si>
  <si>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</si>
  <si>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</si>
  <si>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</si>
  <si>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</si>
  <si>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</si>
  <si>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</si>
  <si>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</si>
  <si>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</si>
  <si>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</si>
  <si>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</si>
  <si>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</si>
  <si>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</si>
  <si>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</si>
  <si>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</si>
  <si>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</si>
  <si>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</si>
  <si>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</si>
  <si>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</si>
  <si>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</si>
  <si>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</si>
  <si>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</si>
  <si>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</si>
  <si>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</si>
  <si>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</si>
  <si>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</si>
  <si>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</si>
  <si>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</si>
  <si>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</si>
  <si>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</si>
  <si>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</si>
  <si>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</si>
  <si>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</si>
  <si>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</si>
  <si>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</si>
  <si>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</si>
  <si>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</si>
  <si>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</si>
  <si>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</si>
  <si>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</si>
  <si>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</si>
  <si>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</si>
  <si>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</si>
  <si>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</si>
  <si>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</si>
  <si>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</si>
  <si>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</si>
  <si>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</si>
  <si>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</si>
  <si>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</si>
  <si>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</si>
  <si>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</si>
  <si>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</si>
  <si>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</si>
  <si>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</si>
  <si>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</si>
  <si>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</si>
  <si>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</si>
  <si>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</si>
  <si>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</si>
  <si>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</si>
  <si>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</si>
  <si>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</si>
  <si>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</si>
  <si>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</si>
  <si>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</si>
  <si>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</si>
  <si>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</si>
  <si>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</si>
  <si>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</si>
  <si>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</si>
  <si>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</si>
  <si>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</si>
  <si>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</si>
  <si>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</si>
  <si>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</si>
  <si>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</si>
  <si>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</si>
  <si>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</si>
  <si>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</si>
  <si>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</si>
  <si>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</si>
  <si>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</si>
  <si>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</si>
  <si>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</si>
  <si>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</si>
  <si>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</si>
  <si>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</si>
  <si>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</si>
  <si>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</si>
  <si>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</si>
  <si>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</si>
  <si>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</si>
  <si>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</si>
  <si>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</si>
  <si>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</si>
  <si>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</si>
  <si>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</si>
  <si>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</si>
  <si>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</si>
  <si>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</si>
  <si>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</si>
  <si>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</si>
  <si>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</si>
  <si>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</si>
  <si>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</si>
  <si>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</si>
  <si>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</si>
  <si>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</si>
  <si>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</si>
  <si>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</si>
  <si>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</si>
  <si>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</si>
  <si>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</si>
  <si>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</si>
  <si>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</si>
  <si>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</si>
  <si>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</si>
  <si>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</si>
  <si>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</si>
  <si>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</si>
  <si>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</si>
  <si>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</si>
  <si>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</si>
  <si>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</si>
  <si>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</si>
  <si>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</si>
  <si>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</si>
  <si>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</si>
  <si>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</si>
  <si>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</si>
  <si>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</si>
  <si>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</si>
  <si>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</si>
  <si>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</si>
  <si>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</si>
  <si>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</si>
  <si>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</si>
  <si>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</si>
  <si>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</si>
  <si>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</si>
  <si>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</si>
  <si>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</si>
  <si>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</si>
  <si>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</si>
  <si>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</si>
  <si>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</si>
  <si>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</si>
  <si>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</si>
  <si>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</si>
  <si>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</si>
  <si>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</si>
  <si>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</si>
  <si>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</si>
  <si>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</si>
  <si>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</si>
  <si>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</si>
  <si>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</si>
  <si>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</si>
  <si>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</si>
  <si>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</si>
  <si>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</si>
  <si>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</si>
  <si>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</si>
  <si>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</si>
  <si>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</si>
  <si>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</si>
  <si>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</si>
  <si>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</si>
  <si>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</si>
  <si>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</si>
  <si>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</si>
  <si>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</si>
  <si>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</si>
  <si>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</si>
  <si>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</si>
  <si>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</si>
  <si>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</si>
  <si>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</si>
  <si>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</si>
  <si>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</si>
  <si>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</si>
  <si>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</si>
  <si>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</si>
  <si>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</si>
  <si>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</si>
  <si>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</si>
  <si>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</si>
  <si>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</si>
  <si>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</si>
  <si>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</si>
  <si>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</si>
  <si>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</si>
  <si>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</si>
  <si>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</si>
  <si>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</si>
  <si>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</si>
  <si>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</si>
  <si>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</si>
  <si>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</si>
  <si>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</si>
  <si>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</si>
  <si>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</si>
  <si>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</si>
  <si>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</si>
  <si>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</si>
  <si>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</si>
  <si>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</si>
  <si>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</si>
  <si>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</si>
  <si>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</si>
  <si>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</si>
  <si>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</si>
  <si>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</si>
  <si>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</si>
  <si>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</si>
  <si>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</si>
  <si>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</si>
  <si>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</si>
  <si>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</si>
  <si>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</si>
  <si>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</si>
  <si>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</si>
  <si>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</si>
  <si>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</si>
  <si>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</si>
  <si>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</si>
  <si>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</si>
  <si>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</si>
  <si>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</si>
  <si>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</si>
  <si>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</si>
  <si>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</si>
  <si>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</si>
  <si>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</si>
  <si>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</si>
  <si>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</si>
  <si>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</si>
  <si>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</si>
  <si>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</si>
  <si>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</si>
  <si>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</si>
  <si>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</si>
  <si>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</si>
  <si>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</si>
  <si>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</si>
  <si>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</si>
  <si>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</si>
  <si>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</si>
  <si>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</si>
  <si>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</si>
  <si>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</si>
  <si>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</si>
  <si>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</si>
  <si>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</si>
  <si>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</si>
  <si>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</si>
  <si>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</si>
  <si>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</si>
  <si>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</si>
  <si>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</si>
  <si>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</si>
  <si>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</si>
  <si>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</si>
  <si>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</si>
  <si>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</si>
  <si>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</si>
  <si>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</si>
  <si>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</si>
  <si>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</si>
  <si>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</si>
  <si>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</si>
  <si>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</si>
  <si>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</si>
  <si>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</si>
  <si>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</si>
  <si>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</si>
  <si>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</si>
  <si>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</si>
  <si>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</si>
  <si>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</si>
  <si>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</si>
  <si>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</si>
  <si>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</si>
  <si>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</si>
  <si>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</si>
  <si>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</si>
  <si>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</si>
  <si>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</si>
  <si>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</si>
  <si>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</si>
  <si>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</si>
  <si>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</si>
  <si>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</si>
  <si>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</si>
  <si>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</si>
  <si>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</si>
  <si>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</si>
  <si>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</si>
  <si>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</si>
  <si>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</si>
  <si>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</si>
  <si>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</si>
  <si>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</si>
  <si>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</si>
  <si>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</si>
  <si>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</si>
  <si>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</si>
  <si>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</si>
  <si>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</si>
  <si>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</si>
  <si>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</si>
  <si>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</si>
  <si>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</si>
  <si>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</si>
  <si>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</si>
  <si>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</si>
  <si>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</si>
  <si>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</si>
  <si>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</si>
  <si>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</si>
  <si>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</si>
  <si>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</si>
  <si>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</si>
  <si>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</si>
  <si>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</si>
  <si>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</si>
  <si>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</si>
  <si>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</si>
  <si>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</si>
  <si>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</si>
  <si>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</si>
  <si>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</si>
  <si>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</si>
  <si>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</si>
  <si>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</si>
  <si>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</si>
  <si>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</si>
  <si>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</si>
  <si>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</si>
  <si>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</si>
  <si>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</si>
  <si>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</si>
  <si>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</si>
  <si>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</si>
  <si>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</si>
  <si>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</si>
  <si>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</si>
  <si>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</si>
  <si>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</si>
  <si>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</si>
  <si>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</si>
  <si>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</si>
  <si>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</si>
  <si>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</si>
  <si>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</si>
  <si>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</si>
  <si>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</si>
  <si>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</si>
  <si>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</si>
  <si>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</si>
  <si>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</si>
  <si>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</si>
  <si>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</si>
  <si>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</si>
  <si>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</si>
  <si>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</si>
  <si>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</si>
  <si>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</si>
  <si>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</si>
  <si>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</si>
  <si>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</si>
  <si>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</si>
  <si>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</si>
  <si>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</si>
  <si>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</si>
  <si>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</si>
  <si>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</si>
  <si>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</si>
  <si>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</si>
  <si>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</si>
  <si>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</si>
  <si>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</si>
  <si>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</si>
  <si>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</si>
  <si>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</si>
  <si>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</si>
  <si>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</si>
  <si>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</si>
  <si>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</si>
  <si>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</si>
  <si>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</si>
  <si>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</si>
  <si>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</si>
  <si>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</si>
  <si>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</si>
  <si>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</si>
  <si>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</si>
  <si>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</si>
  <si>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</si>
  <si>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</si>
  <si>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</si>
  <si>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</si>
  <si>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</si>
  <si>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</si>
  <si>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</si>
  <si>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</si>
  <si>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</si>
  <si>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</si>
  <si>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</si>
  <si>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</si>
  <si>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</si>
  <si>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</si>
  <si>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</si>
  <si>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</si>
  <si>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</si>
  <si>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</si>
  <si>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</si>
  <si>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</si>
  <si>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</si>
  <si>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</si>
  <si>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</si>
  <si>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</si>
  <si>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</si>
  <si>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</si>
  <si>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</si>
  <si>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</si>
  <si>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</si>
  <si>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</si>
  <si>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</si>
  <si>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</si>
  <si>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</si>
  <si>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</si>
  <si>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</si>
  <si>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</si>
  <si>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</si>
  <si>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</si>
  <si>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</si>
  <si>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</si>
  <si>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</si>
  <si>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</si>
  <si>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</si>
  <si>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</si>
  <si>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</si>
  <si>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</si>
  <si>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</si>
  <si>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</si>
  <si>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</si>
  <si>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</si>
  <si>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</si>
  <si>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</si>
  <si>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</si>
  <si>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</si>
  <si>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</si>
  <si>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</si>
  <si>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</si>
  <si>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</si>
  <si>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</si>
  <si>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</si>
  <si>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</si>
  <si>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</si>
  <si>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</si>
  <si>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</si>
  <si>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</si>
  <si>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</si>
  <si>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</si>
  <si>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</si>
  <si>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</si>
  <si>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</si>
  <si>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</si>
  <si>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</si>
  <si>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</si>
  <si>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</si>
  <si>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</si>
  <si>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</si>
  <si>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</si>
  <si>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</si>
  <si>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</si>
  <si>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</si>
  <si>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</si>
  <si>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</si>
  <si>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</si>
  <si>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</si>
  <si>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</si>
  <si>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</si>
  <si>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</si>
  <si>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</si>
  <si>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</si>
  <si>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</si>
  <si>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</si>
  <si>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</si>
  <si>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</si>
  <si>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</si>
  <si>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</si>
  <si>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</si>
  <si>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</si>
  <si>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</si>
  <si>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</si>
  <si>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</si>
  <si>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</si>
  <si>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</si>
  <si>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</si>
  <si>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</si>
  <si>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</si>
  <si>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</si>
  <si>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</si>
  <si>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</si>
  <si>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</si>
  <si>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</si>
  <si>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</si>
  <si>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</si>
  <si>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</si>
  <si>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</si>
  <si>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</si>
  <si>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</si>
  <si>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</si>
  <si>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</si>
  <si>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</si>
  <si>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</si>
  <si>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</si>
  <si>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</si>
  <si>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</si>
  <si>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</si>
  <si>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</si>
  <si>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</si>
  <si>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</si>
  <si>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</si>
  <si>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</si>
  <si>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</si>
  <si>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</si>
  <si>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</si>
  <si>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</si>
  <si>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</si>
  <si>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</si>
  <si>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</si>
  <si>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</si>
  <si>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</si>
  <si>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</si>
  <si>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</si>
  <si>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</si>
  <si>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</si>
  <si>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</si>
  <si>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</si>
  <si>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</si>
  <si>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</si>
  <si>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</si>
  <si>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</si>
  <si>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</si>
  <si>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</si>
  <si>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</si>
  <si>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</si>
  <si>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</si>
  <si>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</si>
  <si>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</si>
  <si>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</si>
  <si>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</si>
  <si>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</si>
  <si>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</si>
  <si>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</si>
  <si>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</si>
  <si>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</si>
  <si>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</si>
  <si>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</si>
  <si>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</si>
  <si>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</si>
  <si>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</si>
  <si>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</si>
  <si>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</si>
  <si>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</si>
  <si>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</si>
  <si>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</si>
  <si>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</si>
  <si>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</si>
  <si>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</si>
  <si>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</si>
  <si>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</si>
  <si>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</si>
  <si>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</si>
  <si>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</si>
  <si>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</si>
  <si>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</si>
  <si>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</si>
  <si>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</si>
  <si>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</si>
  <si>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</si>
  <si>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</si>
  <si>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</si>
  <si>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</si>
  <si>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</si>
  <si>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</si>
  <si>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</si>
  <si>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</si>
  <si>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</si>
  <si>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</si>
  <si>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</si>
  <si>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</si>
  <si>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</si>
  <si>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</si>
  <si>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</si>
  <si>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</si>
  <si>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</si>
  <si>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</si>
  <si>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</si>
  <si>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</si>
  <si>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</si>
  <si>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</si>
  <si>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</si>
  <si>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</si>
  <si>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</si>
  <si>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</si>
  <si>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</si>
  <si>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</si>
  <si>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</si>
  <si>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</si>
  <si>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</si>
  <si>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</si>
  <si>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</si>
  <si>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</si>
  <si>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</si>
  <si>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</si>
  <si>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</si>
  <si>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</si>
  <si>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</si>
  <si>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</si>
  <si>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</si>
  <si>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</si>
  <si>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</si>
  <si>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</si>
  <si>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</si>
  <si>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</si>
  <si>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</si>
  <si>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</si>
  <si>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</si>
  <si>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</si>
  <si>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</si>
  <si>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</si>
  <si>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</si>
  <si>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</si>
  <si>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</si>
  <si>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</si>
  <si>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</si>
  <si>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</si>
  <si>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</si>
  <si>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</si>
  <si>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</si>
  <si>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</si>
  <si>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</si>
  <si>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</si>
  <si>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</si>
  <si>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</si>
  <si>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</si>
  <si>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</si>
  <si>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</si>
  <si>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</si>
  <si>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</si>
  <si>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</si>
  <si>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</si>
  <si>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</si>
  <si>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</si>
  <si>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</si>
  <si>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</si>
  <si>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</si>
  <si>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</si>
  <si>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</si>
  <si>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</si>
  <si>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</si>
  <si>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</si>
  <si>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</si>
  <si>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</si>
  <si>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</si>
  <si>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</si>
  <si>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</si>
  <si>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</si>
  <si>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</si>
  <si>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</si>
  <si>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</si>
  <si>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</si>
  <si>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</si>
  <si>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</si>
  <si>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</si>
  <si>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</si>
  <si>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</si>
  <si>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</si>
  <si>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</si>
  <si>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</si>
  <si>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</si>
  <si>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</si>
  <si>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</si>
  <si>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</si>
  <si>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</si>
  <si>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</si>
  <si>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</si>
  <si>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</si>
  <si>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</si>
  <si>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</si>
  <si>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</si>
  <si>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</si>
  <si>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</si>
  <si>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</si>
  <si>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</si>
  <si>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</si>
  <si>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</si>
  <si>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</si>
  <si>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</si>
  <si>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</si>
  <si>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</si>
  <si>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</si>
  <si>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</si>
  <si>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</si>
  <si>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</si>
  <si>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</si>
  <si>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</si>
  <si>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</si>
  <si>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</si>
  <si>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</si>
  <si>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</si>
  <si>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</si>
  <si>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</si>
  <si>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</si>
  <si>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</si>
  <si>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</si>
  <si>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</si>
  <si>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</si>
  <si>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</si>
  <si>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</si>
  <si>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</si>
  <si>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</si>
  <si>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</si>
  <si>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</si>
  <si>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</si>
  <si>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</si>
  <si>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</si>
  <si>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</si>
  <si>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</si>
  <si>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</si>
  <si>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</si>
  <si>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</si>
  <si>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</si>
  <si>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</si>
  <si>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</si>
  <si>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</si>
  <si>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</si>
  <si>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</si>
  <si>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</si>
  <si>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</si>
  <si>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</si>
  <si>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</si>
  <si>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</si>
  <si>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</si>
  <si>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</si>
  <si>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</si>
  <si>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</si>
  <si>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</si>
  <si>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</si>
  <si>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</si>
  <si>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</si>
  <si>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</si>
  <si>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</si>
  <si>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</si>
  <si>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</si>
  <si>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</si>
  <si>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</si>
  <si>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</si>
  <si>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</si>
  <si>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</si>
  <si>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</si>
  <si>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</si>
  <si>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</si>
  <si>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</si>
  <si>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</si>
  <si>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</si>
  <si>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</si>
  <si>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</si>
  <si>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</si>
  <si>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</si>
  <si>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</si>
  <si>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</si>
  <si>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</si>
  <si>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</si>
  <si>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</si>
  <si>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</si>
  <si>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</si>
  <si>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</si>
  <si>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</si>
  <si>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</si>
  <si>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</si>
  <si>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</si>
  <si>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</si>
  <si>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</si>
  <si>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</si>
  <si>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</si>
  <si>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</si>
  <si>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</si>
  <si>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</si>
  <si>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</si>
  <si>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</si>
  <si>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</si>
  <si>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</si>
  <si>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</si>
  <si>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</si>
  <si>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</si>
  <si>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</si>
  <si>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</si>
  <si>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</si>
  <si>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</si>
  <si>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</si>
  <si>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</si>
  <si>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</si>
  <si>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</si>
  <si>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</si>
  <si>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</si>
  <si>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</si>
  <si>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</si>
  <si>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</si>
  <si>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</si>
  <si>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</si>
  <si>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</si>
  <si>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</si>
  <si>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</si>
  <si>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</si>
  <si>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</si>
  <si>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</si>
  <si>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</si>
  <si>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</si>
  <si>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</si>
  <si>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</si>
  <si>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</si>
  <si>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</si>
  <si>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</si>
  <si>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</si>
  <si>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</si>
  <si>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</si>
  <si>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</si>
  <si>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</si>
  <si>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</si>
  <si>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</si>
  <si>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</si>
  <si>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</si>
  <si>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</si>
  <si>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</si>
  <si>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</si>
  <si>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</si>
  <si>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</si>
  <si>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</si>
  <si>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</si>
  <si>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</si>
  <si>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</si>
  <si>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</si>
  <si>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</si>
  <si>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</si>
  <si>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</si>
  <si>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</si>
  <si>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</si>
  <si>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</si>
  <si>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</si>
  <si>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</si>
  <si>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</si>
  <si>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</si>
  <si>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</si>
  <si>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</si>
  <si>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</si>
  <si>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</si>
  <si>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</si>
  <si>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</si>
  <si>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</si>
  <si>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</si>
  <si>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</si>
  <si>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</si>
  <si>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</si>
  <si>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</si>
  <si>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</si>
  <si>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</si>
  <si>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</si>
  <si>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</si>
  <si>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</si>
  <si>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</si>
  <si>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</si>
  <si>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</si>
  <si>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</si>
  <si>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</si>
  <si>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</si>
  <si>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</si>
  <si>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</si>
  <si>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</si>
  <si>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</si>
  <si>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</si>
  <si>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</si>
  <si>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</si>
  <si>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</si>
  <si>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</si>
  <si>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</si>
  <si>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</si>
  <si>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</si>
  <si>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</si>
  <si>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</si>
  <si>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</si>
  <si>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</si>
  <si>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</si>
  <si>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</si>
  <si>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</si>
  <si>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</si>
  <si>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</si>
  <si>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</si>
  <si>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</si>
  <si>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</si>
  <si>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</si>
  <si>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</si>
  <si>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</si>
  <si>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</si>
  <si>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</si>
  <si>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</si>
  <si>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</si>
  <si>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</si>
  <si>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</si>
  <si>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</si>
  <si>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</si>
  <si>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</si>
  <si>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</si>
  <si>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</si>
  <si>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</si>
  <si>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</si>
  <si>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</si>
  <si>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</si>
  <si>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</si>
  <si>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</si>
  <si>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</si>
  <si>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</si>
  <si>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</si>
  <si>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</si>
  <si>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</si>
  <si>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</si>
  <si>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</si>
  <si>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</si>
  <si>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</si>
  <si>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</si>
  <si>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</si>
  <si>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</si>
  <si>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</si>
  <si>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</si>
  <si>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</si>
  <si>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</si>
  <si>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</si>
  <si>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</si>
  <si>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</si>
  <si>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</si>
  <si>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</si>
  <si>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</si>
  <si>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</si>
  <si>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</si>
  <si>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</si>
  <si>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</si>
  <si>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</si>
  <si>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</si>
  <si>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</si>
  <si>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</si>
  <si>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</si>
  <si>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</si>
  <si>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</si>
  <si>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</si>
  <si>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</si>
  <si>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</si>
  <si>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</si>
  <si>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</si>
  <si>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</si>
  <si>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</si>
  <si>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</si>
  <si>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</si>
  <si>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</si>
  <si>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</si>
  <si>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</si>
  <si>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</si>
  <si>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</si>
  <si>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</si>
  <si>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</si>
  <si>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</si>
  <si>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</si>
  <si>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</si>
  <si>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</si>
  <si>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</si>
  <si>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</si>
  <si>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</si>
  <si>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</si>
  <si>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</si>
  <si>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</si>
  <si>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</si>
  <si>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</si>
  <si>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</si>
  <si>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</si>
  <si>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</si>
  <si>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</si>
  <si>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</si>
  <si>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</si>
  <si>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</si>
  <si>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</si>
  <si>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</si>
  <si>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</si>
  <si>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</si>
  <si>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</si>
  <si>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</si>
  <si>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</si>
  <si>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</si>
  <si>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</si>
  <si>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</si>
  <si>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</si>
  <si>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</si>
  <si>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</si>
  <si>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</si>
  <si>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</si>
  <si>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</si>
  <si>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</si>
  <si>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</si>
  <si>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</si>
  <si>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</si>
  <si>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</si>
  <si>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</si>
  <si>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</si>
  <si>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</si>
  <si>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</si>
  <si>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</si>
  <si>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</si>
  <si>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</si>
  <si>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</si>
  <si>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</si>
  <si>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</si>
  <si>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</si>
  <si>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</si>
  <si>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</si>
  <si>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</si>
  <si>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</si>
  <si>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</si>
  <si>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</si>
  <si>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</si>
  <si>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</si>
  <si>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</si>
  <si>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</si>
  <si>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</si>
  <si>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</si>
  <si>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</si>
  <si>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</si>
  <si>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</si>
  <si>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</si>
  <si>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</si>
  <si>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</si>
  <si>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</si>
  <si>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</si>
  <si>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</si>
  <si>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</si>
  <si>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</si>
  <si>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</si>
  <si>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</si>
  <si>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</si>
  <si>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</si>
  <si>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</si>
  <si>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</si>
  <si>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</si>
  <si>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</si>
  <si>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</si>
  <si>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</si>
  <si>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</si>
  <si>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</si>
  <si>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</si>
  <si>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</si>
  <si>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</si>
  <si>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</si>
  <si>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</si>
  <si>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</si>
  <si>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</si>
  <si>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</si>
  <si>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</si>
  <si>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</si>
  <si>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</si>
  <si>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</si>
  <si>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</si>
  <si>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</si>
  <si>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</si>
  <si>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</si>
  <si>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</si>
  <si>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</si>
  <si>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</si>
  <si>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</si>
  <si>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</si>
  <si>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</si>
  <si>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</si>
  <si>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</si>
  <si>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</si>
  <si>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</si>
  <si>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</si>
  <si>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</si>
  <si>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</si>
  <si>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</si>
  <si>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</si>
  <si>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</si>
  <si>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</si>
  <si>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</si>
  <si>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</si>
  <si>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</si>
  <si>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</si>
  <si>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</si>
  <si>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</si>
  <si>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</si>
  <si>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</si>
  <si>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</si>
  <si>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</si>
  <si>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</si>
  <si>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</si>
  <si>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</si>
  <si>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</si>
  <si>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</si>
  <si>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</si>
  <si>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</si>
  <si>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</si>
  <si>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</si>
  <si>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</si>
  <si>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</si>
  <si>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</si>
  <si>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</si>
  <si>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</si>
  <si>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</si>
  <si>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</si>
  <si>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</si>
  <si>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</si>
  <si>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</si>
  <si>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</si>
  <si>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</si>
  <si>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</si>
  <si>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</si>
  <si>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</si>
  <si>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</si>
  <si>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</si>
  <si>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</si>
  <si>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</si>
  <si>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</si>
  <si>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</si>
  <si>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</si>
  <si>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</si>
  <si>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</si>
  <si>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</si>
  <si>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</si>
  <si>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</si>
  <si>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</si>
  <si>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</si>
  <si>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</si>
  <si>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</si>
  <si>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</si>
  <si>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</si>
  <si>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</si>
  <si>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</si>
  <si>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</si>
  <si>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</si>
  <si>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</si>
  <si>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</si>
  <si>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</si>
  <si>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</si>
  <si>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</si>
  <si>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</si>
  <si>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</si>
  <si>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</si>
  <si>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</si>
  <si>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</si>
  <si>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</si>
  <si>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</si>
  <si>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</si>
  <si>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</si>
  <si>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</si>
  <si>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</si>
  <si>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</si>
  <si>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</si>
  <si>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</si>
  <si>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</si>
  <si>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</si>
  <si>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</si>
  <si>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</si>
  <si>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</si>
  <si>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</si>
  <si>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</si>
  <si>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</si>
  <si>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</si>
  <si>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</si>
  <si>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</si>
  <si>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</si>
  <si>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</si>
  <si>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</si>
  <si>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</si>
  <si>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</si>
  <si>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</si>
  <si>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</si>
  <si>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</si>
  <si>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</si>
  <si>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</si>
  <si>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</si>
  <si>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</si>
  <si>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</si>
  <si>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</si>
  <si>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</si>
  <si>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</si>
  <si>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</si>
  <si>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</si>
  <si>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</si>
  <si>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</si>
  <si>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</si>
  <si>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</si>
  <si>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</si>
  <si>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</si>
  <si>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</si>
  <si>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</si>
  <si>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</si>
  <si>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</si>
  <si>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</si>
  <si>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</si>
  <si>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</si>
  <si>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</si>
  <si>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</si>
  <si>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</si>
  <si>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</si>
  <si>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</si>
  <si>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</si>
  <si>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</si>
  <si>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</si>
  <si>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</si>
  <si>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</si>
  <si>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</si>
  <si>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</si>
  <si>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</si>
  <si>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</si>
  <si>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</si>
  <si>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</si>
  <si>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</si>
  <si>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</si>
  <si>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</si>
  <si>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</si>
  <si>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</si>
  <si>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</si>
  <si>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</si>
  <si>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</si>
  <si>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</si>
  <si>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</si>
  <si>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</si>
  <si>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</si>
  <si>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</si>
  <si>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</si>
  <si>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</si>
  <si>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</si>
  <si>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</si>
  <si>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</si>
  <si>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</si>
  <si>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</si>
  <si>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</si>
  <si>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</si>
  <si>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</si>
  <si>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</si>
  <si>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</si>
  <si>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</si>
  <si>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</si>
  <si>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</si>
  <si>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</si>
  <si>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</si>
  <si>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</si>
  <si>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</si>
  <si>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</si>
  <si>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</si>
  <si>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</si>
  <si>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</si>
  <si>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</si>
  <si>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</si>
  <si>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</si>
  <si>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</si>
  <si>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</si>
  <si>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</si>
  <si>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</si>
  <si>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</si>
  <si>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</si>
  <si>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</si>
  <si>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</si>
  <si>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</si>
  <si>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</si>
  <si>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</si>
  <si>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</si>
  <si>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</si>
  <si>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</si>
  <si>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</si>
  <si>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</si>
  <si>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</si>
  <si>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</si>
  <si>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</si>
  <si>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</si>
  <si>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</si>
  <si>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</si>
  <si>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</si>
  <si>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</si>
  <si>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</si>
  <si>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</si>
  <si>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</si>
  <si>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</si>
  <si>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</si>
  <si>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</si>
  <si>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</si>
  <si>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</si>
  <si>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</si>
  <si>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</si>
  <si>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</si>
  <si>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</si>
  <si>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</si>
  <si>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</si>
  <si>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</si>
  <si>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</si>
  <si>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</si>
  <si>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</si>
  <si>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</si>
  <si>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</si>
  <si>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</si>
  <si>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</si>
  <si>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</si>
  <si>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</si>
  <si>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</si>
  <si>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</si>
  <si>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</si>
  <si>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</si>
  <si>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</si>
  <si>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</si>
  <si>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</si>
  <si>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</si>
  <si>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</si>
  <si>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</si>
  <si>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</si>
  <si>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</si>
  <si>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</si>
  <si>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</si>
  <si>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</si>
  <si>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</si>
  <si>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</si>
  <si>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</si>
  <si>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</si>
  <si>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</si>
  <si>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</si>
  <si>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</si>
  <si>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</si>
  <si>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</si>
  <si>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</si>
  <si>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</si>
  <si>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</si>
  <si>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</si>
  <si>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</si>
  <si>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</si>
  <si>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</si>
  <si>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</si>
  <si>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</si>
  <si>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</si>
  <si>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</si>
  <si>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</si>
  <si>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</si>
  <si>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</si>
  <si>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</si>
  <si>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</si>
  <si>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</si>
  <si>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</si>
  <si>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</si>
  <si>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</si>
  <si>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</si>
  <si>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</si>
  <si>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</si>
  <si>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</si>
  <si>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</si>
  <si>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</si>
  <si>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</si>
  <si>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</si>
  <si>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</si>
  <si>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</si>
  <si>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</si>
  <si>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</si>
  <si>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</si>
  <si>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</si>
  <si>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</si>
  <si>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</si>
  <si>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</si>
  <si>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</si>
  <si>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</si>
  <si>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</si>
  <si>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</si>
  <si>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</si>
  <si>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</si>
  <si>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</si>
  <si>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</si>
  <si>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</si>
  <si>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</si>
  <si>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</si>
  <si>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</si>
  <si>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</si>
  <si>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</si>
  <si>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</si>
  <si>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</si>
  <si>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</si>
  <si>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</si>
  <si>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</si>
  <si>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</si>
  <si>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</si>
  <si>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</si>
  <si>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</si>
  <si>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</si>
  <si>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</si>
  <si>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</si>
  <si>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</si>
  <si>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</si>
  <si>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</si>
  <si>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</si>
  <si>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</si>
  <si>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</si>
  <si>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</si>
  <si>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</si>
  <si>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</si>
  <si>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</si>
  <si>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</si>
  <si>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</si>
  <si>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</si>
  <si>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</si>
  <si>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</si>
  <si>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</si>
  <si>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</si>
  <si>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</si>
  <si>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</si>
  <si>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</si>
  <si>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</si>
  <si>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</si>
  <si>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</si>
  <si>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</si>
  <si>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</si>
  <si>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</si>
  <si>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</si>
  <si>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</si>
  <si>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</si>
  <si>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</si>
  <si>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</si>
  <si>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</si>
  <si>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</si>
  <si>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</si>
  <si>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</si>
  <si>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</si>
  <si>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</si>
  <si>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</si>
  <si>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</si>
  <si>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</si>
  <si>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</si>
  <si>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</si>
  <si>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</si>
  <si>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</si>
  <si>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</si>
  <si>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</si>
  <si>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</si>
  <si>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</si>
  <si>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</si>
  <si>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</si>
  <si>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</si>
  <si>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</si>
  <si>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</si>
  <si>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</si>
  <si>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</si>
  <si>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</si>
  <si>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</si>
  <si>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</si>
  <si>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</si>
  <si>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</si>
  <si>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</si>
  <si>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</si>
  <si>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</si>
  <si>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</si>
  <si>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</si>
  <si>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</si>
  <si>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</si>
  <si>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</si>
  <si>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</si>
  <si>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</si>
  <si>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</si>
  <si>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</si>
  <si>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</si>
  <si>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</si>
  <si>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</si>
  <si>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</si>
  <si>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</si>
  <si>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</si>
  <si>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</si>
  <si>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</si>
  <si>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</si>
  <si>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</si>
  <si>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</si>
  <si>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</si>
  <si>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</si>
  <si>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</si>
  <si>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</si>
  <si>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</si>
  <si>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</si>
  <si>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</si>
  <si>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</si>
  <si>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</si>
  <si>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</si>
  <si>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</si>
  <si>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</si>
  <si>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</si>
  <si>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</si>
  <si>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</si>
  <si>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</si>
  <si>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</si>
  <si>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</si>
  <si>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</si>
  <si>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</si>
  <si>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</si>
  <si>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</si>
  <si>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</si>
  <si>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</si>
  <si>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</si>
  <si>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</si>
  <si>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</si>
  <si>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</si>
  <si>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</si>
  <si>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</si>
  <si>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</si>
  <si>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</si>
  <si>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</si>
  <si>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</si>
  <si>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</si>
  <si>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</si>
  <si>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</si>
  <si>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</si>
  <si>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</si>
  <si>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</si>
  <si>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</si>
  <si>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</si>
  <si>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</si>
  <si>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</si>
  <si>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</si>
  <si>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</si>
  <si>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</si>
  <si>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</si>
  <si>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</si>
  <si>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</si>
  <si>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</si>
  <si>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</si>
  <si>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</si>
  <si>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</si>
  <si>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</si>
  <si>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</si>
  <si>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</si>
  <si>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</si>
  <si>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</si>
  <si>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</si>
  <si>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</si>
  <si>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</si>
  <si>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</si>
  <si>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</si>
  <si>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</si>
  <si>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</si>
  <si>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</si>
  <si>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</si>
  <si>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</si>
  <si>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</si>
  <si>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</si>
  <si>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</si>
  <si>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</si>
  <si>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</si>
  <si>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</si>
  <si>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</si>
  <si>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</si>
  <si>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</si>
  <si>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</si>
  <si>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</si>
  <si>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</si>
  <si>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</si>
  <si>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</si>
  <si>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</si>
  <si>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</si>
  <si>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</si>
  <si>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</si>
  <si>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</si>
  <si>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</si>
  <si>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</si>
  <si>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</si>
  <si>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</si>
  <si>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</si>
  <si>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</si>
  <si>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</si>
  <si>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</si>
  <si>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</si>
  <si>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</si>
  <si>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</si>
  <si>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</si>
  <si>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</si>
  <si>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</si>
  <si>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</si>
  <si>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</si>
  <si>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</si>
  <si>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</si>
  <si>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</si>
  <si>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</si>
  <si>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</si>
  <si>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</si>
  <si>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</si>
  <si>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</si>
  <si>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</si>
  <si>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</si>
  <si>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</si>
  <si>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</si>
  <si>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</si>
  <si>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</si>
  <si>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</si>
  <si>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</si>
  <si>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</si>
  <si>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</si>
  <si>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</si>
  <si>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</si>
  <si>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</si>
  <si>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</si>
  <si>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</si>
  <si>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</si>
  <si>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</si>
  <si>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</si>
  <si>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</si>
  <si>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</si>
  <si>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</si>
  <si>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</si>
  <si>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</si>
  <si>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</si>
  <si>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</si>
  <si>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</si>
  <si>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</si>
  <si>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</si>
  <si>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</si>
  <si>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</si>
  <si>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</si>
  <si>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</si>
  <si>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</si>
  <si>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</si>
  <si>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</si>
  <si>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</si>
  <si>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</si>
  <si>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</si>
  <si>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</si>
  <si>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</si>
  <si>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</si>
  <si>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</si>
  <si>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</si>
  <si>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</si>
  <si>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</si>
  <si>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</si>
  <si>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</si>
  <si>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</si>
  <si>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</si>
  <si>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</si>
  <si>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</si>
  <si>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</si>
  <si>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</si>
  <si>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</si>
  <si>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</si>
  <si>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</si>
  <si>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</si>
  <si>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</si>
  <si>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</si>
  <si>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</si>
  <si>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</si>
  <si>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</si>
  <si>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</si>
  <si>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</si>
  <si>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</si>
  <si>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</si>
  <si>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</si>
  <si>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</si>
  <si>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</si>
  <si>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</si>
  <si>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</si>
  <si>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</si>
  <si>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</si>
  <si>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</si>
  <si>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</si>
  <si>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</si>
  <si>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</si>
  <si>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</si>
  <si>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</si>
  <si>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</si>
  <si>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</si>
  <si>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</si>
  <si>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</si>
  <si>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</si>
  <si>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</si>
  <si>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</si>
  <si>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</si>
  <si>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</si>
  <si>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</si>
  <si>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</si>
  <si>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</si>
  <si>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</si>
  <si>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</si>
  <si>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</si>
  <si>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</si>
  <si>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</si>
  <si>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</si>
  <si>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</si>
  <si>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</si>
  <si>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</si>
  <si>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</si>
  <si>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</si>
  <si>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</si>
  <si>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</si>
  <si>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</si>
  <si>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</si>
  <si>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</si>
  <si>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</si>
  <si>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</si>
  <si>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</si>
  <si>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</si>
  <si>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</si>
  <si>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</si>
  <si>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</si>
  <si>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</si>
  <si>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</si>
  <si>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</si>
  <si>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</si>
  <si>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</si>
  <si>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</si>
  <si>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</si>
  <si>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</si>
  <si>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</si>
  <si>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</si>
  <si>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</si>
  <si>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</si>
  <si>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</si>
  <si>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</si>
  <si>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</si>
  <si>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</si>
  <si>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</si>
  <si>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</si>
  <si>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</si>
  <si>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</si>
  <si>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</si>
  <si>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</si>
  <si>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</si>
  <si>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</si>
  <si>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</si>
  <si>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</si>
  <si>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</si>
  <si>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</si>
  <si>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</si>
  <si>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</si>
  <si>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</si>
  <si>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</si>
  <si>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</si>
  <si>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</si>
  <si>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</si>
  <si>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</si>
  <si>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</si>
  <si>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</si>
  <si>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</si>
  <si>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</si>
  <si>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</si>
  <si>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</si>
  <si>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</si>
  <si>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</si>
  <si>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</si>
  <si>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</si>
  <si>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</si>
  <si>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</si>
  <si>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</si>
  <si>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</si>
  <si>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</si>
  <si>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</si>
  <si>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</si>
  <si>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</si>
  <si>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</si>
  <si>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</si>
  <si>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</si>
  <si>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</si>
  <si>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</si>
  <si>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</si>
  <si>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</si>
  <si>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</si>
  <si>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</si>
  <si>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</si>
  <si>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</si>
  <si>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</si>
  <si>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</si>
  <si>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</si>
  <si>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</si>
  <si>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</si>
  <si>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</si>
  <si>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</si>
  <si>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</si>
  <si>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</si>
  <si>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</si>
  <si>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</si>
  <si>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</si>
  <si>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</si>
  <si>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</si>
  <si>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</si>
  <si>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</si>
  <si>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</si>
  <si>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</si>
  <si>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</si>
  <si>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</si>
  <si>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</si>
  <si>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</si>
  <si>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</si>
  <si>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</si>
  <si>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</si>
  <si>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</si>
  <si>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</si>
  <si>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</si>
  <si>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</si>
  <si>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</si>
  <si>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</si>
  <si>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</si>
  <si>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</si>
  <si>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</si>
  <si>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</si>
  <si>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</si>
  <si>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</si>
  <si>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</si>
  <si>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</si>
  <si>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</si>
  <si>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</si>
  <si>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</si>
  <si>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</si>
  <si>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</si>
  <si>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</si>
  <si>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</si>
  <si>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</si>
  <si>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</si>
  <si>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</si>
  <si>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</si>
  <si>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</si>
  <si>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</si>
  <si>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</si>
  <si>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</si>
  <si>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</si>
  <si>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</si>
  <si>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</si>
  <si>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</si>
  <si>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</si>
  <si>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</si>
  <si>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</si>
  <si>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</si>
  <si>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</si>
  <si>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</si>
  <si>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</si>
  <si>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</si>
  <si>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</si>
  <si>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</si>
  <si>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</si>
  <si>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</si>
  <si>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</si>
  <si>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</si>
  <si>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</si>
  <si>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</si>
  <si>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</si>
  <si>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</si>
  <si>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</si>
  <si>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</si>
  <si>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</si>
  <si>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</si>
  <si>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</si>
  <si>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</si>
  <si>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</si>
  <si>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</si>
  <si>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</si>
  <si>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</si>
  <si>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</si>
  <si>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</si>
  <si>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</si>
  <si>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</si>
  <si>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</si>
  <si>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</si>
  <si>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</si>
  <si>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</si>
  <si>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</si>
  <si>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</si>
  <si>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</si>
  <si>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</si>
  <si>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</si>
  <si>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</si>
  <si>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</si>
  <si>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</si>
  <si>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</si>
  <si>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</si>
  <si>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</si>
  <si>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</si>
  <si>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</si>
  <si>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</si>
  <si>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</si>
  <si>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</si>
  <si>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</si>
  <si>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</si>
  <si>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</si>
  <si>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</si>
  <si>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</si>
  <si>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</si>
  <si>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</si>
  <si>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</si>
  <si>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</si>
  <si>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</si>
  <si>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</si>
  <si>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</si>
  <si>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</si>
  <si>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</si>
  <si>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</si>
  <si>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</si>
  <si>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</si>
  <si>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</si>
  <si>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</si>
  <si>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</si>
  <si>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</si>
  <si>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</si>
  <si>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</si>
  <si>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</si>
  <si>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</si>
  <si>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</si>
  <si>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</si>
  <si>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</si>
  <si>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</si>
  <si>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</si>
  <si>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</si>
  <si>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</si>
  <si>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</si>
  <si>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</si>
  <si>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</si>
  <si>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</si>
  <si>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</si>
  <si>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</si>
  <si>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</si>
  <si>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</si>
  <si>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</si>
  <si>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</si>
  <si>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</si>
  <si>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</si>
  <si>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</si>
  <si>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</si>
  <si>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</si>
  <si>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</si>
  <si>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</si>
  <si>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</si>
  <si>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</si>
  <si>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</si>
  <si>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</si>
  <si>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</si>
  <si>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</si>
  <si>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</si>
  <si>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</si>
  <si>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</si>
  <si>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</si>
  <si>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</si>
  <si>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</si>
  <si>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</si>
  <si>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</si>
  <si>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</si>
  <si>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</si>
  <si>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</si>
  <si>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</si>
  <si>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</si>
  <si>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</si>
  <si>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</si>
  <si>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</si>
  <si>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</si>
  <si>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</si>
  <si>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</si>
  <si>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</si>
  <si>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</si>
  <si>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</si>
  <si>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</si>
  <si>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</si>
  <si>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</si>
  <si>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</si>
  <si>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</si>
  <si>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</si>
  <si>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</si>
  <si>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</si>
  <si>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</si>
  <si>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</si>
  <si>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</si>
  <si>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</si>
  <si>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</si>
  <si>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</si>
  <si>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</si>
  <si>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</si>
  <si>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</si>
  <si>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</si>
  <si>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</si>
  <si>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</si>
  <si>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</si>
  <si>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</si>
  <si>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</si>
  <si>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</si>
  <si>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</si>
  <si>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</si>
  <si>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</si>
  <si>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</si>
  <si>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</si>
  <si>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</si>
  <si>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</si>
  <si>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</si>
  <si>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</si>
  <si>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</si>
  <si>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</si>
  <si>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</si>
  <si>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</si>
  <si>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</si>
  <si>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</si>
  <si>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</si>
  <si>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</si>
  <si>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</si>
  <si>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</si>
  <si>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</si>
  <si>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</si>
  <si>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</si>
  <si>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</si>
  <si>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</si>
  <si>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</si>
  <si>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</si>
  <si>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</si>
  <si>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</si>
  <si>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</si>
  <si>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</si>
  <si>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</si>
  <si>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</si>
  <si>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</si>
  <si>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</si>
  <si>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</si>
  <si>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</si>
  <si>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</si>
  <si>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</si>
  <si>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</si>
  <si>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</si>
  <si>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</si>
  <si>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</si>
  <si>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</si>
  <si>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</si>
  <si>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</si>
  <si>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</si>
  <si>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</si>
  <si>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</si>
  <si>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</si>
  <si>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</si>
  <si>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</si>
  <si>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</si>
  <si>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</si>
  <si>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</si>
  <si>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</si>
  <si>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</si>
  <si>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</si>
  <si>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</si>
  <si>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</si>
  <si>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</si>
  <si>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</si>
  <si>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</si>
  <si>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</si>
  <si>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</si>
  <si>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</si>
  <si>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</si>
  <si>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</si>
  <si>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</si>
  <si>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</si>
  <si>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</si>
  <si>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</si>
  <si>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</si>
  <si>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</si>
  <si>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</si>
  <si>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</si>
  <si>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</si>
  <si>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</si>
  <si>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</si>
  <si>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</si>
  <si>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</si>
  <si>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</si>
  <si>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</si>
  <si>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</si>
  <si>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</si>
  <si>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</si>
  <si>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</si>
  <si>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</si>
  <si>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</si>
  <si>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</si>
  <si>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</si>
  <si>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</si>
  <si>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</si>
  <si>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</si>
  <si>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</si>
  <si>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</si>
  <si>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</si>
  <si>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</si>
  <si>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</si>
  <si>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</si>
  <si>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</si>
  <si>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</si>
  <si>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</si>
  <si>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</si>
  <si>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</si>
  <si>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</si>
  <si>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</si>
  <si>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</si>
  <si>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</si>
  <si>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</si>
  <si>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</si>
  <si>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</si>
  <si>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</si>
  <si>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</si>
  <si>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</si>
  <si>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</si>
  <si>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</si>
  <si>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</si>
  <si>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</si>
  <si>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</si>
  <si>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</si>
  <si>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</si>
  <si>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</si>
  <si>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</si>
  <si>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</si>
  <si>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</si>
  <si>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</si>
  <si>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</si>
  <si>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</si>
  <si>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</si>
  <si>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</si>
  <si>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</si>
  <si>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</si>
  <si>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</si>
  <si>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</si>
  <si>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</si>
  <si>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</si>
  <si>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</si>
  <si>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</si>
  <si>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</si>
  <si>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</si>
  <si>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</si>
  <si>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</si>
  <si>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</si>
  <si>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</si>
  <si>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</si>
  <si>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</si>
  <si>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</si>
  <si>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</si>
  <si>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</si>
  <si>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</si>
  <si>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</si>
  <si>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</si>
  <si>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</si>
  <si>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</si>
  <si>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</si>
  <si>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</si>
  <si>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</si>
  <si>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</si>
  <si>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</si>
  <si>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</si>
  <si>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</si>
  <si>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</si>
  <si>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</si>
  <si>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</si>
  <si>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</si>
  <si>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</si>
  <si>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</si>
  <si>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</si>
  <si>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</si>
  <si>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</si>
  <si>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</si>
  <si>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</si>
  <si>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</si>
  <si>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</si>
  <si>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</si>
  <si>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</si>
  <si>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</si>
  <si>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</si>
  <si>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</si>
  <si>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</si>
  <si>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</si>
  <si>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</si>
  <si>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</si>
  <si>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</si>
  <si>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</si>
  <si>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</si>
  <si>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</si>
  <si>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</si>
  <si>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</si>
  <si>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</si>
  <si>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</si>
  <si>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</si>
  <si>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</si>
  <si>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</si>
  <si>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</si>
  <si>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</si>
  <si>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</si>
  <si>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</si>
  <si>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</si>
  <si>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</si>
  <si>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</si>
  <si>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</si>
  <si>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</si>
  <si>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</si>
  <si>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</si>
  <si>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</si>
  <si>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</si>
  <si>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</si>
  <si>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</si>
  <si>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</si>
  <si>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</si>
  <si>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</si>
  <si>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</si>
  <si>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</si>
  <si>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</si>
  <si>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</si>
  <si>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</si>
  <si>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</si>
  <si>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</si>
  <si>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</si>
  <si>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</si>
  <si>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</si>
  <si>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</si>
  <si>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</si>
  <si>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</si>
  <si>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</si>
  <si>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</si>
  <si>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</si>
  <si>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</si>
  <si>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</si>
  <si>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</si>
  <si>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</si>
  <si>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</si>
  <si>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</si>
  <si>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</si>
  <si>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</si>
  <si>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</si>
  <si>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</si>
  <si>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</si>
  <si>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</si>
  <si>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</si>
  <si>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</si>
  <si>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</si>
  <si>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</si>
  <si>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</si>
  <si>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</si>
  <si>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</si>
  <si>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</si>
  <si>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</si>
  <si>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</si>
  <si>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</si>
  <si>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</si>
  <si>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</si>
  <si>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</si>
  <si>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</si>
  <si>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</si>
  <si>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</si>
  <si>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</si>
  <si>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</si>
  <si>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</si>
  <si>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</si>
  <si>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</si>
  <si>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</si>
  <si>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</si>
  <si>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</si>
  <si>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</si>
  <si>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</si>
  <si>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</si>
  <si>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</si>
  <si>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</si>
  <si>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</si>
  <si>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</si>
  <si>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</si>
  <si>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</si>
  <si>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</si>
  <si>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</si>
  <si>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</si>
  <si>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</si>
  <si>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</si>
  <si>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</si>
  <si>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</si>
  <si>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</si>
  <si>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</si>
  <si>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</si>
  <si>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</si>
  <si>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</si>
  <si>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</si>
  <si>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</si>
  <si>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</si>
  <si>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</si>
  <si>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</si>
  <si>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</si>
  <si>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</si>
  <si>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</si>
  <si>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</si>
  <si>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</si>
  <si>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</si>
  <si>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</si>
  <si>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</si>
  <si>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</si>
  <si>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</si>
  <si>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</si>
  <si>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</si>
  <si>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</si>
  <si>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</si>
  <si>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</si>
  <si>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</si>
  <si>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</si>
  <si>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</si>
  <si>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</si>
  <si>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</si>
  <si>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</si>
  <si>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</si>
  <si>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</si>
  <si>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</si>
  <si>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</si>
  <si>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</si>
  <si>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</si>
  <si>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</si>
  <si>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</si>
  <si>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</si>
  <si>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</si>
  <si>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</si>
  <si>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</si>
  <si>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</si>
  <si>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</si>
  <si>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</si>
  <si>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</si>
  <si>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</si>
  <si>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</si>
  <si>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</si>
  <si>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</si>
  <si>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</si>
  <si>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</si>
  <si>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</si>
  <si>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</si>
  <si>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</si>
  <si>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</si>
  <si>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</si>
  <si>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</si>
  <si>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</si>
  <si>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</si>
  <si>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</si>
  <si>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</si>
  <si>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</si>
  <si>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</si>
  <si>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</si>
  <si>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</si>
  <si>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</si>
  <si>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</si>
  <si>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</si>
  <si>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</si>
  <si>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</si>
  <si>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</si>
  <si>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</si>
  <si>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</si>
  <si>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</si>
  <si>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</si>
  <si>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</si>
  <si>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</si>
  <si>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</si>
  <si>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</si>
  <si>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</si>
  <si>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</si>
  <si>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</si>
  <si>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</si>
  <si>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</si>
  <si>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</si>
  <si>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</si>
  <si>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</si>
  <si>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</si>
  <si>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</si>
  <si>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</si>
  <si>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</si>
  <si>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</si>
  <si>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</si>
  <si>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</si>
  <si>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</si>
  <si>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</si>
  <si>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</si>
  <si>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</si>
  <si>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</si>
  <si>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</si>
  <si>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</si>
  <si>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</si>
  <si>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</si>
  <si>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</si>
  <si>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</si>
  <si>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</si>
  <si>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</si>
  <si>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</si>
  <si>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</si>
  <si>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</si>
  <si>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</si>
  <si>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</si>
  <si>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</si>
  <si>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</si>
  <si>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</si>
  <si>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</si>
  <si>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</si>
  <si>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</si>
  <si>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</si>
  <si>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</si>
  <si>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</si>
  <si>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</si>
  <si>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</si>
  <si>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</si>
  <si>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</si>
  <si>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</si>
  <si>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</si>
  <si>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</si>
  <si>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</si>
  <si>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</si>
  <si>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</si>
  <si>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</si>
  <si>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</si>
  <si>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</si>
  <si>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</si>
  <si>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</si>
  <si>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</si>
  <si>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</si>
  <si>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</si>
  <si>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</si>
  <si>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</si>
  <si>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</si>
  <si>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</si>
  <si>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</si>
  <si>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</si>
  <si>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</si>
  <si>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</si>
  <si>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</si>
  <si>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</si>
  <si>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</si>
  <si>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</si>
  <si>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</si>
  <si>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</si>
  <si>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</si>
  <si>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</si>
  <si>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</si>
  <si>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</si>
  <si>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</si>
  <si>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</si>
  <si>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</si>
  <si>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</si>
  <si>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</si>
  <si>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</si>
  <si>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</si>
  <si>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</si>
  <si>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</si>
  <si>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</si>
  <si>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</si>
  <si>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</si>
  <si>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</si>
  <si>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</si>
  <si>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</si>
  <si>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</si>
  <si>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</si>
  <si>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</si>
  <si>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</si>
  <si>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</si>
  <si>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</si>
  <si>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</si>
  <si>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</si>
  <si>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</si>
  <si>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</si>
  <si>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</si>
  <si>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</si>
  <si>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</si>
  <si>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</si>
  <si>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</si>
  <si>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</si>
  <si>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</si>
  <si>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</si>
  <si>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</si>
  <si>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</si>
  <si>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</si>
  <si>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</si>
  <si>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</si>
  <si>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</si>
  <si>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</si>
  <si>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</si>
  <si>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</si>
  <si>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</si>
  <si>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</si>
  <si>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</si>
  <si>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</si>
  <si>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</si>
  <si>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</si>
  <si>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</si>
  <si>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</si>
  <si>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</si>
  <si>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</si>
  <si>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</si>
  <si>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</si>
  <si>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</si>
  <si>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</si>
  <si>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</si>
  <si>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</si>
  <si>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</si>
  <si>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</si>
  <si>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</si>
  <si>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</si>
  <si>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</si>
  <si>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</si>
  <si>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</si>
  <si>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</si>
  <si>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</si>
  <si>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</si>
  <si>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</si>
  <si>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</si>
  <si>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</si>
  <si>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</si>
  <si>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</si>
  <si>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</si>
  <si>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</si>
  <si>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</si>
  <si>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</si>
  <si>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</si>
  <si>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</si>
  <si>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</si>
  <si>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</si>
  <si>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</si>
  <si>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</si>
  <si>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</si>
  <si>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</si>
  <si>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</si>
  <si>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</si>
  <si>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</si>
  <si>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</si>
  <si>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</si>
  <si>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</si>
  <si>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</si>
  <si>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</si>
  <si>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</si>
  <si>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</si>
  <si>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</si>
  <si>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</si>
  <si>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</si>
  <si>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</si>
  <si>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</si>
  <si>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</si>
  <si>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</si>
  <si>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</si>
  <si>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</si>
  <si>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</si>
  <si>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</si>
  <si>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</si>
  <si>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</si>
  <si>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</si>
  <si>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</si>
  <si>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</si>
  <si>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</si>
  <si>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</si>
  <si>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</si>
  <si>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</si>
  <si>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</si>
  <si>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</si>
  <si>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</si>
  <si>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</si>
  <si>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</si>
  <si>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</si>
  <si>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</si>
  <si>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</si>
  <si>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</si>
  <si>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</si>
  <si>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</si>
  <si>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</si>
  <si>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</si>
  <si>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</si>
  <si>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</si>
  <si>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</si>
  <si>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</si>
  <si>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</si>
  <si>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</si>
  <si>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</si>
  <si>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</si>
  <si>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</si>
  <si>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</si>
  <si>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</si>
  <si>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</si>
  <si>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</si>
  <si>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</si>
  <si>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</si>
  <si>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</si>
  <si>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</si>
  <si>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</si>
  <si>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</si>
  <si>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</si>
  <si>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</si>
  <si>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</si>
  <si>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</si>
  <si>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</si>
  <si>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</si>
  <si>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</si>
  <si>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</si>
  <si>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</si>
  <si>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</si>
  <si>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2017-1-1081-F01HDZC1</t>
    <phoneticPr fontId="7" type="noConversion"/>
  </si>
  <si>
    <t>欧红伟</t>
  </si>
  <si>
    <t>梁津</t>
  </si>
  <si>
    <t>滇虹药业集团股份有限公司</t>
    <phoneticPr fontId="7" type="noConversion"/>
  </si>
  <si>
    <t>核定资产</t>
  </si>
  <si>
    <t>房地产市场价值</t>
  </si>
  <si>
    <t>其他：</t>
  </si>
  <si>
    <t>重庆市</t>
    <phoneticPr fontId="7" type="noConversion"/>
  </si>
  <si>
    <t>企业</t>
  </si>
  <si>
    <t>与房产证证载一致</t>
  </si>
  <si>
    <t>住宅</t>
  </si>
  <si>
    <t>住宅</t>
    <phoneticPr fontId="7" type="noConversion"/>
  </si>
  <si>
    <t>已核对原件</t>
  </si>
  <si>
    <t>元</t>
  </si>
  <si>
    <t>楼面单价</t>
  </si>
  <si>
    <t>是</t>
  </si>
  <si>
    <t>无租约</t>
  </si>
  <si>
    <r>
      <t>101</t>
    </r>
    <r>
      <rPr>
        <sz val="10"/>
        <color indexed="8"/>
        <rFont val="宋体"/>
        <family val="3"/>
        <charset val="134"/>
      </rPr>
      <t>房地证</t>
    </r>
    <r>
      <rPr>
        <sz val="10"/>
        <color indexed="8"/>
        <rFont val="Arial"/>
        <family val="2"/>
      </rPr>
      <t>2012</t>
    </r>
    <r>
      <rPr>
        <sz val="10"/>
        <color indexed="8"/>
        <rFont val="宋体"/>
        <family val="3"/>
        <charset val="134"/>
      </rPr>
      <t>字第</t>
    </r>
    <r>
      <rPr>
        <sz val="10"/>
        <color indexed="8"/>
        <rFont val="Arial"/>
        <family val="2"/>
      </rPr>
      <t>07193</t>
    </r>
    <r>
      <rPr>
        <sz val="10"/>
        <color indexed="8"/>
        <rFont val="宋体"/>
        <family val="3"/>
        <charset val="134"/>
      </rPr>
      <t>、</t>
    </r>
    <r>
      <rPr>
        <sz val="10"/>
        <color indexed="8"/>
        <rFont val="Arial"/>
        <family val="2"/>
      </rPr>
      <t>07194</t>
    </r>
    <phoneticPr fontId="7" type="noConversion"/>
  </si>
  <si>
    <t>重庆市渝中区棉花街19号附3号（御景江山C幢）1204、1208号</t>
    <phoneticPr fontId="7" type="noConversion"/>
  </si>
  <si>
    <t>重庆</t>
    <phoneticPr fontId="4" type="noConversion"/>
  </si>
  <si>
    <t>仅计算典型户型</t>
  </si>
  <si>
    <t>御景江山</t>
    <phoneticPr fontId="4" type="noConversion"/>
  </si>
  <si>
    <t>渝中区棉花街19号</t>
    <phoneticPr fontId="4" type="noConversion"/>
  </si>
  <si>
    <t>住宅</t>
    <phoneticPr fontId="146" type="noConversion"/>
  </si>
  <si>
    <t>20-30（含）</t>
  </si>
  <si>
    <t>估价对象周边居住用地比例、居住小区规模和社区发展完善程度，综合评价居住社区成熟度较好</t>
    <phoneticPr fontId="35" type="noConversion"/>
  </si>
  <si>
    <t>六通</t>
  </si>
  <si>
    <t>低层</t>
    <phoneticPr fontId="146" type="noConversion"/>
  </si>
  <si>
    <t>中层</t>
  </si>
  <si>
    <t>中层</t>
    <phoneticPr fontId="146" type="noConversion"/>
  </si>
  <si>
    <t>高层</t>
    <phoneticPr fontId="146" type="noConversion"/>
  </si>
  <si>
    <t>楼层</t>
    <phoneticPr fontId="20" type="noConversion"/>
  </si>
  <si>
    <t>南北</t>
    <phoneticPr fontId="146" type="noConversion"/>
  </si>
  <si>
    <t>东南</t>
    <phoneticPr fontId="146" type="noConversion"/>
  </si>
  <si>
    <t>西南</t>
    <phoneticPr fontId="146" type="noConversion"/>
  </si>
  <si>
    <t>南</t>
  </si>
  <si>
    <t>南</t>
    <phoneticPr fontId="146" type="noConversion"/>
  </si>
  <si>
    <t>东西</t>
    <phoneticPr fontId="146" type="noConversion"/>
  </si>
  <si>
    <t>东</t>
    <phoneticPr fontId="146" type="noConversion"/>
  </si>
  <si>
    <t>东北</t>
  </si>
  <si>
    <t>东北</t>
    <phoneticPr fontId="146" type="noConversion"/>
  </si>
  <si>
    <t>西</t>
    <phoneticPr fontId="146" type="noConversion"/>
  </si>
  <si>
    <t>西北</t>
  </si>
  <si>
    <t>西北</t>
    <phoneticPr fontId="146" type="noConversion"/>
  </si>
  <si>
    <t>北</t>
  </si>
  <si>
    <t>北</t>
    <phoneticPr fontId="146" type="noConversion"/>
  </si>
  <si>
    <t>塔楼</t>
  </si>
  <si>
    <t>塔楼</t>
    <phoneticPr fontId="146" type="noConversion"/>
  </si>
  <si>
    <t>钢混</t>
  </si>
  <si>
    <t>钢混</t>
    <phoneticPr fontId="146" type="noConversion"/>
  </si>
  <si>
    <t>好</t>
    <phoneticPr fontId="146" type="noConversion"/>
  </si>
  <si>
    <t>较好</t>
    <phoneticPr fontId="146" type="noConversion"/>
  </si>
  <si>
    <t>一般</t>
    <phoneticPr fontId="146" type="noConversion"/>
  </si>
  <si>
    <t>较差</t>
    <phoneticPr fontId="146" type="noConversion"/>
  </si>
  <si>
    <t>差</t>
    <phoneticPr fontId="146" type="noConversion"/>
  </si>
  <si>
    <t>精装修</t>
  </si>
  <si>
    <t>精装修</t>
    <phoneticPr fontId="146" type="noConversion"/>
  </si>
  <si>
    <t>普通装修</t>
  </si>
  <si>
    <t>普通装修</t>
    <phoneticPr fontId="146" type="noConversion"/>
  </si>
  <si>
    <t>简单装修</t>
    <phoneticPr fontId="146" type="noConversion"/>
  </si>
  <si>
    <t>毛坯</t>
    <phoneticPr fontId="146" type="noConversion"/>
  </si>
  <si>
    <t>六通</t>
    <phoneticPr fontId="146" type="noConversion"/>
  </si>
  <si>
    <t>五通</t>
    <phoneticPr fontId="146" type="noConversion"/>
  </si>
  <si>
    <t>四通</t>
    <phoneticPr fontId="146" type="noConversion"/>
  </si>
  <si>
    <t>三通</t>
    <phoneticPr fontId="146" type="noConversion"/>
  </si>
  <si>
    <t>一居</t>
    <phoneticPr fontId="146" type="noConversion"/>
  </si>
  <si>
    <t>两居</t>
    <phoneticPr fontId="146" type="noConversion"/>
  </si>
  <si>
    <t>三居</t>
  </si>
  <si>
    <t>三居</t>
    <phoneticPr fontId="146" type="noConversion"/>
  </si>
  <si>
    <t>四居</t>
  </si>
  <si>
    <t>四居</t>
    <phoneticPr fontId="146" type="noConversion"/>
  </si>
  <si>
    <t>非生产用房</t>
  </si>
  <si>
    <t>售价</t>
  </si>
  <si>
    <t>五居</t>
    <phoneticPr fontId="146" type="noConversion"/>
  </si>
  <si>
    <t>六居</t>
  </si>
  <si>
    <t>六居</t>
    <phoneticPr fontId="146" type="noConversion"/>
  </si>
  <si>
    <t>收益法</t>
  </si>
  <si>
    <t>比较法</t>
  </si>
  <si>
    <t>比较法</t>
    <phoneticPr fontId="14" type="noConversion"/>
  </si>
  <si>
    <t>低层</t>
    <phoneticPr fontId="20" type="noConversion"/>
  </si>
  <si>
    <t>中层</t>
    <phoneticPr fontId="20" type="noConversion"/>
  </si>
  <si>
    <t>高层</t>
    <phoneticPr fontId="20" type="noConversion"/>
  </si>
  <si>
    <t>内部装修</t>
    <phoneticPr fontId="20" type="noConversion"/>
  </si>
  <si>
    <t>精装修</t>
    <phoneticPr fontId="20" type="noConversion"/>
  </si>
  <si>
    <t>普通装修</t>
    <phoneticPr fontId="20" type="noConversion"/>
  </si>
  <si>
    <t>简单装修</t>
    <phoneticPr fontId="20" type="noConversion"/>
  </si>
  <si>
    <t>毛坯</t>
    <phoneticPr fontId="20" type="noConversion"/>
  </si>
  <si>
    <t>估价对象1（结果表）</t>
  </si>
  <si>
    <t>朝向</t>
    <phoneticPr fontId="20" type="noConversion"/>
  </si>
  <si>
    <t>东南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</si>
</sst>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4" fillId="0" borderId="1" xfId="0" applyFont="1" applyBorder="1" applyAlignment="1" applyProtection="1">
      <alignment horizontal="left" vertical="center"/>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40" fillId="6" borderId="6" xfId="0" applyFont="1" applyFill="1" applyBorder="1" applyAlignment="1" applyProtection="1">
      <alignment horizontal="center" vertical="center"/>
    </xf>
    <xf numFmtId="0" fontId="143" fillId="6" borderId="39" xfId="0" applyNumberFormat="1" applyFont="1" applyFill="1" applyBorder="1" applyAlignment="1" applyProtection="1">
      <alignment horizontal="center" vertical="center" wrapText="1"/>
      <protection locked="0"/>
    </xf>
    <xf numFmtId="179" fontId="49" fillId="6" borderId="6" xfId="0" applyNumberFormat="1" applyFont="1" applyFill="1" applyBorder="1" applyAlignment="1" applyProtection="1">
      <alignment horizontal="center" vertical="center"/>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重庆市房地产市场价值预评估</v>
      </c>
    </row>
    <row r="3" spans="1:2" s="1701" customFormat="1">
      <c r="A3" s="1702" t="s">
        <v>1111</v>
      </c>
      <c r="B3" s="1687" t="str">
        <f>'预评函-封皮'!B12</f>
        <v>滇虹药业集团股份有限公司</v>
      </c>
    </row>
    <row r="4" spans="1:2" s="1701" customFormat="1">
      <c r="A4" s="1702" t="s">
        <v>1112</v>
      </c>
      <c r="B4" s="1687" t="str">
        <f ca="1">'预评函-封皮'!B18</f>
        <v>欧红伟（注册号:1120000080）、梁津（注册号:1119970066)</v>
      </c>
    </row>
    <row r="5" spans="1:2" s="1699" customFormat="1" ht="15.75" thickBot="1">
      <c r="A5" s="1703" t="s">
        <v>1113</v>
      </c>
      <c r="B5" s="1688" t="str">
        <f>'预评函-封皮'!B21</f>
        <v>康正预评字2017-1-1081-F01HDZC1号</v>
      </c>
    </row>
    <row r="6" spans="1:2" s="1701" customFormat="1" ht="15.75" thickTop="1">
      <c r="A6" s="1702" t="s">
        <v>1114</v>
      </c>
      <c r="B6" s="1686" t="str">
        <f>'预评函-1'!A4</f>
        <v>受贵公司委托，我公司对重庆市房地产进行了预评估。</v>
      </c>
    </row>
    <row r="7" spans="1:2">
      <c r="A7" s="1702" t="s">
        <v>1115</v>
      </c>
      <c r="B7" s="1689" t="str">
        <f>'预评函-1'!A6</f>
        <v>估价对象为重庆市房地产，为滇虹药业集团股份有限公司所有。根据《不动产权证书》[]，估价对象建筑面积为142.82平方米，（分摊）出让国有建设用地使用权面积为平方米。估价对象用途为住宅。</v>
      </c>
    </row>
    <row r="8" spans="1:2">
      <c r="A8" s="1702" t="s">
        <v>1116</v>
      </c>
      <c r="B8" s="1689" t="str">
        <f>'预评函-1'!A8</f>
        <v>为估价委托人了解估价对象房地产市场价值提供参考依据。</v>
      </c>
    </row>
    <row r="9" spans="1:2">
      <c r="A9" s="1702" t="s">
        <v>1117</v>
      </c>
      <c r="B9" s="1689" t="str">
        <f>'预评函-1'!A10</f>
        <v>2017年12月5日（评估专业人员实地查勘之日）</v>
      </c>
    </row>
    <row r="10" spans="1:2">
      <c r="A10" s="1702" t="s">
        <v>1118</v>
      </c>
      <c r="B10" s="1689" t="str">
        <f>'预评函-1'!A13</f>
        <v>本次估价的“房地产价值”是指在正常市场情况下，在价值时点2017年12月5日，估价对象规划用途为住宅，假定未设立法定优先受偿款下的房地产市场价值。</v>
      </c>
    </row>
    <row r="11" spans="1:2">
      <c r="A11" s="1702" t="s">
        <v>1119</v>
      </c>
      <c r="B11" s="1689"/>
    </row>
    <row r="12" spans="1:2">
      <c r="A12" s="1702" t="s">
        <v>1120</v>
      </c>
      <c r="B12" s="1689" t="str">
        <f>'预评函-1'!A14</f>
        <v>——</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v>
      </c>
    </row>
    <row r="15" spans="1:2" s="1699" customFormat="1" ht="15.75" thickBot="1">
      <c r="A15" s="1703" t="s">
        <v>1123</v>
      </c>
      <c r="B15" s="1690" t="str">
        <f>'预评函-1'!A18</f>
        <v>本次评估采用的主估价方法为基准地价系数修正法和基准地价系数修正法。</v>
      </c>
    </row>
    <row r="16" spans="1:2" ht="15.75" thickTop="1">
      <c r="A16" s="1700" t="s">
        <v>1124</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1125</v>
      </c>
      <c r="B17" s="1689" t="str">
        <f>'预评函-2（1）'!B6</f>
        <v>重庆市房地产</v>
      </c>
    </row>
    <row r="18" spans="1:2">
      <c r="A18" s="1702" t="s">
        <v>1126</v>
      </c>
      <c r="B18" s="1689">
        <f>'预评函-2（1）'!C6</f>
        <v>142.82</v>
      </c>
    </row>
    <row r="19" spans="1:2">
      <c r="A19" s="1702" t="s">
        <v>1127</v>
      </c>
      <c r="B19" s="1689">
        <f ca="1">'预评函-2（1）'!D7</f>
        <v>2409197</v>
      </c>
    </row>
    <row r="20" spans="1:2">
      <c r="A20" s="1702" t="s">
        <v>1165</v>
      </c>
      <c r="B20" s="1689" t="str">
        <f>'预评函-2（1）'!C7</f>
        <v>总价（元）</v>
      </c>
    </row>
    <row r="21" spans="1:2">
      <c r="A21" s="1702" t="s">
        <v>1128</v>
      </c>
      <c r="B21" s="1689">
        <f ca="1">'预评函-2（1）'!D9</f>
        <v>9491</v>
      </c>
    </row>
    <row r="22" spans="1:2">
      <c r="A22" s="1702" t="s">
        <v>1129</v>
      </c>
      <c r="B22" s="1689" t="str">
        <f ca="1">'预评函-2（1）'!D8</f>
        <v>贰佰肆拾万玖仟壹佰玖拾柒元整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2409197</v>
      </c>
    </row>
    <row r="30" spans="1:2">
      <c r="A30" s="1702" t="s">
        <v>1135</v>
      </c>
      <c r="B30" s="1689" t="str">
        <f ca="1">'预评函-2（1）'!D16</f>
        <v>贰佰肆拾万玖仟壹佰玖拾柒元整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'预评函-2（2）'!D4</f>
        <v>0</v>
      </c>
    </row>
    <row r="38" spans="1:2">
      <c r="A38" s="1702" t="s">
        <v>1143</v>
      </c>
      <c r="B38" s="1689">
        <f>'预评函-2（2）'!E4</f>
        <v>0</v>
      </c>
    </row>
    <row r="39" spans="1:2">
      <c r="A39" s="1702" t="s">
        <v>1144</v>
      </c>
      <c r="B39" s="1689" t="str">
        <f>'预评函-2（2）'!D5</f>
        <v>零元整</v>
      </c>
    </row>
    <row r="40" spans="1:2">
      <c r="A40" s="1702" t="s">
        <v>1145</v>
      </c>
      <c r="B40" s="1689">
        <f>'预评函-2（2）'!F4</f>
        <v>0</v>
      </c>
    </row>
    <row r="41" spans="1:2">
      <c r="A41" s="1702" t="s">
        <v>1146</v>
      </c>
      <c r="B41" s="1689">
        <f>'预评函-2（2）'!G4</f>
        <v>0</v>
      </c>
    </row>
    <row r="42" spans="1:2" s="1699" customFormat="1" ht="15.75" thickBot="1">
      <c r="A42" s="1703" t="s">
        <v>1147</v>
      </c>
      <c r="B42" s="1691" t="str">
        <f>'预评函-2（2）'!F5</f>
        <v>零元整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欧红伟</v>
      </c>
    </row>
    <row r="53" spans="1:2">
      <c r="A53" s="1702" t="s">
        <v>1157</v>
      </c>
      <c r="B53" s="1689">
        <f ca="1">'预评函-3'!B4</f>
        <v>1120000080</v>
      </c>
    </row>
    <row r="54" spans="1:2">
      <c r="A54" s="1702" t="s">
        <v>1158</v>
      </c>
      <c r="B54" s="1693" t="str">
        <f>'预评函-3'!A5</f>
        <v>梁津</v>
      </c>
    </row>
    <row r="55" spans="1:2" s="1699" customFormat="1" ht="15.75" thickBot="1">
      <c r="A55" s="1703" t="s">
        <v>1159</v>
      </c>
      <c r="B55" s="1691">
        <f ca="1">'预评函-3'!B5</f>
        <v>1119970066</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1258</v>
      </c>
      <c r="B62" s="1689">
        <f ca="1">'预评函-2（1）'!D38</f>
        <v>9491</v>
      </c>
    </row>
    <row r="63" spans="1:2" s="1701" customFormat="1" ht="28.5">
      <c r="A63" s="1705" t="s">
        <v>1259</v>
      </c>
      <c r="B63" s="1689" t="str">
        <f>'预评函-2（1）'!D41</f>
        <v>——</v>
      </c>
    </row>
    <row r="64" spans="1:2">
      <c r="A64" s="1705" t="s">
        <v>1182</v>
      </c>
      <c r="B64" s="1689" t="str">
        <f>'预评函-2（2）'!A6</f>
        <v>——</v>
      </c>
    </row>
    <row r="65" spans="1:2">
      <c r="A65" s="1705" t="s">
        <v>1183</v>
      </c>
      <c r="B65" s="1689" t="str">
        <f>'预评函-2（2）'!A8</f>
        <v>——</v>
      </c>
    </row>
    <row r="66" spans="1:2">
      <c r="A66" s="1705" t="s">
        <v>1184</v>
      </c>
      <c r="B66" s="1689" t="str">
        <f>'预评函-2（2）'!A10</f>
        <v>——</v>
      </c>
    </row>
    <row r="67" spans="1:2" s="1699" customFormat="1" ht="15.75" thickBot="1">
      <c r="A67" s="1706" t="s">
        <v>1185</v>
      </c>
      <c r="B67" s="1690" t="str">
        <f>'预评函-2（2）'!A12</f>
        <v>——</v>
      </c>
    </row>
    <row r="68" spans="1:2" ht="15.75" thickTop="1">
      <c r="A68" s="1708" t="s">
        <v>1186</v>
      </c>
      <c r="B68" s="1694" t="str">
        <f>'预评函-3'!A9</f>
        <v>XX</v>
      </c>
    </row>
    <row r="69" spans="1:2">
      <c r="A69" s="1702" t="s">
        <v>1257</v>
      </c>
    </row>
    <row r="70" spans="1:2">
      <c r="A70" s="1702"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1" sqref="B3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4" t="s">
        <v>1545</v>
      </c>
      <c r="B1" s="1995" t="str">
        <f>IF(B6="北京市","北京市",C6)&amp;IF(E12="房屋所有权证",B28,E28)&amp;D5&amp;"预评估"</f>
        <v>重庆市房地产市场价值预评估</v>
      </c>
      <c r="C1" s="1063"/>
      <c r="D1" s="1996"/>
      <c r="E1" s="1063"/>
      <c r="F1" s="1997" t="s">
        <v>1546</v>
      </c>
      <c r="G1" s="1682" t="s">
        <v>2812</v>
      </c>
      <c r="I1" s="1020" t="str">
        <f>IF(B6="北京市","北京市",C6)&amp;IF(E12="房屋所有权证",B28,E28)&amp;"房地产"</f>
        <v>重庆市房地产</v>
      </c>
    </row>
    <row r="2" spans="1:10" ht="13.5" thickTop="1">
      <c r="A2" s="1998" t="s">
        <v>1547</v>
      </c>
      <c r="B2" s="1088">
        <v>43074</v>
      </c>
      <c r="C2" s="1999" t="s">
        <v>1548</v>
      </c>
      <c r="D2" s="1088">
        <v>43074</v>
      </c>
      <c r="E2" s="1064"/>
      <c r="F2" s="1064"/>
      <c r="G2" s="1683"/>
      <c r="H2" s="1020"/>
    </row>
    <row r="3" spans="1:10" ht="13.5" thickBot="1">
      <c r="A3" s="2000" t="s">
        <v>1549</v>
      </c>
      <c r="B3" s="2001" t="s">
        <v>2813</v>
      </c>
      <c r="C3" s="1065">
        <f ca="1">SUMIF(注册房地产估价师,B3,估价师及机构信息!B3:B24)</f>
        <v>1120000080</v>
      </c>
      <c r="D3" s="2001" t="s">
        <v>2814</v>
      </c>
      <c r="E3" s="1066">
        <f ca="1">SUMIF(注册房地产估价师,D3,估价师及机构信息!B3:B24)</f>
        <v>1119970066</v>
      </c>
      <c r="F3" s="1067"/>
      <c r="G3" s="1684"/>
      <c r="H3" s="1020"/>
    </row>
    <row r="4" spans="1:10" ht="13.5" customHeight="1" thickTop="1">
      <c r="A4" s="2002" t="s">
        <v>1550</v>
      </c>
      <c r="B4" s="2729" t="s">
        <v>2815</v>
      </c>
      <c r="C4" s="2003" t="s">
        <v>1551</v>
      </c>
      <c r="D4" s="2004" t="s">
        <v>2816</v>
      </c>
      <c r="E4" s="1064"/>
      <c r="F4" s="1064"/>
      <c r="G4" s="1683"/>
    </row>
    <row r="5" spans="1:10">
      <c r="A5" s="2005" t="s">
        <v>1552</v>
      </c>
      <c r="B5" s="2006"/>
      <c r="C5" s="2007" t="s">
        <v>1553</v>
      </c>
      <c r="D5" s="2008" t="s">
        <v>2817</v>
      </c>
      <c r="E5" s="2009" t="s">
        <v>1554</v>
      </c>
      <c r="F5" s="2010"/>
      <c r="G5" s="2011"/>
      <c r="I5" s="1020" t="str">
        <f>IF(C16="否","截至估价时点，估价对象抵押权未见登记。","截至价值时点，估价对象已设定抵押。")</f>
        <v>截至价值时点，估价对象已设定抵押。</v>
      </c>
    </row>
    <row r="6" spans="1:10" ht="13.5" thickBot="1">
      <c r="A6" s="2012" t="s">
        <v>1555</v>
      </c>
      <c r="B6" s="2013" t="s">
        <v>2818</v>
      </c>
      <c r="C6" s="2730" t="s">
        <v>2819</v>
      </c>
      <c r="D6" s="2014" t="s">
        <v>1556</v>
      </c>
      <c r="E6" s="1022"/>
      <c r="F6" s="1021"/>
      <c r="G6" s="1074"/>
      <c r="I6" s="1070" t="str">
        <f>IF(COUNTIF(B5,"*上海银行*"),"上海银行","")</f>
        <v/>
      </c>
    </row>
    <row r="7" spans="1:10" ht="25.5" thickTop="1" thickBot="1">
      <c r="A7" s="2000" t="s">
        <v>1557</v>
      </c>
      <c r="B7" s="2015" t="s">
        <v>2820</v>
      </c>
      <c r="C7" s="2016" t="str">
        <f>IF(B7="自然人","姓名","名称")</f>
        <v>名称</v>
      </c>
      <c r="D7" s="2729" t="s">
        <v>2815</v>
      </c>
      <c r="E7" s="1068"/>
      <c r="F7" s="1067"/>
      <c r="G7" s="1684"/>
    </row>
    <row r="8" spans="1:10" ht="13.5" thickTop="1">
      <c r="A8" s="2815" t="s">
        <v>1558</v>
      </c>
      <c r="B8" s="2017" t="s">
        <v>1559</v>
      </c>
      <c r="C8" s="2827"/>
      <c r="D8" s="2828"/>
      <c r="E8" s="2018" t="s">
        <v>1560</v>
      </c>
      <c r="F8" s="2019" t="s">
        <v>1561</v>
      </c>
      <c r="G8" s="690" t="str">
        <f>C6</f>
        <v>重庆市</v>
      </c>
    </row>
    <row r="9" spans="1:10" ht="25.5">
      <c r="A9" s="2815"/>
      <c r="B9" s="344" t="s">
        <v>1562</v>
      </c>
      <c r="C9" s="2731" t="s">
        <v>2823</v>
      </c>
      <c r="D9" s="2020" t="s">
        <v>2821</v>
      </c>
      <c r="E9" s="1010" t="s">
        <v>1563</v>
      </c>
      <c r="F9" s="996"/>
      <c r="G9" s="1012"/>
    </row>
    <row r="10" spans="1:10" ht="13.5" thickBot="1">
      <c r="A10" s="2815"/>
      <c r="B10" s="344" t="s">
        <v>1564</v>
      </c>
      <c r="C10" s="2829"/>
      <c r="D10" s="2830"/>
      <c r="E10" s="2021" t="s">
        <v>1565</v>
      </c>
      <c r="F10" s="1013"/>
      <c r="G10" s="1014"/>
    </row>
    <row r="11" spans="1:10" ht="13.5" thickBot="1">
      <c r="A11" s="2815"/>
      <c r="B11" s="2022" t="s">
        <v>1566</v>
      </c>
      <c r="C11" s="2831"/>
      <c r="D11" s="2832"/>
      <c r="E11" s="1022"/>
      <c r="F11" s="1021"/>
      <c r="G11" s="1074"/>
    </row>
    <row r="12" spans="1:10" ht="24.75" thickBot="1">
      <c r="A12" s="2818" t="s">
        <v>1567</v>
      </c>
      <c r="B12" s="2023" t="s">
        <v>1568</v>
      </c>
      <c r="C12" s="1016">
        <v>142.82</v>
      </c>
      <c r="D12" s="2023" t="s">
        <v>1569</v>
      </c>
      <c r="E12" s="2024" t="s">
        <v>1570</v>
      </c>
      <c r="F12" s="2025" t="s">
        <v>1571</v>
      </c>
      <c r="G12" s="1074"/>
    </row>
    <row r="13" spans="1:10" ht="21" customHeight="1" thickBot="1">
      <c r="A13" s="2819"/>
      <c r="B13" s="2026" t="s">
        <v>1572</v>
      </c>
      <c r="C13" s="1017"/>
      <c r="D13" s="2026" t="s">
        <v>1573</v>
      </c>
      <c r="E13" s="2027" t="s">
        <v>1570</v>
      </c>
      <c r="F13" s="1021"/>
      <c r="G13" s="1074"/>
      <c r="I13" s="2805" t="s">
        <v>1574</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1575</v>
      </c>
      <c r="C14" s="2732" t="s">
        <v>2823</v>
      </c>
      <c r="D14" s="1021"/>
      <c r="E14" s="1021"/>
      <c r="F14" s="1021"/>
      <c r="G14" s="1074"/>
      <c r="I14" s="2805"/>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1576</v>
      </c>
      <c r="C15" s="1069"/>
      <c r="D15" s="1067"/>
      <c r="E15" s="1067"/>
      <c r="F15" s="1067"/>
      <c r="G15" s="1684"/>
      <c r="I15" s="2805"/>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1577</v>
      </c>
      <c r="B16" s="2033" t="s">
        <v>1578</v>
      </c>
      <c r="C16" s="2034"/>
      <c r="D16" s="2035" t="s">
        <v>1579</v>
      </c>
      <c r="E16" s="2036"/>
      <c r="F16" s="2037" t="str">
        <f>IF(AND(C16="是",E16="否"),"是否提供他项权证或相关说明","")</f>
        <v/>
      </c>
      <c r="G16" s="2036"/>
      <c r="I16" s="1071"/>
      <c r="J16" s="1020"/>
    </row>
    <row r="17" spans="1:15" ht="13.5" customHeight="1">
      <c r="A17" s="2038" t="s">
        <v>1580</v>
      </c>
      <c r="B17" s="2833" t="s">
        <v>1581</v>
      </c>
      <c r="C17" s="2834"/>
      <c r="D17" s="2835" t="s">
        <v>1582</v>
      </c>
      <c r="E17" s="2836"/>
      <c r="F17" s="2039" t="s">
        <v>1583</v>
      </c>
      <c r="G17" s="2040"/>
      <c r="J17" s="1020"/>
    </row>
    <row r="18" spans="1:15" ht="24">
      <c r="A18" s="2038"/>
      <c r="B18" s="2041" t="s">
        <v>1584</v>
      </c>
      <c r="C18" s="2011" t="s">
        <v>1585</v>
      </c>
      <c r="D18" s="2042" t="s">
        <v>1586</v>
      </c>
      <c r="E18" s="2043" t="s">
        <v>1587</v>
      </c>
      <c r="F18" s="2044"/>
      <c r="G18" s="1868"/>
      <c r="H18" s="1020"/>
      <c r="J18" s="1020"/>
    </row>
    <row r="19" spans="1:15" ht="21.75" customHeight="1" thickBot="1">
      <c r="A19" s="2038"/>
      <c r="B19" s="2045"/>
      <c r="C19" s="2027"/>
      <c r="D19" s="2046"/>
      <c r="E19" s="1021"/>
      <c r="F19" s="1021"/>
      <c r="G19" s="1868"/>
    </row>
    <row r="20" spans="1:15">
      <c r="A20" s="2047" t="s">
        <v>1588</v>
      </c>
      <c r="B20" s="2048" t="s">
        <v>1589</v>
      </c>
      <c r="C20" s="2049"/>
      <c r="D20" s="2050" t="s">
        <v>1589</v>
      </c>
      <c r="E20" s="2049"/>
      <c r="F20" s="1021"/>
      <c r="G20" s="1868"/>
    </row>
    <row r="21" spans="1:15">
      <c r="A21" s="2051"/>
      <c r="B21" s="2052" t="s">
        <v>1590</v>
      </c>
      <c r="C21" s="2053"/>
      <c r="D21" s="2038" t="s">
        <v>1590</v>
      </c>
      <c r="E21" s="2054"/>
      <c r="F21" s="1021"/>
      <c r="G21" s="1868"/>
    </row>
    <row r="22" spans="1:15">
      <c r="A22" s="2051"/>
      <c r="B22" s="2055" t="s">
        <v>1591</v>
      </c>
      <c r="C22" s="2056"/>
      <c r="D22" s="2055" t="s">
        <v>1591</v>
      </c>
      <c r="E22" s="2054"/>
      <c r="F22" s="1021"/>
      <c r="G22" s="1868"/>
    </row>
    <row r="23" spans="1:15" s="1866" customFormat="1" ht="21" thickBot="1">
      <c r="A23" s="2057"/>
      <c r="B23" s="2058" t="s">
        <v>1592</v>
      </c>
      <c r="C23" s="2059"/>
      <c r="D23" s="2058" t="s">
        <v>1593</v>
      </c>
      <c r="E23" s="2060"/>
      <c r="F23" s="1021"/>
      <c r="G23" s="1868"/>
      <c r="H23" s="2061"/>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2" t="s">
        <v>1595</v>
      </c>
      <c r="C25" s="995"/>
      <c r="D25" s="1015"/>
      <c r="E25" s="1018" t="s">
        <v>1596</v>
      </c>
      <c r="F25" s="995"/>
      <c r="G25" s="2063" t="s">
        <v>1597</v>
      </c>
      <c r="L25" s="1082"/>
      <c r="M25" s="1082"/>
      <c r="O25" s="1083"/>
    </row>
    <row r="26" spans="1:15" s="1081" customFormat="1" ht="13.5" thickBot="1">
      <c r="A26" s="995"/>
      <c r="B26" s="1089" t="s">
        <v>2824</v>
      </c>
      <c r="C26" s="995"/>
      <c r="D26" s="1015"/>
      <c r="E26" s="1089" t="s">
        <v>2824</v>
      </c>
      <c r="F26" s="995"/>
      <c r="G26" s="1685"/>
      <c r="L26" s="1082"/>
      <c r="M26" s="1082"/>
      <c r="O26" s="1083"/>
    </row>
    <row r="27" spans="1:15" ht="25.5">
      <c r="A27" s="1007" t="s">
        <v>1598</v>
      </c>
      <c r="B27" s="1004" t="s">
        <v>2829</v>
      </c>
      <c r="C27" s="2821" t="s">
        <v>1598</v>
      </c>
      <c r="D27" s="2822"/>
      <c r="E27" s="1004"/>
      <c r="F27" s="1011" t="s">
        <v>1598</v>
      </c>
      <c r="G27" s="1004"/>
      <c r="I27" s="1071"/>
      <c r="K27" s="1071"/>
    </row>
    <row r="28" spans="1:15" ht="48">
      <c r="A28" s="1008" t="s">
        <v>1599</v>
      </c>
      <c r="B28" s="2733" t="s">
        <v>2830</v>
      </c>
      <c r="C28" s="2823" t="s">
        <v>1600</v>
      </c>
      <c r="D28" s="2824"/>
      <c r="E28" s="978"/>
      <c r="F28" s="1894" t="s">
        <v>1600</v>
      </c>
      <c r="G28" s="978"/>
      <c r="I28" s="1071"/>
      <c r="K28" s="1071"/>
    </row>
    <row r="29" spans="1:15">
      <c r="A29" s="1008" t="s">
        <v>1601</v>
      </c>
      <c r="B29" s="978"/>
      <c r="C29" s="2823" t="s">
        <v>1601</v>
      </c>
      <c r="D29" s="2824"/>
      <c r="E29" s="978"/>
      <c r="F29" s="1894" t="s">
        <v>1602</v>
      </c>
      <c r="G29" s="978"/>
      <c r="I29" s="1071"/>
      <c r="K29" s="1071"/>
    </row>
    <row r="30" spans="1:15">
      <c r="A30" s="1008" t="s">
        <v>1603</v>
      </c>
      <c r="B30" s="978"/>
      <c r="C30" s="2812" t="s">
        <v>1604</v>
      </c>
      <c r="D30" s="2064"/>
      <c r="E30" s="1023" t="str">
        <f>E31&amp;" "&amp;E32&amp;" "&amp;E33&amp;" "&amp;E34</f>
        <v xml:space="preserve">   </v>
      </c>
      <c r="F30" s="1894" t="s">
        <v>1605</v>
      </c>
      <c r="G30" s="978"/>
    </row>
    <row r="31" spans="1:15">
      <c r="A31" s="1008" t="s">
        <v>1606</v>
      </c>
      <c r="B31" s="978"/>
      <c r="C31" s="2813"/>
      <c r="D31" s="1893" t="s">
        <v>1607</v>
      </c>
      <c r="E31" s="978"/>
      <c r="F31" s="1894" t="s">
        <v>1608</v>
      </c>
      <c r="G31" s="978"/>
    </row>
    <row r="32" spans="1:15" ht="24.75" thickBot="1">
      <c r="A32" s="1009" t="s">
        <v>1609</v>
      </c>
      <c r="B32" s="1005"/>
      <c r="C32" s="2813"/>
      <c r="D32" s="1893" t="s">
        <v>1610</v>
      </c>
      <c r="E32" s="978"/>
      <c r="F32" s="1894" t="s">
        <v>1611</v>
      </c>
      <c r="G32" s="978"/>
    </row>
    <row r="33" spans="1:7">
      <c r="A33" s="1007" t="s">
        <v>1612</v>
      </c>
      <c r="B33" s="2734" t="s">
        <v>2823</v>
      </c>
      <c r="C33" s="2813"/>
      <c r="D33" s="1893" t="s">
        <v>1613</v>
      </c>
      <c r="E33" s="978"/>
      <c r="F33" s="1894" t="s">
        <v>1614</v>
      </c>
      <c r="G33" s="978"/>
    </row>
    <row r="34" spans="1:7" ht="13.5" thickBot="1">
      <c r="A34" s="1008" t="s">
        <v>1615</v>
      </c>
      <c r="B34" s="2733" t="s">
        <v>2823</v>
      </c>
      <c r="C34" s="2814"/>
      <c r="D34" s="1893" t="s">
        <v>1616</v>
      </c>
      <c r="E34" s="978"/>
      <c r="F34" s="1895" t="s">
        <v>1617</v>
      </c>
      <c r="G34" s="1006"/>
    </row>
    <row r="35" spans="1:7">
      <c r="A35" s="1008" t="s">
        <v>1568</v>
      </c>
      <c r="B35" s="978">
        <v>142.82</v>
      </c>
      <c r="C35" s="2823" t="s">
        <v>1618</v>
      </c>
      <c r="D35" s="2824"/>
      <c r="E35" s="978"/>
      <c r="F35" s="1019" t="s">
        <v>1619</v>
      </c>
      <c r="G35" s="1004"/>
    </row>
    <row r="36" spans="1:7" ht="13.5" thickBot="1">
      <c r="A36" s="1008" t="s">
        <v>1620</v>
      </c>
      <c r="B36" s="978">
        <v>114.46</v>
      </c>
      <c r="C36" s="2825" t="s">
        <v>1621</v>
      </c>
      <c r="D36" s="2826"/>
      <c r="E36" s="1005"/>
      <c r="F36" s="1891" t="s">
        <v>1622</v>
      </c>
      <c r="G36" s="978"/>
    </row>
    <row r="37" spans="1:7" ht="13.5" thickBot="1">
      <c r="A37" s="1008" t="s">
        <v>1623</v>
      </c>
      <c r="B37" s="978"/>
      <c r="C37" s="2810" t="s">
        <v>1624</v>
      </c>
      <c r="D37" s="2065" t="s">
        <v>1608</v>
      </c>
      <c r="E37" s="1004"/>
      <c r="F37" s="1895" t="s">
        <v>1625</v>
      </c>
      <c r="G37" s="1005"/>
    </row>
    <row r="38" spans="1:7">
      <c r="A38" s="1008" t="s">
        <v>1626</v>
      </c>
      <c r="B38" s="978">
        <v>31</v>
      </c>
      <c r="C38" s="2816"/>
      <c r="D38" s="1893" t="s">
        <v>1615</v>
      </c>
      <c r="E38" s="978"/>
      <c r="F38" s="1011" t="s">
        <v>1627</v>
      </c>
      <c r="G38" s="1004"/>
    </row>
    <row r="39" spans="1:7">
      <c r="A39" s="1008" t="s">
        <v>1628</v>
      </c>
      <c r="B39" s="978">
        <v>12</v>
      </c>
      <c r="C39" s="2816" t="s">
        <v>1629</v>
      </c>
      <c r="D39" s="1893" t="s">
        <v>1568</v>
      </c>
      <c r="E39" s="978"/>
      <c r="F39" s="1894" t="s">
        <v>1630</v>
      </c>
      <c r="G39" s="978"/>
    </row>
    <row r="40" spans="1:7" ht="24.75" customHeight="1" thickBot="1">
      <c r="A40" s="1009" t="s">
        <v>1631</v>
      </c>
      <c r="B40" s="1005">
        <v>2001</v>
      </c>
      <c r="C40" s="2817"/>
      <c r="D40" s="1896" t="s">
        <v>1572</v>
      </c>
      <c r="E40" s="1005"/>
      <c r="F40" s="1895" t="s">
        <v>1632</v>
      </c>
      <c r="G40" s="1005"/>
    </row>
    <row r="41" spans="1:7">
      <c r="A41" s="1010" t="s">
        <v>1633</v>
      </c>
      <c r="B41" s="1060"/>
      <c r="C41" s="2806" t="s">
        <v>1633</v>
      </c>
      <c r="D41" s="2807"/>
      <c r="E41" s="1060"/>
      <c r="F41" s="1011" t="s">
        <v>1634</v>
      </c>
      <c r="G41" s="1060"/>
    </row>
    <row r="42" spans="1:7">
      <c r="A42" s="1057" t="s">
        <v>1635</v>
      </c>
      <c r="B42" s="1061"/>
      <c r="C42" s="2066"/>
      <c r="D42" s="2067"/>
      <c r="E42" s="1061"/>
      <c r="F42" s="1059"/>
      <c r="G42" s="1061"/>
    </row>
    <row r="43" spans="1:7">
      <c r="A43" s="94" t="s">
        <v>1589</v>
      </c>
      <c r="B43" s="1058"/>
      <c r="C43" s="2066"/>
      <c r="D43" s="2068" t="s">
        <v>1589</v>
      </c>
      <c r="E43" s="1058"/>
      <c r="F43" s="94" t="s">
        <v>1589</v>
      </c>
      <c r="G43" s="1058"/>
    </row>
    <row r="44" spans="1:7">
      <c r="A44" s="94" t="s">
        <v>1590</v>
      </c>
      <c r="B44" s="1058"/>
      <c r="C44" s="2066"/>
      <c r="D44" s="2052" t="s">
        <v>1590</v>
      </c>
      <c r="E44" s="1058"/>
      <c r="F44" s="94" t="s">
        <v>1590</v>
      </c>
      <c r="G44" s="1058"/>
    </row>
    <row r="45" spans="1:7">
      <c r="A45" s="94" t="s">
        <v>1591</v>
      </c>
      <c r="B45" s="1058"/>
      <c r="C45" s="2066"/>
      <c r="D45" s="2052" t="s">
        <v>1591</v>
      </c>
      <c r="E45" s="1058"/>
      <c r="F45" s="94" t="s">
        <v>1591</v>
      </c>
      <c r="G45" s="1058"/>
    </row>
    <row r="46" spans="1:7">
      <c r="A46" s="94" t="s">
        <v>1592</v>
      </c>
      <c r="B46" s="1058"/>
      <c r="C46" s="2066"/>
      <c r="D46" s="2052" t="s">
        <v>1592</v>
      </c>
      <c r="E46" s="1058"/>
      <c r="F46" s="94" t="s">
        <v>1592</v>
      </c>
      <c r="G46" s="1058"/>
    </row>
    <row r="47" spans="1:7">
      <c r="A47" s="1057"/>
      <c r="B47" s="1058"/>
      <c r="C47" s="2066"/>
      <c r="D47" s="2067"/>
      <c r="E47" s="1058"/>
      <c r="F47" s="1059"/>
      <c r="G47" s="1058"/>
    </row>
    <row r="48" spans="1:7" ht="13.5" thickBot="1">
      <c r="A48" s="1009" t="s">
        <v>1636</v>
      </c>
      <c r="B48" s="1005"/>
      <c r="C48" s="2808" t="s">
        <v>1636</v>
      </c>
      <c r="D48" s="2809"/>
      <c r="E48" s="1055"/>
      <c r="F48" s="1895" t="s">
        <v>1637</v>
      </c>
      <c r="G48" s="1005"/>
    </row>
    <row r="49" spans="1:15">
      <c r="A49" s="1008" t="s">
        <v>1638</v>
      </c>
      <c r="B49" s="1054"/>
      <c r="C49" s="2810" t="s">
        <v>1639</v>
      </c>
      <c r="D49" s="2811"/>
      <c r="E49" s="1056"/>
      <c r="F49" s="1084"/>
      <c r="G49" s="1085"/>
    </row>
    <row r="50" spans="1:15" ht="13.5" thickBot="1">
      <c r="A50" s="1008" t="s">
        <v>1640</v>
      </c>
      <c r="B50" s="1054"/>
      <c r="C50" s="2817" t="s">
        <v>1641</v>
      </c>
      <c r="D50" s="282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9" sqref="D29"/>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1643</v>
      </c>
      <c r="B1" s="1237"/>
      <c r="C1" s="1237"/>
      <c r="D1" s="1853"/>
      <c r="E1" s="1853"/>
      <c r="AE1" s="1237"/>
      <c r="AF1" s="1237"/>
      <c r="AG1" s="1237"/>
      <c r="AH1" s="1237"/>
      <c r="AI1" s="1237"/>
      <c r="AJ1" s="1237"/>
      <c r="AK1" s="1237"/>
      <c r="AL1" s="1237"/>
      <c r="AM1" s="1237"/>
      <c r="AN1" s="1237"/>
      <c r="AO1" s="1237"/>
    </row>
    <row r="2" spans="1:41" s="2074" customFormat="1" ht="15.75" thickBot="1">
      <c r="A2" s="2071" t="s">
        <v>1644</v>
      </c>
      <c r="B2" s="1209">
        <f>项目基本情况!D2</f>
        <v>43074</v>
      </c>
      <c r="C2" s="1855"/>
      <c r="D2" s="2839" t="s">
        <v>1645</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1646</v>
      </c>
      <c r="B3" s="2075" t="s">
        <v>2825</v>
      </c>
      <c r="C3" s="1855"/>
      <c r="D3" s="2840"/>
      <c r="E3" s="1188" t="s">
        <v>2827</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4" t="s">
        <v>1647</v>
      </c>
      <c r="B4" s="2075" t="s">
        <v>2826</v>
      </c>
      <c r="C4" s="1855"/>
      <c r="D4" s="2840"/>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1648</v>
      </c>
      <c r="B5" s="1318">
        <f>项目基本情况!C12</f>
        <v>142.82</v>
      </c>
      <c r="C5" s="1855"/>
      <c r="D5" s="2077" t="s">
        <v>1649</v>
      </c>
      <c r="E5" s="393">
        <v>142.82</v>
      </c>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1650</v>
      </c>
      <c r="B6" s="1319">
        <f>项目基本情况!C13</f>
        <v>0</v>
      </c>
      <c r="C6" s="1855"/>
      <c r="D6" s="2077" t="s">
        <v>1651</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1652</v>
      </c>
      <c r="B10" s="2082" t="s">
        <v>2822</v>
      </c>
      <c r="C10" s="1855"/>
      <c r="D10" s="2071" t="s">
        <v>1653</v>
      </c>
      <c r="E10" s="2083"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1656</v>
      </c>
      <c r="B11" s="990">
        <v>50</v>
      </c>
      <c r="C11" s="1855"/>
      <c r="D11" s="2085" t="s">
        <v>1657</v>
      </c>
      <c r="E11" s="34">
        <v>290</v>
      </c>
      <c r="F11" s="1854" t="s">
        <v>1658</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1659</v>
      </c>
      <c r="B12" s="2089">
        <v>52609</v>
      </c>
      <c r="C12" s="1855"/>
      <c r="D12" s="2090" t="s">
        <v>1660</v>
      </c>
      <c r="E12" s="37">
        <v>290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1661</v>
      </c>
      <c r="B13" s="991">
        <f>IF(B12="",B11-(YEAR($B$2)-B26+B23),ROUNDDOWN(MIN((B12-$B$2)/365,B11),2))</f>
        <v>26.12</v>
      </c>
      <c r="C13" s="2092"/>
      <c r="D13" s="2093" t="s">
        <v>1662</v>
      </c>
      <c r="E13" s="39">
        <f>ROUND(E5*E11,0)</f>
        <v>41418</v>
      </c>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1664</v>
      </c>
      <c r="B14" s="992">
        <f>IF(ISERROR(ROUND(POWER(1+B15,B11-B13)*(POWER(1+B15,B13)-1)/(POWER(1+B15,B11)-1),3)),0,ROUND(POWER(1+B15,B11-B13)*(POWER(1+B15,B13)-1)/(POWER(1+B15,B11)-1),3))</f>
        <v>0.746</v>
      </c>
      <c r="C14" s="1855"/>
      <c r="D14" s="2094"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1666</v>
      </c>
      <c r="B15" s="30">
        <v>0.04</v>
      </c>
      <c r="C15" s="1855"/>
      <c r="D15" s="2090"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1668</v>
      </c>
      <c r="B16" s="30">
        <v>4.4999999999999998E-2</v>
      </c>
      <c r="C16" s="1855"/>
      <c r="D16" s="2095"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1670</v>
      </c>
      <c r="B17" s="997">
        <v>8.5000000000000006E-2</v>
      </c>
      <c r="C17" s="1855"/>
      <c r="D17" s="2081" t="s">
        <v>1671</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399896</v>
      </c>
      <c r="F18" s="1320">
        <f>ROUND(E5*E17*IF(B25=0,1,E20),0)</f>
        <v>399896</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1672</v>
      </c>
      <c r="B19" s="1855"/>
      <c r="C19" s="1855"/>
      <c r="D19" s="2097"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1673</v>
      </c>
      <c r="B20" s="31">
        <v>0</v>
      </c>
      <c r="C20" s="1855"/>
      <c r="D20" s="2099" t="str">
        <f>IF(B25=0,"成新率","工程进度")</f>
        <v>成新率</v>
      </c>
      <c r="E20" s="987">
        <f>ROUND(1-(1-0%)*(2017-2001)/60,2)</f>
        <v>0.73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1674</v>
      </c>
      <c r="B21" s="32">
        <v>2</v>
      </c>
      <c r="C21" s="1855"/>
      <c r="D21" s="2090" t="s">
        <v>1675</v>
      </c>
      <c r="E21" s="711">
        <v>0.05</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1677</v>
      </c>
      <c r="B22" s="1453">
        <v>2</v>
      </c>
      <c r="C22" s="1855"/>
      <c r="D22" s="2090"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1680</v>
      </c>
      <c r="B23" s="33">
        <f>B20+B21</f>
        <v>2</v>
      </c>
      <c r="C23" s="1855"/>
      <c r="D23" s="2090"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1683</v>
      </c>
      <c r="B24" s="1742">
        <f>B20+B22</f>
        <v>2</v>
      </c>
      <c r="C24" s="1855"/>
      <c r="D24" s="2095"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1686</v>
      </c>
      <c r="B25" s="1452">
        <f>B21-B22</f>
        <v>0</v>
      </c>
      <c r="C25" s="1237"/>
      <c r="D25" s="2085" t="s">
        <v>1687</v>
      </c>
      <c r="E25" s="711">
        <v>0.02</v>
      </c>
      <c r="F25" s="1852" t="s">
        <v>1688</v>
      </c>
      <c r="I25" s="1853"/>
      <c r="AE25" s="1237"/>
      <c r="AF25" s="1237"/>
      <c r="AG25" s="1237"/>
      <c r="AH25" s="1237"/>
      <c r="AI25" s="1237"/>
      <c r="AJ25" s="1237"/>
      <c r="AK25" s="1237"/>
      <c r="AL25" s="1237"/>
      <c r="AM25" s="1237"/>
      <c r="AN25" s="1237"/>
      <c r="AO25" s="1237"/>
    </row>
    <row r="26" spans="1:41" ht="15.75" thickBot="1">
      <c r="A26" s="2104" t="s">
        <v>1689</v>
      </c>
      <c r="B26" s="1094">
        <v>2001</v>
      </c>
      <c r="C26" s="1855"/>
      <c r="D26" s="2090" t="s">
        <v>1690</v>
      </c>
      <c r="E26" s="40">
        <v>0.02</v>
      </c>
      <c r="F26" s="1852" t="s">
        <v>1688</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1691</v>
      </c>
      <c r="E27" s="352">
        <f ca="1">存贷款利率!G1</f>
        <v>4.7500000000000001E-2</v>
      </c>
      <c r="F27" s="1852" t="s">
        <v>1692</v>
      </c>
      <c r="G27" s="2073"/>
      <c r="H27" s="2073"/>
      <c r="K27" s="1855"/>
      <c r="N27" s="1855"/>
      <c r="AE27" s="1237"/>
      <c r="AF27" s="1237"/>
      <c r="AG27" s="1237"/>
      <c r="AH27" s="1237"/>
      <c r="AI27" s="1237"/>
      <c r="AJ27" s="1237"/>
      <c r="AK27" s="1237"/>
      <c r="AL27" s="1237"/>
      <c r="AM27" s="1237"/>
      <c r="AN27" s="1237"/>
      <c r="AO27" s="1237"/>
    </row>
    <row r="28" spans="1:41" ht="15" thickBot="1">
      <c r="A28" s="2105" t="s">
        <v>1693</v>
      </c>
      <c r="B28" s="2106" t="s">
        <v>2828</v>
      </c>
      <c r="C28" s="1237"/>
      <c r="D28" s="2107" t="s">
        <v>1694</v>
      </c>
      <c r="E28" s="989">
        <v>0.15</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4300</v>
      </c>
      <c r="C29" s="1237"/>
      <c r="D29" s="2094" t="s">
        <v>1695</v>
      </c>
      <c r="E29" s="988">
        <f>E30+E31</f>
        <v>5.6000000000000001E-2</v>
      </c>
      <c r="F29" s="1849"/>
      <c r="G29" s="2073"/>
      <c r="H29" s="2073"/>
      <c r="K29" s="1855"/>
      <c r="N29" s="1855"/>
      <c r="AE29" s="1237"/>
      <c r="AF29" s="1237"/>
      <c r="AG29" s="1237"/>
      <c r="AH29" s="1237"/>
      <c r="AI29" s="1237"/>
      <c r="AJ29" s="1237"/>
      <c r="AK29" s="1237"/>
      <c r="AL29" s="1237"/>
      <c r="AM29" s="1237"/>
      <c r="AN29" s="1237"/>
      <c r="AO29" s="1237"/>
    </row>
    <row r="30" spans="1:41" ht="14.25">
      <c r="A30" s="2088" t="s">
        <v>1696</v>
      </c>
      <c r="B30" s="1418">
        <f ca="1">存贷款利率!I1</f>
        <v>1.4999999999999999E-2</v>
      </c>
      <c r="C30" s="1237"/>
      <c r="D30" s="2108" t="s">
        <v>1697</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1698</v>
      </c>
      <c r="B31" s="30">
        <v>2.5000000000000001E-2</v>
      </c>
      <c r="C31" s="1237"/>
      <c r="D31" s="2108" t="s">
        <v>1699</v>
      </c>
      <c r="E31" s="42">
        <f>E30*(E32+E33+E34)+E35</f>
        <v>6.000000000000001E-3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1700</v>
      </c>
      <c r="B32" s="30">
        <v>0.05</v>
      </c>
      <c r="C32" s="1237"/>
      <c r="D32" s="2109" t="s">
        <v>1701</v>
      </c>
      <c r="E32" s="43">
        <v>7.0000000000000007E-2</v>
      </c>
      <c r="F32" s="1847" t="s">
        <v>1702</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1703</v>
      </c>
      <c r="B33" s="1379">
        <f>收益法!J54</f>
        <v>44</v>
      </c>
      <c r="C33" s="1237"/>
      <c r="D33" s="2109" t="s">
        <v>1704</v>
      </c>
      <c r="E33" s="41">
        <v>0.03</v>
      </c>
      <c r="F33" s="1846" t="s">
        <v>1705</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1706</v>
      </c>
      <c r="E34" s="41">
        <v>0.02</v>
      </c>
      <c r="F34" s="1846" t="s">
        <v>1707</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1708</v>
      </c>
      <c r="B35" s="994"/>
      <c r="C35" s="1237"/>
      <c r="D35" s="2113" t="s">
        <v>1709</v>
      </c>
      <c r="E35" s="44"/>
      <c r="F35" s="1854" t="s">
        <v>1710</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1711</v>
      </c>
      <c r="E36" s="45">
        <v>0.03</v>
      </c>
      <c r="F36" s="1850" t="s">
        <v>1712</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1713</v>
      </c>
      <c r="E37" s="41">
        <v>5.0000000000000001E-4</v>
      </c>
      <c r="F37" s="1850" t="s">
        <v>1714</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1715</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1716</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1717</v>
      </c>
      <c r="E40" s="48">
        <f>SUMIF(D42:D51,E41,E42:E51)</f>
        <v>20</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1718</v>
      </c>
      <c r="B41" s="1000">
        <v>1</v>
      </c>
      <c r="C41" s="1237"/>
      <c r="D41" s="2090" t="s">
        <v>1719</v>
      </c>
      <c r="E41" s="2118" t="s">
        <v>161</v>
      </c>
      <c r="F41" s="2735" t="s">
        <v>2831</v>
      </c>
      <c r="G41" s="2119" t="s">
        <v>1720</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1721</v>
      </c>
      <c r="B42" s="993">
        <v>12</v>
      </c>
      <c r="C42" s="1237"/>
      <c r="D42" s="2120" t="s">
        <v>1722</v>
      </c>
      <c r="E42" s="29">
        <f>F42</f>
        <v>20</v>
      </c>
      <c r="F42" s="1848">
        <v>20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1723</v>
      </c>
      <c r="B43" s="29"/>
      <c r="C43" s="1237"/>
      <c r="D43" s="2120" t="s">
        <v>1724</v>
      </c>
      <c r="E43" s="29">
        <f t="shared" ref="E43:E49" si="0">F43</f>
        <v>16</v>
      </c>
      <c r="F43" s="1848">
        <v>16</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1725</v>
      </c>
      <c r="B44" s="1001">
        <v>1.4999999999999999E-2</v>
      </c>
      <c r="C44" s="1237" t="s">
        <v>970</v>
      </c>
      <c r="D44" s="2120" t="s">
        <v>1726</v>
      </c>
      <c r="E44" s="29">
        <f t="shared" si="0"/>
        <v>12</v>
      </c>
      <c r="F44" s="1848">
        <v>12</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1727</v>
      </c>
      <c r="B45" s="1002">
        <v>2E-3</v>
      </c>
      <c r="C45" s="1237" t="s">
        <v>971</v>
      </c>
      <c r="D45" s="2120" t="s">
        <v>1728</v>
      </c>
      <c r="E45" s="29">
        <f t="shared" si="0"/>
        <v>10</v>
      </c>
      <c r="F45" s="1848">
        <v>10</v>
      </c>
      <c r="G45" s="1237"/>
      <c r="H45" s="1237"/>
      <c r="M45" s="1855"/>
      <c r="N45" s="1855"/>
      <c r="AE45" s="1237"/>
      <c r="AF45" s="1237"/>
      <c r="AG45" s="1237"/>
      <c r="AH45" s="1237"/>
      <c r="AI45" s="1237"/>
      <c r="AJ45" s="1237"/>
      <c r="AK45" s="1237"/>
      <c r="AL45" s="1237"/>
      <c r="AM45" s="1237"/>
      <c r="AN45" s="1237"/>
      <c r="AO45" s="1237"/>
    </row>
    <row r="46" spans="1:41" ht="15" thickBot="1">
      <c r="A46" s="2107" t="s">
        <v>1729</v>
      </c>
      <c r="B46" s="1003">
        <v>1.4999999999999999E-2</v>
      </c>
      <c r="C46" s="1237" t="s">
        <v>972</v>
      </c>
      <c r="D46" s="2120" t="s">
        <v>1475</v>
      </c>
      <c r="E46" s="29">
        <f t="shared" si="0"/>
        <v>8</v>
      </c>
      <c r="F46" s="1848">
        <v>8</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1730</v>
      </c>
      <c r="E47" s="29">
        <f t="shared" si="0"/>
        <v>6</v>
      </c>
      <c r="F47" s="1848">
        <v>6</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1731</v>
      </c>
      <c r="E48" s="29">
        <f t="shared" si="0"/>
        <v>4</v>
      </c>
      <c r="F48" s="1855">
        <v>4</v>
      </c>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1732</v>
      </c>
      <c r="E49" s="29">
        <f t="shared" si="0"/>
        <v>2</v>
      </c>
      <c r="F49" s="1855">
        <v>2</v>
      </c>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1734</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2" sqref="K12"/>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41" t="s">
        <v>1735</v>
      </c>
      <c r="B1" s="2842"/>
      <c r="C1" s="2842"/>
      <c r="D1" s="2842"/>
      <c r="E1" s="2842"/>
      <c r="F1" s="2842"/>
      <c r="G1" s="2842"/>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1736</v>
      </c>
      <c r="D2" s="2135"/>
      <c r="E2" s="2136"/>
      <c r="F2" s="2137"/>
      <c r="G2" s="2134" t="s">
        <v>1737</v>
      </c>
      <c r="H2" s="2138"/>
      <c r="I2" s="2138"/>
      <c r="J2" s="2138"/>
      <c r="K2" s="2138"/>
      <c r="L2" s="2138"/>
      <c r="M2" s="2138"/>
      <c r="N2" s="2138"/>
      <c r="O2" s="2138"/>
      <c r="P2" s="2138"/>
      <c r="Q2" s="2138"/>
      <c r="R2" s="2138"/>
    </row>
    <row r="3" spans="1:29" ht="54">
      <c r="A3" s="395" t="s">
        <v>1738</v>
      </c>
      <c r="B3" s="2140" t="s">
        <v>1739</v>
      </c>
      <c r="C3" s="2737" t="s">
        <v>2837</v>
      </c>
      <c r="D3" s="2141"/>
      <c r="E3" s="411" t="s">
        <v>1738</v>
      </c>
      <c r="F3" s="2142" t="s">
        <v>1740</v>
      </c>
      <c r="G3" s="2143" t="s">
        <v>1741</v>
      </c>
      <c r="H3" s="2138"/>
      <c r="I3" s="2138"/>
      <c r="J3" s="2138"/>
      <c r="K3" s="2138"/>
      <c r="L3" s="2138"/>
      <c r="M3" s="2138"/>
      <c r="N3" s="2138"/>
      <c r="O3" s="2138"/>
      <c r="P3" s="2138"/>
      <c r="Q3" s="2138"/>
      <c r="R3" s="2138"/>
    </row>
    <row r="4" spans="1:29" ht="41.25">
      <c r="A4" s="411"/>
      <c r="B4" s="1887" t="s">
        <v>1742</v>
      </c>
      <c r="C4" s="2144" t="s">
        <v>1743</v>
      </c>
      <c r="D4" s="2141"/>
      <c r="E4" s="2145"/>
      <c r="F4" s="2146" t="s">
        <v>1744</v>
      </c>
      <c r="G4" s="2147" t="s">
        <v>1745</v>
      </c>
      <c r="H4" s="2138"/>
      <c r="I4" s="2138"/>
      <c r="J4" s="2138"/>
      <c r="K4" s="2138"/>
      <c r="L4" s="2138"/>
      <c r="M4" s="2138"/>
      <c r="N4" s="2138"/>
      <c r="O4" s="2138"/>
      <c r="P4" s="2138"/>
      <c r="Q4" s="2138"/>
      <c r="R4" s="2138"/>
    </row>
    <row r="5" spans="1:29" ht="41.25">
      <c r="A5" s="411"/>
      <c r="B5" s="1887" t="s">
        <v>1746</v>
      </c>
      <c r="C5" s="2144" t="s">
        <v>1747</v>
      </c>
      <c r="D5" s="2141"/>
      <c r="E5" s="2145"/>
      <c r="F5" s="1887" t="s">
        <v>1748</v>
      </c>
      <c r="G5" s="2147" t="s">
        <v>1749</v>
      </c>
      <c r="H5" s="2138"/>
      <c r="I5" s="2138"/>
      <c r="J5" s="2138"/>
      <c r="K5" s="2138"/>
      <c r="L5" s="2138"/>
      <c r="M5" s="2138"/>
      <c r="N5" s="2138"/>
      <c r="O5" s="2138"/>
      <c r="P5" s="2138"/>
      <c r="Q5" s="2138"/>
      <c r="R5" s="2138"/>
    </row>
    <row r="6" spans="1:29" ht="54">
      <c r="A6" s="411"/>
      <c r="B6" s="1887" t="s">
        <v>1750</v>
      </c>
      <c r="C6" s="2147" t="s">
        <v>1745</v>
      </c>
      <c r="D6" s="2141"/>
      <c r="E6" s="2145"/>
      <c r="F6" s="1887" t="s">
        <v>1751</v>
      </c>
      <c r="G6" s="2147" t="s">
        <v>1752</v>
      </c>
      <c r="H6" s="2138"/>
      <c r="I6" s="2138"/>
      <c r="J6" s="2138"/>
      <c r="K6" s="2138"/>
      <c r="L6" s="2138"/>
      <c r="M6" s="2138"/>
      <c r="N6" s="2138"/>
      <c r="O6" s="2138"/>
      <c r="P6" s="2138"/>
      <c r="Q6" s="2138"/>
      <c r="R6" s="2138"/>
    </row>
    <row r="7" spans="1:29" ht="41.25" thickBot="1">
      <c r="A7" s="411"/>
      <c r="B7" s="1887" t="s">
        <v>1748</v>
      </c>
      <c r="C7" s="2147" t="s">
        <v>1749</v>
      </c>
      <c r="D7" s="2148"/>
      <c r="E7" s="2149"/>
      <c r="F7" s="2150" t="s">
        <v>1753</v>
      </c>
      <c r="G7" s="2151" t="s">
        <v>1754</v>
      </c>
      <c r="H7" s="2138"/>
      <c r="I7" s="2138"/>
      <c r="J7" s="2138"/>
      <c r="K7" s="2138"/>
      <c r="L7" s="2138"/>
      <c r="M7" s="2138"/>
      <c r="N7" s="2138"/>
      <c r="O7" s="2138"/>
      <c r="P7" s="2138"/>
      <c r="Q7" s="2138"/>
      <c r="R7" s="2138"/>
    </row>
    <row r="8" spans="1:29" ht="27">
      <c r="A8" s="411"/>
      <c r="B8" s="1887" t="s">
        <v>1751</v>
      </c>
      <c r="C8" s="2147" t="s">
        <v>1752</v>
      </c>
      <c r="D8" s="2148"/>
      <c r="E8" s="2148"/>
      <c r="F8" s="1246"/>
      <c r="G8" s="1246"/>
      <c r="H8" s="2138"/>
      <c r="I8" s="2138"/>
      <c r="J8" s="2138"/>
      <c r="K8" s="2138"/>
      <c r="L8" s="2138"/>
      <c r="M8" s="2138"/>
      <c r="N8" s="2138"/>
      <c r="O8" s="2138"/>
      <c r="P8" s="2138"/>
      <c r="Q8" s="2138"/>
      <c r="R8" s="2138"/>
    </row>
    <row r="9" spans="1:29" ht="27">
      <c r="A9" s="411"/>
      <c r="B9" s="1887" t="s">
        <v>1755</v>
      </c>
      <c r="C9" s="2144" t="s">
        <v>1756</v>
      </c>
      <c r="D9" s="2141"/>
      <c r="E9" s="2148"/>
      <c r="F9" s="1246"/>
      <c r="G9" s="1246"/>
      <c r="H9" s="2138"/>
      <c r="I9" s="2138"/>
      <c r="J9" s="2138"/>
      <c r="K9" s="2138"/>
      <c r="L9" s="2138"/>
      <c r="M9" s="2138"/>
      <c r="N9" s="2138"/>
      <c r="O9" s="2138"/>
      <c r="P9" s="2138"/>
      <c r="Q9" s="2138"/>
      <c r="R9" s="2138"/>
    </row>
    <row r="10" spans="1:29" s="35" customFormat="1" ht="15.75" thickBot="1">
      <c r="A10" s="2152"/>
      <c r="B10" s="2153" t="s">
        <v>1757</v>
      </c>
      <c r="C10" s="2154"/>
      <c r="D10" s="2141"/>
      <c r="E10" s="2141"/>
      <c r="F10" s="1246"/>
      <c r="G10" s="1246"/>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6"/>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1758</v>
      </c>
      <c r="B13" s="2159"/>
      <c r="C13" s="2159"/>
      <c r="D13" s="2135"/>
      <c r="E13" s="2159"/>
      <c r="F13" s="2159"/>
      <c r="G13" s="2159"/>
    </row>
    <row r="14" spans="1:29" ht="15.75" thickBot="1">
      <c r="A14" s="2169"/>
      <c r="B14" s="2170"/>
      <c r="C14" s="2171" t="s">
        <v>1759</v>
      </c>
      <c r="D14" s="2141"/>
      <c r="E14" s="2172"/>
      <c r="F14" s="2172"/>
      <c r="G14" s="2134" t="s">
        <v>1760</v>
      </c>
    </row>
    <row r="15" spans="1:29" ht="57">
      <c r="A15" s="25" t="s">
        <v>1761</v>
      </c>
      <c r="B15" s="2173" t="s">
        <v>1739</v>
      </c>
      <c r="C15" s="2174" t="str">
        <f>C3</f>
        <v>估价对象周边居住用地比例、居住小区规模和社区发展完善程度，综合评价居住社区成熟度较好</v>
      </c>
      <c r="D15" s="2141"/>
      <c r="E15" s="2175" t="s">
        <v>1762</v>
      </c>
      <c r="F15" s="2173" t="s">
        <v>1763</v>
      </c>
      <c r="G15" s="51" t="str">
        <f>G3</f>
        <v>估价对象位于XX开发区，园区建设成熟度XX，产业集聚程度XX</v>
      </c>
    </row>
    <row r="16" spans="1:29" ht="42.75">
      <c r="A16" s="629"/>
      <c r="B16" s="1492" t="s">
        <v>1742</v>
      </c>
      <c r="C16" s="2176" t="str">
        <f>C4</f>
        <v>估价对象位于XX商圈，周边商业氛围成熟，人流量大，商业繁华度好</v>
      </c>
      <c r="D16" s="2141"/>
      <c r="E16" s="2177"/>
      <c r="F16" s="2178" t="s">
        <v>1744</v>
      </c>
      <c r="G16" s="52" t="str">
        <f>G4</f>
        <v>估价对象周边道路状况、公共交通通达情况、停车便捷程度，综合评价交通便捷度较好</v>
      </c>
    </row>
    <row r="17" spans="1:18" ht="42.75">
      <c r="A17" s="629"/>
      <c r="B17" s="1492" t="s">
        <v>1746</v>
      </c>
      <c r="C17" s="2176" t="str">
        <f>C5</f>
        <v>估价对象位于XX商圈，周边办公楼项目较多，入驻率高，办公集聚程度较好</v>
      </c>
      <c r="D17" s="2148"/>
      <c r="E17" s="2177"/>
      <c r="F17" s="2178" t="s">
        <v>1764</v>
      </c>
      <c r="G17" s="2179"/>
    </row>
    <row r="18" spans="1:18" ht="57">
      <c r="A18" s="629"/>
      <c r="B18" s="2178" t="s">
        <v>1750</v>
      </c>
      <c r="C18" s="52" t="str">
        <f>C6</f>
        <v>估价对象周边道路状况、公共交通通达情况、停车便捷程度，综合评价交通便捷度较好</v>
      </c>
      <c r="D18" s="2148"/>
      <c r="E18" s="2177"/>
      <c r="F18" s="2178" t="s">
        <v>1753</v>
      </c>
      <c r="G18" s="52" t="str">
        <f>G7</f>
        <v>该园区内是否有污染型企业，绿化情况，卫生条件，整体环境状况判断</v>
      </c>
    </row>
    <row r="19" spans="1:18" ht="28.5">
      <c r="A19" s="629"/>
      <c r="B19" s="2178" t="s">
        <v>1765</v>
      </c>
      <c r="C19" s="2179"/>
      <c r="D19" s="2141"/>
      <c r="E19" s="2177"/>
      <c r="F19" s="1887" t="s">
        <v>1748</v>
      </c>
      <c r="G19" s="52" t="str">
        <f>G5</f>
        <v>估价对象所在区域公共配套设施齐备情况</v>
      </c>
    </row>
    <row r="20" spans="1:18" ht="28.5">
      <c r="A20" s="629"/>
      <c r="B20" s="2178" t="s">
        <v>1766</v>
      </c>
      <c r="C20" s="2176" t="str">
        <f>C9</f>
        <v>区域自然环境：；人文环境；综合评价环境状况一般</v>
      </c>
      <c r="D20" s="2148"/>
      <c r="E20" s="2177"/>
      <c r="F20" s="1887" t="s">
        <v>1767</v>
      </c>
      <c r="G20" s="52" t="str">
        <f>G6</f>
        <v>估价对象所在区域基础设施水平</v>
      </c>
    </row>
    <row r="21" spans="1:18" ht="28.5">
      <c r="A21" s="629"/>
      <c r="B21" s="1887" t="s">
        <v>1748</v>
      </c>
      <c r="C21" s="52" t="str">
        <f>C7</f>
        <v>估价对象所在区域公共配套设施齐备情况</v>
      </c>
      <c r="D21" s="2141"/>
      <c r="E21" s="2177"/>
      <c r="F21" s="2178" t="s">
        <v>1768</v>
      </c>
      <c r="G21" s="2180"/>
    </row>
    <row r="22" spans="1:18" ht="28.5">
      <c r="A22" s="629"/>
      <c r="B22" s="1887" t="s">
        <v>1751</v>
      </c>
      <c r="C22" s="52" t="str">
        <f>C8</f>
        <v>估价对象所在区域基础设施水平</v>
      </c>
      <c r="D22" s="2141"/>
      <c r="E22" s="2177"/>
      <c r="F22" s="2178" t="s">
        <v>1757</v>
      </c>
      <c r="G22" s="2181"/>
    </row>
    <row r="23" spans="1:18" s="2138" customFormat="1" ht="15.75" thickBot="1">
      <c r="A23" s="629"/>
      <c r="B23" s="2178" t="s">
        <v>1768</v>
      </c>
      <c r="C23" s="2180"/>
      <c r="D23" s="2166"/>
      <c r="E23" s="2182"/>
      <c r="F23" s="2183" t="s">
        <v>1769</v>
      </c>
      <c r="G23" s="2184"/>
      <c r="H23" s="2166"/>
      <c r="I23" s="2167"/>
      <c r="J23" s="2166"/>
      <c r="K23" s="2166"/>
      <c r="L23" s="2167"/>
      <c r="M23" s="2166"/>
      <c r="N23" s="2166"/>
      <c r="O23" s="2167"/>
      <c r="P23" s="2166"/>
      <c r="Q23" s="2166"/>
      <c r="R23" s="2168"/>
    </row>
    <row r="24" spans="1:18" s="2138" customFormat="1" ht="15.75" thickBot="1">
      <c r="A24" s="2185"/>
      <c r="B24" s="2183" t="s">
        <v>1770</v>
      </c>
      <c r="C24" s="53">
        <f>C10</f>
        <v>0</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30" t="s">
        <v>1227</v>
      </c>
      <c r="B1" s="1830">
        <f>SUM(B14:B23)</f>
        <v>253.83999999999997</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43074</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240.91969999999998</v>
      </c>
      <c r="C5" s="1830">
        <f ca="1">ROUND(B5*10000/$B$1,0)</f>
        <v>9491</v>
      </c>
      <c r="D5" s="1830" t="e">
        <f ca="1">ROUND(B5*10000/$B$2,0)</f>
        <v>#DIV/0!</v>
      </c>
      <c r="E5" s="1831"/>
      <c r="F5" s="1835"/>
      <c r="G5" s="1835"/>
    </row>
    <row r="6" spans="1:9" ht="16.5">
      <c r="A6" s="1830" t="s">
        <v>1235</v>
      </c>
      <c r="B6" s="1830">
        <f ca="1">SUM(G14:G23)</f>
        <v>132.9083</v>
      </c>
      <c r="C6" s="1830">
        <f t="shared" ref="C6:C8" ca="1" si="0">ROUND(B6*10000/$B$1,0)</f>
        <v>5236</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1227</v>
      </c>
      <c r="C13" s="1834" t="s">
        <v>1228</v>
      </c>
      <c r="D13" s="1834" t="s">
        <v>1240</v>
      </c>
      <c r="E13" s="1830" t="s">
        <v>1232</v>
      </c>
      <c r="F13" s="1830" t="s">
        <v>1233</v>
      </c>
      <c r="G13" s="1834" t="s">
        <v>1241</v>
      </c>
      <c r="H13" s="1834" t="s">
        <v>1242</v>
      </c>
      <c r="I13" s="1834" t="s">
        <v>1243</v>
      </c>
    </row>
    <row r="14" spans="1:9" ht="16.5">
      <c r="A14" s="1837" t="s">
        <v>2899</v>
      </c>
      <c r="B14" s="1834">
        <f>项目基本情况!C12</f>
        <v>142.82</v>
      </c>
      <c r="C14" s="1834">
        <f>项目基本情况!C13</f>
        <v>0</v>
      </c>
      <c r="D14" s="1834">
        <f ca="1">IF('数据-取费表'!B3="万元",IF(A14="估价对象1（结果表）",结果表!H121,'结果表 (1修多)'!H124),IF(A14="估价对象1（结果表）",结果表!H121,'结果表 (1修多)'!H124)/10000)</f>
        <v>132.9083</v>
      </c>
      <c r="E14" s="1834">
        <f ca="1">ROUND(D14*10000/B14,0)</f>
        <v>9306</v>
      </c>
      <c r="F14" s="1834" t="e">
        <f ca="1">ROUND(D14*10000/C14,0)</f>
        <v>#DIV/0!</v>
      </c>
      <c r="G14" s="1834">
        <f ca="1">IF('数据-取费表'!B3="万元",IF(A14="估价对象1（结果表）",结果表!D125,'结果表 (1修多)'!D128),IF(A14="估价对象1（结果表）",结果表!D125,'结果表 (1修多)'!D128)/10000)</f>
        <v>132.9083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f>典型户型修正!B28</f>
        <v>111.02</v>
      </c>
      <c r="C15" s="1838"/>
      <c r="D15" s="1838">
        <f ca="1">典型户型修正!S28/10000</f>
        <v>108.01139999999999</v>
      </c>
      <c r="E15" s="1834">
        <f t="shared" ref="E15:E23" ca="1" si="2">ROUND(D15*10000/B15,0)</f>
        <v>9729</v>
      </c>
      <c r="F15" s="1834" t="e">
        <f t="shared" ref="F15:F23" ca="1"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5" sqref="J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1771</v>
      </c>
      <c r="B1" s="2192"/>
      <c r="C1" s="2192"/>
      <c r="D1" s="2192"/>
      <c r="E1" s="2192"/>
      <c r="F1" s="2192"/>
      <c r="G1" s="2192"/>
      <c r="H1" s="2192"/>
      <c r="I1" s="2192"/>
    </row>
    <row r="2" spans="1:12" ht="21.75" customHeight="1">
      <c r="A2" s="2907" t="str">
        <f>项目基本情况!B1</f>
        <v>重庆市房地产市场价值预评估</v>
      </c>
      <c r="B2" s="2907"/>
      <c r="C2" s="2907"/>
      <c r="D2" s="2907"/>
      <c r="E2" s="2907"/>
      <c r="F2" s="2907"/>
      <c r="G2" s="2907"/>
      <c r="H2" s="2907"/>
      <c r="I2" s="2907"/>
    </row>
    <row r="3" spans="1:12" ht="12.75">
      <c r="A3" s="2910" t="s">
        <v>1772</v>
      </c>
      <c r="B3" s="2911"/>
      <c r="C3" s="2911"/>
      <c r="D3" s="2911"/>
      <c r="E3" s="2911"/>
      <c r="F3" s="2911"/>
      <c r="G3" s="2911"/>
      <c r="H3" s="2911"/>
      <c r="I3" s="2911"/>
    </row>
    <row r="4" spans="1:12" ht="14.25">
      <c r="A4" s="2194" t="s">
        <v>1773</v>
      </c>
      <c r="B4" s="2195" t="s">
        <v>1774</v>
      </c>
      <c r="C4" s="2196" t="s">
        <v>2889</v>
      </c>
      <c r="D4" s="2196" t="s">
        <v>2888</v>
      </c>
      <c r="E4" s="2891" t="s">
        <v>1775</v>
      </c>
      <c r="F4" s="2892"/>
      <c r="G4" s="2892"/>
      <c r="H4" s="2892"/>
      <c r="I4" s="290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1776</v>
      </c>
      <c r="B5" s="2846">
        <v>25</v>
      </c>
      <c r="C5" s="2895"/>
      <c r="D5" s="2909"/>
      <c r="E5" s="56" t="s">
        <v>1777</v>
      </c>
      <c r="F5" s="2197"/>
      <c r="G5" s="2197"/>
      <c r="H5" s="2197"/>
      <c r="I5" s="2198"/>
    </row>
    <row r="6" spans="1:12" ht="12.75">
      <c r="A6" s="2884"/>
      <c r="B6" s="2846"/>
      <c r="C6" s="2912"/>
      <c r="D6" s="2909"/>
      <c r="E6" s="56" t="s">
        <v>1778</v>
      </c>
      <c r="F6" s="2197"/>
      <c r="G6" s="2197"/>
      <c r="H6" s="2197"/>
      <c r="I6" s="2198"/>
    </row>
    <row r="7" spans="1:12" ht="12.75">
      <c r="A7" s="2884"/>
      <c r="B7" s="2846"/>
      <c r="C7" s="2896"/>
      <c r="D7" s="2909"/>
      <c r="E7" s="56" t="s">
        <v>1779</v>
      </c>
      <c r="F7" s="2197"/>
      <c r="G7" s="2197"/>
      <c r="H7" s="2197"/>
      <c r="I7" s="2198"/>
    </row>
    <row r="8" spans="1:12" ht="12.75">
      <c r="A8" s="2884" t="s">
        <v>1780</v>
      </c>
      <c r="B8" s="2846">
        <v>15</v>
      </c>
      <c r="C8" s="2895"/>
      <c r="D8" s="2909"/>
      <c r="E8" s="56" t="s">
        <v>1781</v>
      </c>
      <c r="F8" s="2197"/>
      <c r="G8" s="2197"/>
      <c r="H8" s="2197"/>
      <c r="I8" s="2198"/>
    </row>
    <row r="9" spans="1:12" ht="12.75">
      <c r="A9" s="2884"/>
      <c r="B9" s="2846"/>
      <c r="C9" s="2896"/>
      <c r="D9" s="2909"/>
      <c r="E9" s="56" t="s">
        <v>1782</v>
      </c>
      <c r="F9" s="2197"/>
      <c r="G9" s="2197"/>
      <c r="H9" s="2197"/>
      <c r="I9" s="2198"/>
    </row>
    <row r="10" spans="1:12" ht="12.75">
      <c r="A10" s="2884" t="s">
        <v>1783</v>
      </c>
      <c r="B10" s="2846">
        <v>15</v>
      </c>
      <c r="C10" s="2895"/>
      <c r="D10" s="2909"/>
      <c r="E10" s="56" t="s">
        <v>1784</v>
      </c>
      <c r="F10" s="2197"/>
      <c r="G10" s="2197"/>
      <c r="H10" s="2197"/>
      <c r="I10" s="2198"/>
    </row>
    <row r="11" spans="1:12" ht="12.75">
      <c r="A11" s="2884"/>
      <c r="B11" s="2846"/>
      <c r="C11" s="2896"/>
      <c r="D11" s="2909"/>
      <c r="E11" s="56" t="s">
        <v>1785</v>
      </c>
      <c r="F11" s="2197"/>
      <c r="G11" s="2197"/>
      <c r="H11" s="2197"/>
      <c r="I11" s="2198"/>
    </row>
    <row r="12" spans="1:12" ht="12.75">
      <c r="A12" s="2884" t="s">
        <v>1786</v>
      </c>
      <c r="B12" s="2846">
        <v>15</v>
      </c>
      <c r="C12" s="2895"/>
      <c r="D12" s="2909"/>
      <c r="E12" s="56" t="s">
        <v>1787</v>
      </c>
      <c r="F12" s="2197"/>
      <c r="G12" s="2197"/>
      <c r="H12" s="2197"/>
      <c r="I12" s="2198"/>
    </row>
    <row r="13" spans="1:12" ht="12.75">
      <c r="A13" s="2884"/>
      <c r="B13" s="2846"/>
      <c r="C13" s="2896"/>
      <c r="D13" s="2909"/>
      <c r="E13" s="56" t="s">
        <v>1788</v>
      </c>
      <c r="F13" s="2197"/>
      <c r="G13" s="2197"/>
      <c r="H13" s="2197"/>
      <c r="I13" s="2198"/>
    </row>
    <row r="14" spans="1:12" ht="12.75">
      <c r="A14" s="2884" t="s">
        <v>1789</v>
      </c>
      <c r="B14" s="2846">
        <v>30</v>
      </c>
      <c r="C14" s="2895">
        <v>7</v>
      </c>
      <c r="D14" s="2909">
        <v>3</v>
      </c>
      <c r="E14" s="56" t="s">
        <v>1790</v>
      </c>
      <c r="F14" s="2197"/>
      <c r="G14" s="2197"/>
      <c r="H14" s="2197"/>
      <c r="I14" s="2198"/>
    </row>
    <row r="15" spans="1:12" ht="12.75">
      <c r="A15" s="2884"/>
      <c r="B15" s="2846"/>
      <c r="C15" s="2912"/>
      <c r="D15" s="2909"/>
      <c r="E15" s="56" t="s">
        <v>1791</v>
      </c>
      <c r="F15" s="2197"/>
      <c r="G15" s="2197"/>
      <c r="H15" s="2197"/>
      <c r="I15" s="2198"/>
    </row>
    <row r="16" spans="1:12" ht="12.75">
      <c r="A16" s="2884"/>
      <c r="B16" s="2846"/>
      <c r="C16" s="2896"/>
      <c r="D16" s="2909"/>
      <c r="E16" s="56" t="s">
        <v>1792</v>
      </c>
      <c r="F16" s="2197"/>
      <c r="G16" s="2197"/>
      <c r="H16" s="2197"/>
      <c r="I16" s="2198"/>
    </row>
    <row r="17" spans="1:35" ht="15">
      <c r="A17" s="2199" t="s">
        <v>1793</v>
      </c>
      <c r="B17" s="2200"/>
      <c r="C17" s="57">
        <f>SUM(C5:C16)</f>
        <v>7</v>
      </c>
      <c r="D17" s="57">
        <f>SUM(D5:D16)</f>
        <v>3</v>
      </c>
      <c r="E17" s="2192"/>
      <c r="F17" s="2192"/>
      <c r="G17" s="2192"/>
      <c r="H17" s="2192"/>
      <c r="I17" s="2192"/>
    </row>
    <row r="18" spans="1:35" ht="15.75" thickBot="1">
      <c r="A18" s="2201" t="s">
        <v>1794</v>
      </c>
      <c r="B18" s="2202"/>
      <c r="C18" s="58">
        <f>ROUND(C17/SUM(C17:D17),2)</f>
        <v>0.7</v>
      </c>
      <c r="D18" s="58">
        <f>1-C18</f>
        <v>0.30000000000000004</v>
      </c>
      <c r="E18" s="2192"/>
      <c r="F18" s="2192"/>
      <c r="G18" s="2192"/>
      <c r="H18" s="2192"/>
      <c r="I18" s="2192"/>
    </row>
    <row r="19" spans="1:35" ht="15">
      <c r="A19" s="2203" t="s">
        <v>1795</v>
      </c>
      <c r="B19" s="2204" t="s">
        <v>1796</v>
      </c>
      <c r="C19" s="59">
        <f ca="1">SUMIF(INDIRECT("'"&amp;C4&amp;"'"&amp;"!A:A"),结果表!B19,INDIRECT("'"&amp;C4&amp;"'"&amp;"!B:B"))</f>
        <v>1529031</v>
      </c>
      <c r="D19" s="60">
        <f ca="1">SUMIF(INDIRECT("'"&amp;D4&amp;"'"&amp;"!A:A"),结果表!B19,INDIRECT("'"&amp;D4&amp;"'"&amp;"!B:B"))</f>
        <v>862400</v>
      </c>
      <c r="E19" s="2203" t="s">
        <v>1797</v>
      </c>
      <c r="F19" s="2204" t="s">
        <v>1796</v>
      </c>
      <c r="G19" s="61">
        <f ca="1">ROUND(C19*$C$18+D19*$D$18,0)</f>
        <v>1329042</v>
      </c>
      <c r="H19" s="2205" t="str">
        <f>'数据-取费表'!B3</f>
        <v>元</v>
      </c>
      <c r="I19" s="2192"/>
    </row>
    <row r="20" spans="1:35" ht="15">
      <c r="A20" s="2206"/>
      <c r="B20" s="2207" t="s">
        <v>1798</v>
      </c>
      <c r="C20" s="62">
        <f ca="1">SUMIF(INDIRECT("'"&amp;C4&amp;"'"&amp;"!A:A"),结果表!B20,INDIRECT("'"&amp;C4&amp;"'"&amp;"!B:B"))</f>
        <v>10706</v>
      </c>
      <c r="D20" s="63">
        <f ca="1">SUMIF(INDIRECT("'"&amp;D4&amp;"'"&amp;"!A:A"),结果表!B20,INDIRECT("'"&amp;D4&amp;"'"&amp;"!B:B"))</f>
        <v>6038</v>
      </c>
      <c r="E20" s="2206"/>
      <c r="F20" s="2207" t="s">
        <v>1798</v>
      </c>
      <c r="G20" s="64">
        <f ca="1">ROUND(C20*$C$18+D20*$D$18,0)</f>
        <v>9306</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f ca="1">IF(C19&lt;D19,D19/C19-1,C19/D19-1)</f>
        <v>0.77299512987012986</v>
      </c>
      <c r="E22" s="2192"/>
      <c r="F22" s="2192"/>
      <c r="G22" s="2192"/>
      <c r="H22" s="2192"/>
      <c r="I22" s="2192"/>
    </row>
    <row r="23" spans="1:35" ht="13.5" thickBot="1">
      <c r="A23" s="2192"/>
      <c r="B23" s="2192"/>
      <c r="C23" s="2192"/>
      <c r="D23" s="2192"/>
      <c r="E23" s="2192"/>
      <c r="F23" s="2192"/>
      <c r="G23" s="2192"/>
      <c r="H23" s="2192"/>
      <c r="I23" s="2192"/>
    </row>
    <row r="24" spans="1:35" ht="21.75" customHeight="1">
      <c r="A24" s="2915" t="s">
        <v>1801</v>
      </c>
      <c r="B24" s="2204" t="s">
        <v>1796</v>
      </c>
      <c r="C24" s="61">
        <f>D30</f>
        <v>0</v>
      </c>
      <c r="D24" s="994"/>
      <c r="E24" s="2192"/>
      <c r="F24" s="2192"/>
      <c r="G24" s="2192"/>
      <c r="H24" s="2192"/>
      <c r="I24" s="2192"/>
    </row>
    <row r="25" spans="1:35" ht="21.75" customHeight="1">
      <c r="A25" s="2916"/>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1806</v>
      </c>
      <c r="B30" s="67"/>
      <c r="C30" s="67"/>
      <c r="D30" s="67"/>
      <c r="E30" s="2714" t="s">
        <v>2810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1807</v>
      </c>
      <c r="B32" s="2221" t="str">
        <f>'数据-取费表'!B4</f>
        <v>楼面单价</v>
      </c>
      <c r="C32" s="1145">
        <f ca="1">IF(B32="总价",G19-C24,G20-C25)</f>
        <v>9306</v>
      </c>
      <c r="D32" s="2192" t="str">
        <f>IF(B32="楼面单价","元/平方米",H19)</f>
        <v>元/平方米</v>
      </c>
      <c r="E32" s="2192"/>
      <c r="F32" s="2192"/>
      <c r="G32" s="2192"/>
      <c r="H32" s="2192"/>
      <c r="I32" s="2192"/>
    </row>
    <row r="33" spans="1:16" ht="15">
      <c r="A33" s="2222" t="s">
        <v>1808</v>
      </c>
      <c r="B33" s="2223"/>
      <c r="C33" s="2224"/>
      <c r="D33" s="2225"/>
      <c r="E33" s="2226" t="s">
        <v>1809</v>
      </c>
      <c r="F33" s="2227" t="str">
        <f>IF(B32="楼面单价","取值（单价）","取值（总价）")</f>
        <v>取值（单价）</v>
      </c>
      <c r="G33" s="2192"/>
      <c r="H33" s="2192"/>
      <c r="I33" s="2192"/>
    </row>
    <row r="34" spans="1:16" ht="15">
      <c r="A34" s="2228"/>
      <c r="B34" s="2229" t="s">
        <v>1810</v>
      </c>
      <c r="C34" s="72">
        <f ca="1">IF(D33="自定义",F34,C32-C35)</f>
        <v>4355</v>
      </c>
      <c r="D34" s="1091">
        <f ca="1">IF(D33="自定义",ROUND(C34/C32,3),1-D35)</f>
        <v>0.46799999999999997</v>
      </c>
      <c r="E34" s="2230" t="s">
        <v>1811</v>
      </c>
      <c r="F34" s="1828">
        <v>2000</v>
      </c>
      <c r="G34" s="2192"/>
      <c r="H34" s="2192"/>
      <c r="I34" s="2192"/>
    </row>
    <row r="35" spans="1:16" ht="15.75" thickBot="1">
      <c r="A35" s="2231"/>
      <c r="B35" s="2232" t="s">
        <v>1812</v>
      </c>
      <c r="C35" s="73">
        <f ca="1">IF(D33="自定义",F35,ROUND(C32*D35,0))</f>
        <v>4951</v>
      </c>
      <c r="D35" s="1090">
        <f ca="1">IF(D33="自定义",ROUND(C35/C32,3),IF(D33="成本法成本比率",成本法!C56,IF(D33="收益法收益比率",收益法!J38,收益法!J41)))</f>
        <v>0.53200000000000003</v>
      </c>
      <c r="E35" s="2233" t="s">
        <v>1813</v>
      </c>
      <c r="F35" s="79">
        <v>4460</v>
      </c>
      <c r="G35" s="2192"/>
      <c r="H35" s="2192"/>
      <c r="I35" s="2192"/>
    </row>
    <row r="36" spans="1:16" ht="15.75" thickBot="1">
      <c r="A36" s="2897" t="s">
        <v>1814</v>
      </c>
      <c r="B36" s="2234" t="s">
        <v>1815</v>
      </c>
      <c r="C36" s="69">
        <v>0</v>
      </c>
      <c r="D36" s="2235"/>
      <c r="E36" s="2236"/>
      <c r="F36" s="2236"/>
      <c r="G36" s="2192"/>
      <c r="H36" s="2192"/>
      <c r="I36" s="2192"/>
    </row>
    <row r="37" spans="1:16" ht="15.75" thickBot="1">
      <c r="A37" s="2898"/>
      <c r="B37" s="2237" t="s">
        <v>1816</v>
      </c>
      <c r="C37" s="71">
        <v>0</v>
      </c>
      <c r="D37" s="2202"/>
      <c r="E37" s="2202"/>
      <c r="F37" s="2236"/>
      <c r="G37" s="2202"/>
      <c r="H37" s="2202"/>
      <c r="I37" s="2202"/>
    </row>
    <row r="38" spans="1:16" ht="15.75" thickBot="1">
      <c r="A38" s="2899"/>
      <c r="B38" s="2238" t="s">
        <v>1817</v>
      </c>
      <c r="C38" s="712">
        <v>0</v>
      </c>
      <c r="D38" s="2239" t="s">
        <v>1818</v>
      </c>
      <c r="E38" s="2202"/>
      <c r="F38" s="2236"/>
      <c r="G38" s="2202"/>
      <c r="H38" s="2202"/>
      <c r="I38" s="2202"/>
    </row>
    <row r="39" spans="1:16" ht="15">
      <c r="A39" s="2206" t="s">
        <v>1819</v>
      </c>
      <c r="B39" s="2240" t="s">
        <v>1803</v>
      </c>
      <c r="C39" s="2241" t="s">
        <v>1804</v>
      </c>
      <c r="D39" s="2241" t="s">
        <v>1820</v>
      </c>
      <c r="E39" s="2242" t="s">
        <v>1805</v>
      </c>
      <c r="F39" s="2236"/>
      <c r="G39" s="2202"/>
      <c r="H39" s="2202"/>
      <c r="I39" s="2202"/>
    </row>
    <row r="40" spans="1:16" ht="14.25">
      <c r="A40" s="2243" t="s">
        <v>1821</v>
      </c>
      <c r="B40" s="74"/>
      <c r="C40" s="75"/>
      <c r="D40" s="75"/>
      <c r="E40" s="76"/>
      <c r="F40" s="2236"/>
      <c r="G40" s="2202"/>
      <c r="H40" s="2202"/>
      <c r="I40" s="2202"/>
    </row>
    <row r="41" spans="1:16" ht="14.25">
      <c r="A41" s="2243" t="s">
        <v>1822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1823</v>
      </c>
      <c r="B44" s="2249"/>
      <c r="C44" s="2249"/>
      <c r="D44" s="2250"/>
      <c r="E44" s="2250"/>
      <c r="F44" s="2251"/>
      <c r="G44" s="2251"/>
      <c r="H44" s="2251"/>
      <c r="I44" s="2251"/>
      <c r="J44" s="2252" t="s">
        <v>1824</v>
      </c>
      <c r="K44" s="2253"/>
      <c r="L44" s="2253"/>
      <c r="M44" s="2253"/>
      <c r="N44" s="2253"/>
      <c r="O44" s="2253"/>
      <c r="P44" s="1845"/>
    </row>
    <row r="45" spans="1:16" ht="14.25" customHeight="1" thickBot="1">
      <c r="A45" s="2903" t="s">
        <v>1825</v>
      </c>
      <c r="B45" s="2904"/>
      <c r="C45" s="2905"/>
      <c r="D45" s="80">
        <f ca="1">ROUND(I102*F45,0)</f>
        <v>1329083</v>
      </c>
      <c r="E45" s="81" t="s">
        <v>1826</v>
      </c>
      <c r="F45" s="82">
        <v>1</v>
      </c>
      <c r="G45" s="83" t="s">
        <v>1827</v>
      </c>
      <c r="H45" s="2192"/>
      <c r="I45" s="2192"/>
      <c r="J45" s="2965" t="s">
        <v>1828</v>
      </c>
      <c r="K45" s="2965"/>
      <c r="L45" s="2965"/>
      <c r="M45" s="2965"/>
      <c r="N45" s="2965"/>
      <c r="O45" s="2965"/>
      <c r="P45" s="1845"/>
    </row>
    <row r="46" spans="1:16" ht="14.25" customHeight="1">
      <c r="A46" s="2888" t="s">
        <v>1829</v>
      </c>
      <c r="B46" s="2889"/>
      <c r="C46" s="2889"/>
      <c r="D46" s="2889"/>
      <c r="E46" s="2889"/>
      <c r="F46" s="2889"/>
      <c r="G46" s="2890"/>
      <c r="H46" s="2254"/>
      <c r="I46" s="1144"/>
      <c r="J46" s="1883">
        <v>1</v>
      </c>
      <c r="K46" s="2965" t="s">
        <v>1830</v>
      </c>
      <c r="L46" s="2965"/>
      <c r="M46" s="2966" t="str">
        <f>项目基本情况!B1</f>
        <v>重庆市房地产市场价值预评估</v>
      </c>
      <c r="N46" s="2966"/>
      <c r="O46" s="2966"/>
      <c r="P46" s="1845"/>
    </row>
    <row r="47" spans="1:16" ht="12" customHeight="1">
      <c r="A47" s="85" t="s">
        <v>1831</v>
      </c>
      <c r="B47" s="86"/>
      <c r="C47" s="87"/>
      <c r="D47" s="88" t="s">
        <v>1832</v>
      </c>
      <c r="E47" s="14" t="s">
        <v>1833</v>
      </c>
      <c r="F47" s="89" t="s">
        <v>1834</v>
      </c>
      <c r="G47" s="90" t="s">
        <v>1835</v>
      </c>
      <c r="H47" s="2254"/>
      <c r="I47" s="1144"/>
      <c r="J47" s="1883">
        <v>2</v>
      </c>
      <c r="K47" s="2965" t="s">
        <v>1836</v>
      </c>
      <c r="L47" s="2965"/>
      <c r="M47" s="2967">
        <f>'数据-取费表'!B2</f>
        <v>43074</v>
      </c>
      <c r="N47" s="2967"/>
      <c r="O47" s="2967"/>
      <c r="P47" s="1845"/>
    </row>
    <row r="48" spans="1:16" ht="25.5">
      <c r="A48" s="2900" t="s">
        <v>1837</v>
      </c>
      <c r="B48" s="2901"/>
      <c r="C48" s="2901"/>
      <c r="D48" s="56">
        <f ca="1">IF(H48="情况1",0,IF(H48="情况2",D52,IF(H48="情况3",D53,IF(H48="情况4",D54))))</f>
        <v>70884</v>
      </c>
      <c r="E48" s="1893" t="str">
        <f>IF(H48="情况4","(销售额-原购置价)×税（费）率","销售额×税（费）率")</f>
        <v>销售额×税（费）率</v>
      </c>
      <c r="F48" s="91">
        <f>IF(H48="情况1","免征",'数据-取费表'!E29)</f>
        <v>5.6000000000000001E-2</v>
      </c>
      <c r="G48" s="2255" t="s">
        <v>1838</v>
      </c>
      <c r="H48" s="2256" t="s">
        <v>1839</v>
      </c>
      <c r="I48" s="2254"/>
      <c r="J48" s="1883">
        <v>3</v>
      </c>
      <c r="K48" s="2965" t="s">
        <v>1840</v>
      </c>
      <c r="L48" s="2965"/>
      <c r="M48" s="2966">
        <f ca="1">I102</f>
        <v>1329083</v>
      </c>
      <c r="N48" s="2966"/>
      <c r="O48" s="2966"/>
      <c r="P48" s="1845"/>
    </row>
    <row r="49" spans="1:16" ht="25.5" customHeight="1">
      <c r="A49" s="92" t="s">
        <v>1841</v>
      </c>
      <c r="B49" s="2893" t="s">
        <v>1842</v>
      </c>
      <c r="C49" s="2893"/>
      <c r="D49" s="93">
        <v>0</v>
      </c>
      <c r="E49" s="13" t="s">
        <v>1843</v>
      </c>
      <c r="F49" s="18" t="s">
        <v>48</v>
      </c>
      <c r="G49" s="2958"/>
      <c r="H49" s="2192"/>
      <c r="I49" s="2257"/>
      <c r="J49" s="1883">
        <v>4</v>
      </c>
      <c r="K49" s="2965" t="str">
        <f>IF(项目基本情况!F5="房地产抵押价值","房地产抵押价值","抵押担保权已注销时的房地产抵押价值")</f>
        <v>抵押担保权已注销时的房地产抵押价值</v>
      </c>
      <c r="L49" s="2965"/>
      <c r="M49" s="2966" t="str">
        <f>IF(项目基本情况!E8="房地产抵押价值",I110,I112)</f>
        <v>——</v>
      </c>
      <c r="N49" s="2966"/>
      <c r="O49" s="2966"/>
      <c r="P49" s="1845"/>
    </row>
    <row r="50" spans="1:16" ht="25.5" customHeight="1">
      <c r="A50" s="94"/>
      <c r="B50" s="2893" t="s">
        <v>1844</v>
      </c>
      <c r="C50" s="2893"/>
      <c r="D50" s="95"/>
      <c r="E50" s="21"/>
      <c r="F50" s="96"/>
      <c r="G50" s="2959"/>
      <c r="H50" s="2192"/>
      <c r="I50" s="2257"/>
      <c r="J50" s="2965" t="s">
        <v>1845</v>
      </c>
      <c r="K50" s="2965"/>
      <c r="L50" s="2965"/>
      <c r="M50" s="2965"/>
      <c r="N50" s="2965"/>
      <c r="O50" s="2965"/>
      <c r="P50" s="1845"/>
    </row>
    <row r="51" spans="1:16" ht="12" customHeight="1">
      <c r="A51" s="97"/>
      <c r="B51" s="2893" t="s">
        <v>1846</v>
      </c>
      <c r="C51" s="2893"/>
      <c r="D51" s="98"/>
      <c r="E51" s="20"/>
      <c r="F51" s="96"/>
      <c r="G51" s="2960"/>
      <c r="H51" s="2192"/>
      <c r="I51" s="2257"/>
      <c r="J51" s="2258" t="s">
        <v>1847</v>
      </c>
      <c r="K51" s="2965" t="s">
        <v>1848</v>
      </c>
      <c r="L51" s="2965"/>
      <c r="M51" s="2258" t="s">
        <v>1849</v>
      </c>
      <c r="N51" s="2258" t="s">
        <v>1850</v>
      </c>
      <c r="O51" s="2258" t="s">
        <v>1851</v>
      </c>
      <c r="P51" s="1845"/>
    </row>
    <row r="52" spans="1:16" ht="24" customHeight="1">
      <c r="A52" s="99" t="s">
        <v>1852</v>
      </c>
      <c r="B52" s="2893" t="s">
        <v>1853</v>
      </c>
      <c r="C52" s="2893"/>
      <c r="D52" s="98">
        <f ca="1">ROUND(D45*'数据-取费表'!E29/(1+'数据-取费表'!F30),0)</f>
        <v>70884</v>
      </c>
      <c r="E52" s="10" t="s">
        <v>1854</v>
      </c>
      <c r="F52" s="100">
        <f>'数据-取费表'!E29</f>
        <v>5.6000000000000001E-2</v>
      </c>
      <c r="G52" s="2259"/>
      <c r="H52" s="2192"/>
      <c r="I52" s="2257"/>
      <c r="J52" s="1883">
        <v>1</v>
      </c>
      <c r="K52" s="2925" t="s">
        <v>1855</v>
      </c>
      <c r="L52" s="2925"/>
      <c r="M52" s="778">
        <f ca="1">D48</f>
        <v>70884</v>
      </c>
      <c r="N52" s="1883" t="str">
        <f>E48</f>
        <v>销售额×税（费）率</v>
      </c>
      <c r="O52" s="779">
        <f>F48</f>
        <v>5.6000000000000001E-2</v>
      </c>
      <c r="P52" s="1845"/>
    </row>
    <row r="53" spans="1:16" ht="12" customHeight="1">
      <c r="A53" s="99" t="s">
        <v>1856</v>
      </c>
      <c r="B53" s="2894" t="s">
        <v>1857</v>
      </c>
      <c r="C53" s="2824"/>
      <c r="D53" s="98">
        <f ca="1">ROUND(D45*'数据-取费表'!E29/(1+'数据-取费表'!F30),0)</f>
        <v>70884</v>
      </c>
      <c r="E53" s="10" t="s">
        <v>1854</v>
      </c>
      <c r="F53" s="100">
        <f>'数据-取费表'!E29</f>
        <v>5.6000000000000001E-2</v>
      </c>
      <c r="G53" s="2259"/>
      <c r="H53" s="2192"/>
      <c r="I53" s="2257"/>
      <c r="J53" s="1883">
        <v>2</v>
      </c>
      <c r="K53" s="2925" t="s">
        <v>1858</v>
      </c>
      <c r="L53" s="2925"/>
      <c r="M53" s="778">
        <f t="shared" ref="M53:O54" ca="1" si="1">D55</f>
        <v>665</v>
      </c>
      <c r="N53" s="1883" t="str">
        <f t="shared" si="1"/>
        <v>销售额×税（费）率</v>
      </c>
      <c r="O53" s="779">
        <f t="shared" si="1"/>
        <v>5.0000000000000001E-4</v>
      </c>
      <c r="P53" s="1845"/>
    </row>
    <row r="54" spans="1:16" ht="12" customHeight="1">
      <c r="A54" s="99" t="s">
        <v>1859</v>
      </c>
      <c r="B54" s="2894" t="s">
        <v>1860</v>
      </c>
      <c r="C54" s="2824"/>
      <c r="D54" s="98">
        <f ca="1">C68</f>
        <v>70884</v>
      </c>
      <c r="E54" s="20" t="s">
        <v>1861</v>
      </c>
      <c r="F54" s="100">
        <f>'数据-取费表'!E29</f>
        <v>5.6000000000000001E-2</v>
      </c>
      <c r="G54" s="2259"/>
      <c r="H54" s="2260"/>
      <c r="I54" s="2257"/>
      <c r="J54" s="1883">
        <v>3</v>
      </c>
      <c r="K54" s="2925" t="s">
        <v>1862</v>
      </c>
      <c r="L54" s="2925"/>
      <c r="M54" s="778">
        <f t="shared" ca="1" si="1"/>
        <v>752261</v>
      </c>
      <c r="N54" s="1883" t="str">
        <f t="shared" si="1"/>
        <v>增值额×税（费）率</v>
      </c>
      <c r="O54" s="780" t="str">
        <f t="shared" si="1"/>
        <v>——</v>
      </c>
      <c r="P54" s="1845"/>
    </row>
    <row r="55" spans="1:16" ht="24" customHeight="1">
      <c r="A55" s="2816" t="s">
        <v>1863</v>
      </c>
      <c r="B55" s="2901"/>
      <c r="C55" s="2901"/>
      <c r="D55" s="101">
        <f ca="1">IF(H55="个人住宅",0,ROUND(D45*I55,0))</f>
        <v>665</v>
      </c>
      <c r="E55" s="10" t="s">
        <v>1864</v>
      </c>
      <c r="F55" s="100">
        <f>IF(H55="正常",I55,"免征")</f>
        <v>5.0000000000000001E-4</v>
      </c>
      <c r="G55" s="2259"/>
      <c r="H55" s="2256" t="s">
        <v>1865</v>
      </c>
      <c r="I55" s="102">
        <f>'数据-取费表'!E37</f>
        <v>5.0000000000000001E-4</v>
      </c>
      <c r="J55" s="1883">
        <f>IF(H59="非个人房产","",4)</f>
        <v>4</v>
      </c>
      <c r="K55" s="2925" t="str">
        <f>IF(H59="非个人房产","——","个人所得税")</f>
        <v>个人所得税</v>
      </c>
      <c r="L55" s="2925"/>
      <c r="M55" s="781">
        <f ca="1">D59</f>
        <v>13291</v>
      </c>
      <c r="N55" s="1886" t="str">
        <f>E59</f>
        <v>销售额×税（费）率</v>
      </c>
      <c r="O55" s="782">
        <f>F59</f>
        <v>0.01</v>
      </c>
      <c r="P55" s="1845"/>
    </row>
    <row r="56" spans="1:16" ht="24.75">
      <c r="A56" s="2816" t="s">
        <v>1866</v>
      </c>
      <c r="B56" s="2901"/>
      <c r="C56" s="2901"/>
      <c r="D56" s="101">
        <f ca="1">IF(H56="个人住宅",D57,D58)</f>
        <v>752261</v>
      </c>
      <c r="E56" s="10" t="s">
        <v>1867</v>
      </c>
      <c r="F56" s="100" t="str">
        <f>IF(H56="正常",F58,"免征")</f>
        <v>——</v>
      </c>
      <c r="G56" s="2261" t="s">
        <v>1868</v>
      </c>
      <c r="H56" s="2262" t="s">
        <v>1865</v>
      </c>
      <c r="I56" s="1022"/>
      <c r="J56" s="1883"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5"/>
    </row>
    <row r="57" spans="1:16" ht="12.75">
      <c r="A57" s="99" t="s">
        <v>1841</v>
      </c>
      <c r="B57" s="2891" t="s">
        <v>1869</v>
      </c>
      <c r="C57" s="2902"/>
      <c r="D57" s="103">
        <v>0</v>
      </c>
      <c r="E57" s="13" t="s">
        <v>1843</v>
      </c>
      <c r="F57" s="70"/>
      <c r="G57" s="2259"/>
      <c r="H57" s="1022"/>
      <c r="I57" s="1022"/>
      <c r="J57" s="2925">
        <f>IF(AND(J55="",J56=""),4,IF(项目基本情况!I6="上海银行",J56+1,J55+1))</f>
        <v>5</v>
      </c>
      <c r="K57" s="2925" t="s">
        <v>1870</v>
      </c>
      <c r="L57" s="2263" t="s">
        <v>1871</v>
      </c>
      <c r="M57" s="783"/>
      <c r="N57" s="784">
        <f ca="1">SUMIF(M52:M56,"&lt;9e307")</f>
        <v>837101</v>
      </c>
      <c r="O57" s="2264"/>
      <c r="P57" s="1841" t="e">
        <f ca="1">N57/M49</f>
        <v>#VALUE!</v>
      </c>
    </row>
    <row r="58" spans="1:16" ht="24.75">
      <c r="A58" s="99" t="s">
        <v>1852</v>
      </c>
      <c r="B58" s="2891" t="s">
        <v>1872</v>
      </c>
      <c r="C58" s="2892"/>
      <c r="D58" s="101">
        <f ca="1">IF(H58="转让取得",C81,C97)</f>
        <v>752261</v>
      </c>
      <c r="E58" s="10" t="s">
        <v>1867</v>
      </c>
      <c r="F58" s="14" t="s">
        <v>48</v>
      </c>
      <c r="G58" s="2259"/>
      <c r="H58" s="2262" t="s">
        <v>1873</v>
      </c>
      <c r="I58" s="1022"/>
      <c r="J58" s="2925"/>
      <c r="K58" s="2925"/>
      <c r="L58" s="2263" t="s">
        <v>1874</v>
      </c>
      <c r="M58" s="785"/>
      <c r="N58" s="2265" t="str">
        <f ca="1">IF(H19="元",NUMBERSTRING(INT(N57),2)&amp;"元整",NUMBERSTRING(INT(N57*10000),2)&amp;"元整")</f>
        <v>捌拾叁万柒仟壹佰零壹元整</v>
      </c>
      <c r="O58" s="2266"/>
      <c r="P58" s="1845"/>
    </row>
    <row r="59" spans="1:16" ht="26.25" thickBot="1">
      <c r="A59" s="2817" t="s">
        <v>1875</v>
      </c>
      <c r="B59" s="2820"/>
      <c r="C59" s="2820"/>
      <c r="D59" s="104">
        <f ca="1">IF(H59="非个人房产","——",IF(H59="个人住宅",0,ROUND(D45*I59,0)))</f>
        <v>13291</v>
      </c>
      <c r="E59" s="105" t="str">
        <f>IF(H59="非个人房产","——","销售额×税（费）率")</f>
        <v>销售额×税（费）率</v>
      </c>
      <c r="F59" s="106">
        <f>IF(H59="非个人房产","——",IF(H59="个人住宅","免征",I59))</f>
        <v>0.01</v>
      </c>
      <c r="G59" s="2267" t="s">
        <v>1868</v>
      </c>
      <c r="H59" s="2262" t="s">
        <v>1876</v>
      </c>
      <c r="I59" s="107">
        <v>0.01</v>
      </c>
      <c r="J59" s="2923">
        <f>J57+1</f>
        <v>6</v>
      </c>
      <c r="K59" s="2925" t="s">
        <v>1877</v>
      </c>
      <c r="L59" s="1883" t="s">
        <v>1871</v>
      </c>
      <c r="M59" s="786"/>
      <c r="N59" s="787" t="e">
        <f ca="1">M49-N57</f>
        <v>#VALUE!</v>
      </c>
      <c r="O59" s="2268"/>
      <c r="P59" s="1845"/>
    </row>
    <row r="60" spans="1:16" ht="12" customHeight="1">
      <c r="A60" s="2064"/>
      <c r="B60" s="2192"/>
      <c r="C60" s="2192"/>
      <c r="D60" s="2192"/>
      <c r="E60" s="1022"/>
      <c r="F60" s="1022"/>
      <c r="G60" s="1022"/>
      <c r="H60" s="2245"/>
      <c r="I60" s="2192"/>
      <c r="J60" s="2924"/>
      <c r="K60" s="2925"/>
      <c r="L60" s="2263" t="s">
        <v>1874</v>
      </c>
      <c r="M60" s="785"/>
      <c r="N60" s="2265" t="e">
        <f ca="1">IF(H19="元",NUMBERSTRING(INT(N59),2)&amp;"元整",NUMBERSTRING(INT(N59*10000),2)&amp;"元整")</f>
        <v>#VALUE!</v>
      </c>
      <c r="O60" s="2266"/>
      <c r="P60" s="1845"/>
    </row>
    <row r="61" spans="1:16" ht="13.5" thickBot="1">
      <c r="A61" s="2906" t="s">
        <v>1878</v>
      </c>
      <c r="B61" s="2906"/>
      <c r="C61" s="2906"/>
      <c r="D61" s="2906"/>
      <c r="E61" s="2906"/>
      <c r="F61" s="1022"/>
      <c r="G61" s="1022"/>
      <c r="H61" s="2245"/>
      <c r="I61" s="2192"/>
      <c r="J61" s="1883">
        <f>J59+1</f>
        <v>7</v>
      </c>
      <c r="K61" s="2925" t="s">
        <v>1879</v>
      </c>
      <c r="L61" s="2925"/>
      <c r="M61" s="788"/>
      <c r="N61" s="789" t="e">
        <f ca="1">IF(H19="元",ROUND(N59/项目基本情况!C12,0),ROUND(N59*10000/项目基本情况!C12,0))</f>
        <v>#VALUE!</v>
      </c>
      <c r="O61" s="2269"/>
      <c r="P61" s="1845"/>
    </row>
    <row r="62" spans="1:16" ht="12.75">
      <c r="A62" s="2913" t="s">
        <v>1880</v>
      </c>
      <c r="B62" s="2914"/>
      <c r="C62" s="1885"/>
      <c r="D62" s="1885" t="s">
        <v>1881</v>
      </c>
      <c r="E62" s="108" t="s">
        <v>1882</v>
      </c>
      <c r="F62" s="1022"/>
      <c r="G62" s="1022"/>
      <c r="H62" s="2245"/>
      <c r="I62" s="2192"/>
      <c r="J62" s="1845"/>
      <c r="K62" s="1845"/>
      <c r="L62" s="1845"/>
      <c r="M62" s="1845"/>
      <c r="N62" s="1845"/>
      <c r="O62" s="1845"/>
      <c r="P62" s="1845"/>
    </row>
    <row r="63" spans="1:16" ht="12.75">
      <c r="A63" s="109">
        <v>1</v>
      </c>
      <c r="B63" s="110" t="s">
        <v>1883</v>
      </c>
      <c r="C63" s="111">
        <f ca="1">ROUND((C64+C65)/(1+'数据-取费表'!F30),0)</f>
        <v>1265793</v>
      </c>
      <c r="D63" s="112"/>
      <c r="E63" s="113"/>
      <c r="F63" s="1022"/>
      <c r="G63" s="1022"/>
      <c r="H63" s="2245"/>
      <c r="I63" s="2192"/>
      <c r="J63" s="2945" t="s">
        <v>1884</v>
      </c>
      <c r="K63" s="2270"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1329083</v>
      </c>
      <c r="D64" s="117" t="s">
        <v>41</v>
      </c>
      <c r="E64" s="118"/>
      <c r="F64" s="1022"/>
      <c r="G64" s="1022"/>
      <c r="H64" s="2245"/>
      <c r="I64" s="2192"/>
      <c r="J64" s="2945"/>
      <c r="K64" s="2270"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5"/>
      <c r="I65" s="2192"/>
      <c r="J65" s="2945"/>
      <c r="K65" s="2270"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5"/>
      <c r="I66" s="2192"/>
      <c r="J66" s="2945"/>
      <c r="K66" s="2270" t="s">
        <v>1893</v>
      </c>
      <c r="L66" s="1844" t="e">
        <f>M49*0.5%</f>
        <v>#VALUE!</v>
      </c>
      <c r="M66" s="14" t="e">
        <f>IF(L66&gt;0.5,0.5,ROUND(L66,0))</f>
        <v>#VALUE!</v>
      </c>
      <c r="N66" s="1845" t="s">
        <v>1894</v>
      </c>
      <c r="O66" s="1845"/>
      <c r="P66" s="1845"/>
    </row>
    <row r="67" spans="1:35" ht="12.75">
      <c r="A67" s="120" t="s">
        <v>42</v>
      </c>
      <c r="B67" s="121" t="s">
        <v>1895</v>
      </c>
      <c r="C67" s="124">
        <f ca="1">C63-C66</f>
        <v>1265793</v>
      </c>
      <c r="D67" s="117" t="s">
        <v>41</v>
      </c>
      <c r="E67" s="118"/>
      <c r="F67" s="1022"/>
      <c r="G67" s="1022"/>
      <c r="H67" s="2245"/>
      <c r="I67" s="2192"/>
      <c r="J67" s="2945"/>
      <c r="K67" s="2270"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70884</v>
      </c>
      <c r="D68" s="128">
        <f>'数据-取费表'!E29</f>
        <v>5.6000000000000001E-2</v>
      </c>
      <c r="E68" s="129"/>
      <c r="F68" s="1022"/>
      <c r="G68" s="1022"/>
      <c r="H68" s="2245"/>
      <c r="I68" s="2192"/>
      <c r="J68" s="2945"/>
      <c r="K68" s="2270" t="s">
        <v>1898</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945"/>
      <c r="K69" s="2270" t="s">
        <v>1899</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17" t="s">
        <v>1900</v>
      </c>
      <c r="B70" s="2918"/>
      <c r="C70" s="2918"/>
      <c r="D70" s="2918"/>
      <c r="E70" s="2918"/>
      <c r="F70" s="2918"/>
      <c r="G70" s="2918"/>
      <c r="H70" s="2918"/>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13" t="s">
        <v>1880</v>
      </c>
      <c r="B71" s="2914"/>
      <c r="C71" s="1885"/>
      <c r="D71" s="1885" t="s">
        <v>1881</v>
      </c>
      <c r="E71" s="130" t="s">
        <v>1882</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1901</v>
      </c>
      <c r="C72" s="124">
        <f ca="1">ROUND(D45/(1+'数据-取费表'!F30),0)</f>
        <v>1265793</v>
      </c>
      <c r="D72" s="117" t="s">
        <v>41</v>
      </c>
      <c r="E72" s="12" t="s">
        <v>1902</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1903</v>
      </c>
      <c r="C73" s="124">
        <f ca="1">C74+C78</f>
        <v>7595</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1904</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1905</v>
      </c>
      <c r="C75" s="137"/>
      <c r="D75" s="117" t="s">
        <v>41</v>
      </c>
      <c r="E75" s="138" t="s">
        <v>1906</v>
      </c>
      <c r="F75" s="2281" t="s">
        <v>1907</v>
      </c>
      <c r="G75" s="138" t="s">
        <v>1908</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1909</v>
      </c>
      <c r="C76" s="117">
        <f>IF(F75="购房发票",ROUND(C75*H75*D76,0),0)</f>
        <v>0</v>
      </c>
      <c r="D76" s="141">
        <v>0.05</v>
      </c>
      <c r="E76" s="2894" t="s">
        <v>1910</v>
      </c>
      <c r="F76" s="2893"/>
      <c r="G76" s="2893"/>
      <c r="H76" s="2908"/>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2" t="s">
        <v>1913</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1914</v>
      </c>
      <c r="C78" s="144">
        <f ca="1">ROUND(D45*D78/(1+'数据-取费表'!F30),0)</f>
        <v>7595</v>
      </c>
      <c r="D78" s="145">
        <f>'数据-取费表'!E31</f>
        <v>6.000000000000001E-3</v>
      </c>
      <c r="E78" s="2885" t="s">
        <v>1915</v>
      </c>
      <c r="F78" s="2886"/>
      <c r="G78" s="2886"/>
      <c r="H78" s="2887"/>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1916</v>
      </c>
      <c r="C79" s="124">
        <f ca="1">C72-C73</f>
        <v>1258198</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1917</v>
      </c>
      <c r="C80" s="147">
        <f ca="1">IF(C79&lt;=0,0,C79/C73)</f>
        <v>165.66135615536538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1918</v>
      </c>
      <c r="C81" s="149">
        <f ca="1">ROUND(IF(C79&lt;=0,0,IF(C80&gt;=200%,C79*60%-C73*35%,IF(C80&gt;=100%,C79*50%-C73*15%,IF(C80&gt;=50%,C79*40%-C73*5%,IF(C80&lt;50%,C79*30%,0))))),0)</f>
        <v>752261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17" t="s">
        <v>1919</v>
      </c>
      <c r="B83" s="2918"/>
      <c r="C83" s="2918"/>
      <c r="D83" s="2918"/>
      <c r="E83" s="2918"/>
      <c r="F83" s="2918"/>
      <c r="G83" s="2918"/>
      <c r="H83" s="2918"/>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13" t="s">
        <v>1880</v>
      </c>
      <c r="B84" s="2914"/>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1901</v>
      </c>
      <c r="C85" s="124">
        <f ca="1">ROUND(D45/(1+'数据-取费表'!F30),0)</f>
        <v>1265793</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1903</v>
      </c>
      <c r="C86" s="124">
        <f ca="1">IF(H88="仅含出让金",C87+C90+C91+C92+C93+C94,C87+C91+C92+C93+C94)</f>
        <v>7595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1921</v>
      </c>
      <c r="C88" s="157"/>
      <c r="D88" s="145"/>
      <c r="E88" s="158" t="s">
        <v>1922</v>
      </c>
      <c r="F88" s="1882"/>
      <c r="G88" s="159" t="s">
        <v>1923</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1926</v>
      </c>
      <c r="C91" s="144">
        <f>IF(H91="——",成本法!C33,I91)</f>
        <v>0</v>
      </c>
      <c r="D91" s="145"/>
      <c r="E91" s="2885" t="s">
        <v>1927</v>
      </c>
      <c r="F91" s="2886"/>
      <c r="G91" s="2886"/>
      <c r="H91" s="2285" t="s">
        <v>1928</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1929</v>
      </c>
      <c r="C92" s="144">
        <f>ROUND((C87+C90+C91)*D92,0)</f>
        <v>0</v>
      </c>
      <c r="D92" s="145">
        <v>0.1</v>
      </c>
      <c r="E92" s="2885" t="s">
        <v>1930</v>
      </c>
      <c r="F92" s="2886"/>
      <c r="G92" s="2886"/>
      <c r="H92" s="2887"/>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1914</v>
      </c>
      <c r="C93" s="144">
        <f ca="1">ROUND(D45*D93/(1+'数据-取费表'!F30),0)</f>
        <v>7595</v>
      </c>
      <c r="D93" s="145">
        <f>'数据-取费表'!E31</f>
        <v>6.000000000000001E-3</v>
      </c>
      <c r="E93" s="2885" t="s">
        <v>1915</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1931</v>
      </c>
      <c r="C94" s="144">
        <f>ROUND((C87+C90+C91)*D94,0)</f>
        <v>0</v>
      </c>
      <c r="D94" s="145">
        <v>0.2</v>
      </c>
      <c r="E94" s="2885" t="s">
        <v>1932</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1916</v>
      </c>
      <c r="C95" s="124">
        <f ca="1">ROUND(C85-C86,0)</f>
        <v>1258198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1917</v>
      </c>
      <c r="C96" s="147">
        <f ca="1">IF(C95&lt;=0,0,C95/C86)</f>
        <v>165.66135615536538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1918</v>
      </c>
      <c r="C97" s="149">
        <f ca="1">ROUND(IF(C95&lt;=0,0,IF(C96&gt;=200%,C95*60%-C86*35%,IF(C96&gt;=100%,C95*50%-C86*15%,IF(C96&gt;=50%,C95*40%-C86*5%,IF(C96&lt;50%,C95*30%,0))))),0)</f>
        <v>752261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1933</v>
      </c>
      <c r="B98" s="2192"/>
      <c r="C98" s="2192"/>
      <c r="D98" s="2192"/>
      <c r="E98" s="1022"/>
      <c r="F98" s="1022"/>
      <c r="G98" s="1022"/>
      <c r="H98" s="2245"/>
      <c r="I98" s="2192"/>
    </row>
    <row r="99" spans="1:35" ht="15.75">
      <c r="A99" s="2940" t="s">
        <v>1934</v>
      </c>
      <c r="B99" s="2941"/>
      <c r="C99" s="2941"/>
      <c r="D99" s="2942"/>
      <c r="E99" s="2192"/>
      <c r="F99" s="2951" t="s">
        <v>1935</v>
      </c>
      <c r="G99" s="2952"/>
      <c r="H99" s="2952"/>
      <c r="I99" s="2953"/>
    </row>
    <row r="100" spans="1:35" ht="15.75">
      <c r="A100" s="2954" t="s">
        <v>1936</v>
      </c>
      <c r="B100" s="2955"/>
      <c r="C100" s="720" t="str">
        <f>C4</f>
        <v>比较法</v>
      </c>
      <c r="D100" s="721" t="str">
        <f>D4</f>
        <v>收益法</v>
      </c>
      <c r="E100" s="2192"/>
      <c r="F100" s="2850" t="s">
        <v>1937</v>
      </c>
      <c r="G100" s="2851"/>
      <c r="H100" s="2850" t="s">
        <v>1938</v>
      </c>
      <c r="I100" s="2849"/>
    </row>
    <row r="101" spans="1:35" ht="15.75">
      <c r="A101" s="2932" t="s">
        <v>1939</v>
      </c>
      <c r="B101" s="2287" t="str">
        <f>IF(H19="元","总价（元）","总价（万元）")</f>
        <v>总价（元）</v>
      </c>
      <c r="C101" s="720">
        <f ca="1">C19</f>
        <v>1529031</v>
      </c>
      <c r="D101" s="721">
        <f ca="1">D19</f>
        <v>862400</v>
      </c>
      <c r="E101" s="2192"/>
      <c r="F101" s="2850" t="str">
        <f>项目基本情况!I1</f>
        <v>重庆市房地产</v>
      </c>
      <c r="G101" s="2851"/>
      <c r="H101" s="2848">
        <f>项目基本情况!C12</f>
        <v>142.82</v>
      </c>
      <c r="I101" s="2849"/>
    </row>
    <row r="102" spans="1:35" ht="15.75">
      <c r="A102" s="2932"/>
      <c r="B102" s="2287" t="s">
        <v>1940</v>
      </c>
      <c r="C102" s="722">
        <f ca="1">C20</f>
        <v>10706</v>
      </c>
      <c r="D102" s="723">
        <f ca="1">D20</f>
        <v>6038</v>
      </c>
      <c r="E102" s="2192"/>
      <c r="F102" s="2877" t="s">
        <v>1941</v>
      </c>
      <c r="G102" s="2878"/>
      <c r="H102" s="2288" t="str">
        <f>C106</f>
        <v>总价（元）</v>
      </c>
      <c r="I102" s="1862">
        <f ca="1">H121</f>
        <v>1329083</v>
      </c>
    </row>
    <row r="103" spans="1:35" ht="15">
      <c r="A103" s="2932" t="s">
        <v>1942</v>
      </c>
      <c r="B103" s="2289" t="str">
        <f>B101</f>
        <v>总价（元）</v>
      </c>
      <c r="C103" s="724">
        <f ca="1">H121</f>
        <v>1329083</v>
      </c>
      <c r="D103" s="725"/>
      <c r="E103" s="2192"/>
      <c r="F103" s="2877"/>
      <c r="G103" s="2878"/>
      <c r="H103" s="2288" t="s">
        <v>1940</v>
      </c>
      <c r="I103" s="1050">
        <f ca="1">I121</f>
        <v>9306</v>
      </c>
    </row>
    <row r="104" spans="1:35" ht="16.5" thickBot="1">
      <c r="A104" s="2933"/>
      <c r="B104" s="2290" t="s">
        <v>1940</v>
      </c>
      <c r="C104" s="726">
        <f ca="1">I121</f>
        <v>9306</v>
      </c>
      <c r="D104" s="727"/>
      <c r="E104" s="2192"/>
      <c r="F104" s="2949"/>
      <c r="G104" s="2950"/>
      <c r="H104" s="2934"/>
      <c r="I104" s="2935"/>
    </row>
    <row r="105" spans="1:35" ht="15.75">
      <c r="A105" s="2940" t="s">
        <v>1943</v>
      </c>
      <c r="B105" s="2941"/>
      <c r="C105" s="2941"/>
      <c r="D105" s="2942"/>
      <c r="E105" s="2192"/>
      <c r="F105" s="2938" t="s">
        <v>1944</v>
      </c>
      <c r="G105" s="2939"/>
      <c r="H105" s="2291" t="str">
        <f>C108</f>
        <v>总额（元）</v>
      </c>
      <c r="I105" s="1862">
        <f>SUMIF(I106:I108,"&lt;9E307")</f>
        <v>0</v>
      </c>
    </row>
    <row r="106" spans="1:35" ht="15">
      <c r="A106" s="2864" t="s">
        <v>1945</v>
      </c>
      <c r="B106" s="2865"/>
      <c r="C106" s="2288" t="str">
        <f>B101</f>
        <v>总价（元）</v>
      </c>
      <c r="D106" s="1051">
        <f ca="1">H121</f>
        <v>1329083</v>
      </c>
      <c r="E106" s="2192"/>
      <c r="F106" s="2866" t="s">
        <v>1946</v>
      </c>
      <c r="G106" s="2867"/>
      <c r="H106" s="2291" t="str">
        <f>C109</f>
        <v>总额（元）</v>
      </c>
      <c r="I106" s="1050">
        <f>IF(D36="同一抵押权人同一抵押物续贷",C36&amp;"（未扣减，详见特别提示）",C36)</f>
        <v>0</v>
      </c>
      <c r="K106" s="2202" t="str">
        <f>IF(D123=0,"本次评估不存在"&amp;A123&amp;"。","本次评估"&amp;A123&amp;"为"&amp;D123&amp;"元人民币。")</f>
        <v>本次评估不存在——。</v>
      </c>
    </row>
    <row r="107" spans="1:35" ht="15">
      <c r="A107" s="2864"/>
      <c r="B107" s="2865"/>
      <c r="C107" s="2288" t="s">
        <v>1940</v>
      </c>
      <c r="D107" s="1052">
        <f ca="1">I121</f>
        <v>9306</v>
      </c>
      <c r="E107" s="2192"/>
      <c r="F107" s="2866" t="s">
        <v>1947</v>
      </c>
      <c r="G107" s="2867"/>
      <c r="H107" s="2291" t="str">
        <f>C110</f>
        <v>总额（元）</v>
      </c>
      <c r="I107" s="1050">
        <f>C37</f>
        <v>0</v>
      </c>
      <c r="K107" s="2292"/>
    </row>
    <row r="108" spans="1:35" ht="15">
      <c r="A108" s="2871" t="s">
        <v>1948</v>
      </c>
      <c r="B108" s="2872"/>
      <c r="C108" s="2291" t="str">
        <f>IF(H19="元","总额（元）","总额（万元）")</f>
        <v>总额（元）</v>
      </c>
      <c r="D108" s="1051">
        <f>IF(D36="正常操作",I106+I107+I108,I107+I108)</f>
        <v>0</v>
      </c>
      <c r="E108" s="2192"/>
      <c r="F108" s="2866" t="s">
        <v>1949</v>
      </c>
      <c r="G108" s="2867"/>
      <c r="H108" s="2291" t="str">
        <f>C111</f>
        <v>总额（元）</v>
      </c>
      <c r="I108" s="1050">
        <f>C38</f>
        <v>0</v>
      </c>
    </row>
    <row r="109" spans="1:35" ht="15.75">
      <c r="A109" s="2866" t="s">
        <v>1946</v>
      </c>
      <c r="B109" s="2867"/>
      <c r="C109" s="2291" t="str">
        <f>C108</f>
        <v>总额（元）</v>
      </c>
      <c r="D109" s="637">
        <f>IF(D36="同一抵押权人同一抵押物续贷",C36&amp;"（未扣减，详见特别提示）",C36)</f>
        <v>0</v>
      </c>
      <c r="E109" s="2192"/>
      <c r="F109" s="2949"/>
      <c r="G109" s="2950"/>
      <c r="H109" s="2936"/>
      <c r="I109" s="2937"/>
    </row>
    <row r="110" spans="1:35" ht="28.5" customHeight="1">
      <c r="A110" s="2866" t="s">
        <v>1947</v>
      </c>
      <c r="B110" s="2867"/>
      <c r="C110" s="2291" t="str">
        <f>C108</f>
        <v>总额（元）</v>
      </c>
      <c r="D110" s="637">
        <f>C37</f>
        <v>0</v>
      </c>
      <c r="E110" s="2192"/>
      <c r="F110" s="2852" t="str">
        <f>IF(项目基本情况!F5="已注销","——","3.房地产抵押价值")</f>
        <v>3.房地产抵押价值</v>
      </c>
      <c r="G110" s="2853"/>
      <c r="H110" s="2293" t="str">
        <f>C112</f>
        <v>总价（元）</v>
      </c>
      <c r="I110" s="1863">
        <f ca="1">IF(F110="——","——",I102-I105)</f>
        <v>1329083</v>
      </c>
    </row>
    <row r="111" spans="1:35" ht="15">
      <c r="A111" s="2866" t="s">
        <v>1949</v>
      </c>
      <c r="B111" s="2867"/>
      <c r="C111" s="2291" t="str">
        <f>C108</f>
        <v>总额（元）</v>
      </c>
      <c r="D111" s="637">
        <f>C38</f>
        <v>0</v>
      </c>
      <c r="E111" s="2192"/>
      <c r="F111" s="2968"/>
      <c r="G111" s="2969"/>
      <c r="H111" s="2288" t="s">
        <v>1940</v>
      </c>
      <c r="I111" s="2294">
        <f ca="1">D113</f>
        <v>9306</v>
      </c>
    </row>
    <row r="112" spans="1:35" ht="26.25" customHeight="1">
      <c r="A112" s="2864" t="str">
        <f>IF(项目基本情况!F5="已注销","——","3.房地产抵押价值")</f>
        <v>3.房地产抵押价值</v>
      </c>
      <c r="B112" s="2865"/>
      <c r="C112" s="2288" t="str">
        <f>B101</f>
        <v>总价（元）</v>
      </c>
      <c r="D112" s="1051">
        <f ca="1">IF(A112="——","——",D106-D108)</f>
        <v>1329083</v>
      </c>
      <c r="E112" s="2192"/>
      <c r="F112" s="2852" t="str">
        <f>IF(项目基本情况!F5="已注销及未注销","4.抵押担保权已注销时的房地产抵押价值",IF(项目基本情况!F5="已注销","3.抵押担保权已注销时的房地产抵押价值","——"))</f>
        <v>——</v>
      </c>
      <c r="G112" s="2853"/>
      <c r="H112" s="2293" t="str">
        <f>C114</f>
        <v>总价（元）</v>
      </c>
      <c r="I112" s="1863" t="str">
        <f>IF(F112="——","——",I102-I107-I108)</f>
        <v>——</v>
      </c>
    </row>
    <row r="113" spans="1:15" ht="15">
      <c r="A113" s="2864"/>
      <c r="B113" s="2865"/>
      <c r="C113" s="2288" t="s">
        <v>1940</v>
      </c>
      <c r="D113" s="1052">
        <f ca="1">ROUND(IF(D112=D106,D107,IF(H19="元",D112/项目基本情况!C12,D112*10000/项目基本情况!C12)),0)</f>
        <v>9306</v>
      </c>
      <c r="E113" s="2192"/>
      <c r="F113" s="2968"/>
      <c r="G113" s="2969"/>
      <c r="H113" s="2288" t="s">
        <v>1940</v>
      </c>
      <c r="I113" s="2295" t="str">
        <f>D115</f>
        <v>——</v>
      </c>
    </row>
    <row r="114" spans="1:15" ht="15.75">
      <c r="A114" s="2864" t="str">
        <f>IF(项目基本情况!F5="已注销及未注销","4.抵押担保权已注销时的房地产抵押价值",IF(项目基本情况!F5="已注销","3.抵押担保权已注销时的房地产抵押价值","——"))</f>
        <v>——</v>
      </c>
      <c r="B114" s="2865"/>
      <c r="C114" s="2288" t="str">
        <f>B101</f>
        <v>总价（元）</v>
      </c>
      <c r="D114" s="1051" t="str">
        <f>IF(A114="——","——",D106-D110-D111)</f>
        <v>——</v>
      </c>
      <c r="E114" s="2192"/>
      <c r="F114" s="2852" t="str">
        <f>IF(项目基本情况!G5="抵押净值",IF(OR(项目基本情况!F5="已注销",项目基本情况!F5="房地产抵押价值"),"4.抵押净值","5.抵押净值"),"——")</f>
        <v>——</v>
      </c>
      <c r="G114" s="2853"/>
      <c r="H114" s="2288" t="str">
        <f>C116</f>
        <v>总价（元）</v>
      </c>
      <c r="I114" s="1862" t="str">
        <f>IF(F114="——","——",N59)</f>
        <v>——</v>
      </c>
    </row>
    <row r="115" spans="1:15" ht="15.75" thickBot="1">
      <c r="A115" s="2864"/>
      <c r="B115" s="2865"/>
      <c r="C115" s="2288" t="s">
        <v>1940</v>
      </c>
      <c r="D115" s="1052" t="str">
        <f>IF(A114="——","——",ROUND(IF(D114=D106,D107,IF(H19="元",D114/项目基本情况!C12,D114*10000/项目基本情况!C12)),0))</f>
        <v>——</v>
      </c>
      <c r="E115" s="2192"/>
      <c r="F115" s="2854"/>
      <c r="G115" s="2855"/>
      <c r="H115" s="2296" t="s">
        <v>1940</v>
      </c>
      <c r="I115" s="1864" t="str">
        <f ca="1">D117</f>
        <v>——</v>
      </c>
    </row>
    <row r="116" spans="1:15" ht="15.75">
      <c r="A116" s="2864" t="str">
        <f>IF(项目基本情况!G5="抵押净值",IF(OR(项目基本情况!F5="已注销",项目基本情况!F5="房地产抵押价值"),"4.抵押净值","5.抵押净值"),"——")</f>
        <v>——</v>
      </c>
      <c r="B116" s="2865"/>
      <c r="C116" s="2288" t="str">
        <f>B101</f>
        <v>总价（元）</v>
      </c>
      <c r="D116" s="1051" t="str">
        <f>IF(A116="——","——",N59)</f>
        <v>——</v>
      </c>
      <c r="E116" s="2192"/>
      <c r="F116" s="2964"/>
      <c r="G116" s="2964"/>
      <c r="H116" s="2920"/>
      <c r="I116" s="2920"/>
      <c r="N116" s="55"/>
      <c r="O116" s="55"/>
    </row>
    <row r="117" spans="1:15" ht="15.75" thickBot="1">
      <c r="A117" s="2869"/>
      <c r="B117" s="2870"/>
      <c r="C117" s="2296" t="s">
        <v>1940</v>
      </c>
      <c r="D117" s="1053" t="str">
        <f ca="1">IF(D116=D112,D113,IF(A116="——","——",N61))</f>
        <v>——</v>
      </c>
      <c r="E117" s="2192"/>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1950</v>
      </c>
      <c r="B118" s="2922"/>
      <c r="C118" s="2922"/>
      <c r="D118" s="2922"/>
      <c r="E118" s="2922"/>
      <c r="F118" s="2922"/>
      <c r="G118" s="2922"/>
      <c r="H118" s="2922"/>
      <c r="I118" s="2922"/>
    </row>
    <row r="119" spans="1:15" ht="14.25">
      <c r="A119" s="2845" t="s">
        <v>1951</v>
      </c>
      <c r="B119" s="2875" t="s">
        <v>1952</v>
      </c>
      <c r="C119" s="2875" t="s">
        <v>1953</v>
      </c>
      <c r="D119" s="2947" t="s">
        <v>1954</v>
      </c>
      <c r="E119" s="2948"/>
      <c r="F119" s="2846" t="s">
        <v>1812</v>
      </c>
      <c r="G119" s="2846"/>
      <c r="H119" s="2846" t="s">
        <v>1955</v>
      </c>
      <c r="I119" s="2946"/>
    </row>
    <row r="120" spans="1:15" ht="14.25">
      <c r="A120" s="2845"/>
      <c r="B120" s="2876"/>
      <c r="C120" s="2876"/>
      <c r="D120" s="1887" t="s">
        <v>1956</v>
      </c>
      <c r="E120" s="1887" t="s">
        <v>1957</v>
      </c>
      <c r="F120" s="1887" t="s">
        <v>1956</v>
      </c>
      <c r="G120" s="1887" t="s">
        <v>1958</v>
      </c>
      <c r="H120" s="1887" t="s">
        <v>1956</v>
      </c>
      <c r="I120" s="637" t="s">
        <v>1958</v>
      </c>
    </row>
    <row r="121" spans="1:15" ht="14.25">
      <c r="A121" s="2178" t="str">
        <f>项目基本情况!I1</f>
        <v>重庆市房地产</v>
      </c>
      <c r="B121" s="1887">
        <f>项目基本情况!C12</f>
        <v>142.82</v>
      </c>
      <c r="C121" s="1887">
        <f>项目基本情况!C13</f>
        <v>0</v>
      </c>
      <c r="D121" s="1887">
        <f ca="1">ROUND(IF(B32="总价",C34,IF('数据-取费表'!B3="万元",E121*B121/10000,E121*B121)),0)</f>
        <v>621981</v>
      </c>
      <c r="E121" s="1887">
        <f ca="1">ROUND(IF(B32="楼面单价",C34,IF(H19="元",D121/B121,D121*10000/B121)),0)</f>
        <v>4355</v>
      </c>
      <c r="F121" s="1887">
        <f ca="1">ROUND(IF(B32="总价",C35,IF('数据-取费表'!B3="万元",G121*B121/10000,G121*B121)),0)</f>
        <v>707102</v>
      </c>
      <c r="G121" s="1887">
        <f ca="1">ROUND(IF(B32="楼面单价",C35,IF(H19="元",F121/B121,F121*10000/B121)),0)</f>
        <v>4951</v>
      </c>
      <c r="H121" s="1887">
        <f ca="1">ROUND(IF(B32="总价",C32,IF('数据-取费表'!B3="万元",I121*B121/10000,I121*B121)),0)</f>
        <v>1329083</v>
      </c>
      <c r="I121" s="637">
        <f ca="1">ROUND(IF(B32="楼面单价",C32,IF(H19="元",H121/B121,H121*10000/B121)),0)</f>
        <v>9306</v>
      </c>
    </row>
    <row r="122" spans="1:15" ht="14.25">
      <c r="A122" s="2845" t="s">
        <v>1959</v>
      </c>
      <c r="B122" s="2846"/>
      <c r="C122" s="2846"/>
      <c r="D122" s="2879" t="str">
        <f ca="1">IF(H19="元",NUMBERSTRING(INT(D121),2)&amp;"元整",NUMBERSTRING(INT(D121*10000),2)&amp;"元整")</f>
        <v>陆拾贰万壹仟玖佰捌拾壹元整</v>
      </c>
      <c r="E122" s="2926"/>
      <c r="F122" s="2879" t="str">
        <f ca="1">IF(H19="元",NUMBERSTRING(INT(F121),2)&amp;"元整",NUMBERSTRING(INT(F121*10000),2)&amp;"元整")</f>
        <v>柒拾万柒仟壹佰零贰元整</v>
      </c>
      <c r="G122" s="2926"/>
      <c r="H122" s="2879" t="str">
        <f ca="1">IF(H19="元",NUMBERSTRING(INT(H121),2)&amp;"元整",NUMBERSTRING(INT(H121*10000),2)&amp;"元整")</f>
        <v>壹佰叁拾贰万玖仟零捌拾叁元整</v>
      </c>
      <c r="I122" s="2880"/>
    </row>
    <row r="123" spans="1:15" ht="15">
      <c r="A123" s="2927" t="str">
        <f>IF(项目基本情况!D5="房地产市场价值","——",MID(A108,3,LEN(A108)-2))</f>
        <v>——</v>
      </c>
      <c r="B123" s="2857"/>
      <c r="C123" s="2928"/>
      <c r="D123" s="2856">
        <f>I105</f>
        <v>0</v>
      </c>
      <c r="E123" s="2857"/>
      <c r="F123" s="2857"/>
      <c r="G123" s="2857"/>
      <c r="H123" s="2857"/>
      <c r="I123" s="2858"/>
    </row>
    <row r="124" spans="1:15" ht="14.25">
      <c r="A124" s="2929" t="s">
        <v>1959</v>
      </c>
      <c r="B124" s="2930"/>
      <c r="C124" s="2931"/>
      <c r="D124" s="2859">
        <f>H109</f>
        <v>0</v>
      </c>
      <c r="E124" s="2860"/>
      <c r="F124" s="2860"/>
      <c r="G124" s="2860"/>
      <c r="H124" s="2860"/>
      <c r="I124" s="2861"/>
    </row>
    <row r="125" spans="1:15" ht="15">
      <c r="A125" s="2862" t="str">
        <f>IF(项目基本情况!D5="房地产市场价值","——",MID(A112,3,LEN(A112)-2))</f>
        <v>——</v>
      </c>
      <c r="B125" s="2863"/>
      <c r="C125" s="2863"/>
      <c r="D125" s="2856">
        <f ca="1">I110</f>
        <v>1329083</v>
      </c>
      <c r="E125" s="2857"/>
      <c r="F125" s="2857"/>
      <c r="G125" s="2857"/>
      <c r="H125" s="2857"/>
      <c r="I125" s="2858"/>
    </row>
    <row r="126" spans="1:15" ht="14.25">
      <c r="A126" s="2845" t="s">
        <v>1959</v>
      </c>
      <c r="B126" s="2846"/>
      <c r="C126" s="2846"/>
      <c r="D126" s="2859">
        <f ca="1">I111</f>
        <v>9306</v>
      </c>
      <c r="E126" s="2860"/>
      <c r="F126" s="2860"/>
      <c r="G126" s="2860"/>
      <c r="H126" s="2860"/>
      <c r="I126" s="2861"/>
    </row>
    <row r="127" spans="1:15" ht="15.75" thickBot="1">
      <c r="A127" s="2862" t="str">
        <f>IF(项目基本情况!D5="房地产市场价值","——",MID(A114,3,LEN(A114)-2))</f>
        <v>——</v>
      </c>
      <c r="B127" s="2863"/>
      <c r="C127" s="2863"/>
      <c r="D127" s="2961" t="str">
        <f>I112</f>
        <v>——</v>
      </c>
      <c r="E127" s="2962"/>
      <c r="F127" s="2962"/>
      <c r="G127" s="2962"/>
      <c r="H127" s="2962"/>
      <c r="I127" s="2963"/>
    </row>
    <row r="128" spans="1:15" ht="15.75" thickTop="1" thickBot="1">
      <c r="A128" s="2845" t="s">
        <v>1959</v>
      </c>
      <c r="B128" s="2846"/>
      <c r="C128" s="2847"/>
      <c r="D128" s="2919" t="str">
        <f>I113</f>
        <v>——</v>
      </c>
      <c r="E128" s="2919"/>
      <c r="F128" s="2919"/>
      <c r="G128" s="2919"/>
      <c r="H128" s="2919"/>
      <c r="I128" s="2919"/>
    </row>
    <row r="129" spans="1:9" ht="16.5" thickTop="1" thickBot="1">
      <c r="A129" s="2862" t="str">
        <f>IF(项目基本情况!D5="房地产市场价值","——",MID(F114,3,LEN(F114)-2))</f>
        <v>——</v>
      </c>
      <c r="B129" s="2863"/>
      <c r="C129" s="2856"/>
      <c r="D129" s="2868" t="str">
        <f>I114</f>
        <v>——</v>
      </c>
      <c r="E129" s="2868"/>
      <c r="F129" s="2868"/>
      <c r="G129" s="2868"/>
      <c r="H129" s="2868"/>
      <c r="I129" s="2868"/>
    </row>
    <row r="130" spans="1:9" ht="15.75" thickTop="1" thickBot="1">
      <c r="A130" s="2873" t="s">
        <v>1959</v>
      </c>
      <c r="B130" s="2874"/>
      <c r="C130" s="2874"/>
      <c r="D130" s="2881">
        <f>H116</f>
        <v>0</v>
      </c>
      <c r="E130" s="2882"/>
      <c r="F130" s="2882"/>
      <c r="G130" s="2882"/>
      <c r="H130" s="2882"/>
      <c r="I130" s="2883"/>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297" t="s">
        <v>1960</v>
      </c>
      <c r="B133" s="2298"/>
      <c r="C133" s="2299" t="s">
        <v>1961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1962</v>
      </c>
      <c r="G139" s="2311"/>
      <c r="H139" s="2311"/>
      <c r="I139" s="2312" t="s">
        <v>1963</v>
      </c>
    </row>
    <row r="140" spans="1:9" ht="21.75" customHeight="1">
      <c r="A140" s="798"/>
      <c r="B140" s="2313"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1965</v>
      </c>
    </row>
    <row r="143" spans="1:9" ht="21.75" customHeight="1">
      <c r="A143" s="798"/>
      <c r="B143" s="2313" t="s">
        <v>1966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C10:D13">
    <cfRule type="cellIs" dxfId="173" priority="8" stopIfTrue="1" operator="equal">
      <formula>15</formula>
    </cfRule>
  </conditionalFormatting>
  <conditionalFormatting sqref="D14:D16">
    <cfRule type="cellIs" dxfId="172" priority="6" stopIfTrue="1" operator="equal">
      <formula>30</formula>
    </cfRule>
  </conditionalFormatting>
  <conditionalFormatting sqref="C90">
    <cfRule type="expression" dxfId="171" priority="3" stopIfTrue="1">
      <formula>$H$88&lt;&gt;"仅含出让金"</formula>
    </cfRule>
  </conditionalFormatting>
  <conditionalFormatting sqref="C91">
    <cfRule type="expression" dxfId="170"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1967</v>
      </c>
      <c r="B1" s="2192"/>
      <c r="C1" s="2192"/>
      <c r="D1" s="2192"/>
      <c r="E1" s="2192"/>
      <c r="F1" s="2192"/>
      <c r="G1" s="2192"/>
      <c r="H1" s="2192"/>
      <c r="I1" s="2192"/>
    </row>
    <row r="2" spans="1:12" ht="21.75" customHeight="1">
      <c r="A2" s="2980" t="s">
        <v>1968</v>
      </c>
      <c r="B2" s="2980"/>
      <c r="C2" s="2980"/>
      <c r="D2" s="2980"/>
      <c r="E2" s="2980"/>
      <c r="F2" s="2980"/>
      <c r="G2" s="2980"/>
      <c r="H2" s="2980"/>
      <c r="I2" s="2980"/>
    </row>
    <row r="3" spans="1:12" ht="12.75">
      <c r="A3" s="2910" t="s">
        <v>1772</v>
      </c>
      <c r="B3" s="2911"/>
      <c r="C3" s="2911"/>
      <c r="D3" s="2911"/>
      <c r="E3" s="2911"/>
      <c r="F3" s="2911"/>
      <c r="G3" s="2911"/>
      <c r="H3" s="2911"/>
      <c r="I3" s="2911"/>
    </row>
    <row r="4" spans="1:12" ht="14.25">
      <c r="A4" s="2194" t="s">
        <v>1773</v>
      </c>
      <c r="B4" s="2195" t="s">
        <v>1774</v>
      </c>
      <c r="C4" s="2196"/>
      <c r="D4" s="2196"/>
      <c r="E4" s="2891" t="s">
        <v>1969</v>
      </c>
      <c r="F4" s="2892"/>
      <c r="G4" s="2892"/>
      <c r="H4" s="2892"/>
      <c r="I4" s="290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1776</v>
      </c>
      <c r="B5" s="2846">
        <v>25</v>
      </c>
      <c r="C5" s="2895"/>
      <c r="D5" s="2909"/>
      <c r="E5" s="56" t="s">
        <v>1777</v>
      </c>
      <c r="F5" s="2197"/>
      <c r="G5" s="2197"/>
      <c r="H5" s="2197"/>
      <c r="I5" s="2198"/>
    </row>
    <row r="6" spans="1:12" ht="12.75">
      <c r="A6" s="2884"/>
      <c r="B6" s="2846"/>
      <c r="C6" s="2912"/>
      <c r="D6" s="2909"/>
      <c r="E6" s="56" t="s">
        <v>1778</v>
      </c>
      <c r="F6" s="2197"/>
      <c r="G6" s="2197"/>
      <c r="H6" s="2197"/>
      <c r="I6" s="2198"/>
    </row>
    <row r="7" spans="1:12" ht="12.75">
      <c r="A7" s="2884"/>
      <c r="B7" s="2846"/>
      <c r="C7" s="2896"/>
      <c r="D7" s="2909"/>
      <c r="E7" s="56" t="s">
        <v>1779</v>
      </c>
      <c r="F7" s="2197"/>
      <c r="G7" s="2197"/>
      <c r="H7" s="2197"/>
      <c r="I7" s="2198"/>
    </row>
    <row r="8" spans="1:12" ht="12.75">
      <c r="A8" s="2884" t="s">
        <v>1780</v>
      </c>
      <c r="B8" s="2846">
        <v>15</v>
      </c>
      <c r="C8" s="2895"/>
      <c r="D8" s="2909"/>
      <c r="E8" s="56" t="s">
        <v>1781</v>
      </c>
      <c r="F8" s="2197"/>
      <c r="G8" s="2197"/>
      <c r="H8" s="2197"/>
      <c r="I8" s="2198"/>
    </row>
    <row r="9" spans="1:12" ht="12.75">
      <c r="A9" s="2884"/>
      <c r="B9" s="2846"/>
      <c r="C9" s="2896"/>
      <c r="D9" s="2909"/>
      <c r="E9" s="56" t="s">
        <v>1782</v>
      </c>
      <c r="F9" s="2197"/>
      <c r="G9" s="2197"/>
      <c r="H9" s="2197"/>
      <c r="I9" s="2198"/>
    </row>
    <row r="10" spans="1:12" ht="12.75">
      <c r="A10" s="2884" t="s">
        <v>1783</v>
      </c>
      <c r="B10" s="2846">
        <v>15</v>
      </c>
      <c r="C10" s="2895"/>
      <c r="D10" s="2909"/>
      <c r="E10" s="56" t="s">
        <v>1784</v>
      </c>
      <c r="F10" s="2197"/>
      <c r="G10" s="2197"/>
      <c r="H10" s="2197"/>
      <c r="I10" s="2198"/>
    </row>
    <row r="11" spans="1:12" ht="12.75">
      <c r="A11" s="2884"/>
      <c r="B11" s="2846"/>
      <c r="C11" s="2896"/>
      <c r="D11" s="2909"/>
      <c r="E11" s="56" t="s">
        <v>1785</v>
      </c>
      <c r="F11" s="2197"/>
      <c r="G11" s="2197"/>
      <c r="H11" s="2197"/>
      <c r="I11" s="2198"/>
    </row>
    <row r="12" spans="1:12" ht="12.75">
      <c r="A12" s="2884" t="s">
        <v>1786</v>
      </c>
      <c r="B12" s="2846">
        <v>15</v>
      </c>
      <c r="C12" s="2895"/>
      <c r="D12" s="2909"/>
      <c r="E12" s="56" t="s">
        <v>1787</v>
      </c>
      <c r="F12" s="2197"/>
      <c r="G12" s="2197"/>
      <c r="H12" s="2197"/>
      <c r="I12" s="2198"/>
    </row>
    <row r="13" spans="1:12" ht="12.75">
      <c r="A13" s="2884"/>
      <c r="B13" s="2846"/>
      <c r="C13" s="2896"/>
      <c r="D13" s="2909"/>
      <c r="E13" s="56" t="s">
        <v>1788</v>
      </c>
      <c r="F13" s="2197"/>
      <c r="G13" s="2197"/>
      <c r="H13" s="2197"/>
      <c r="I13" s="2198"/>
    </row>
    <row r="14" spans="1:12" ht="12.75">
      <c r="A14" s="2884" t="s">
        <v>1789</v>
      </c>
      <c r="B14" s="2846">
        <v>30</v>
      </c>
      <c r="C14" s="2895"/>
      <c r="D14" s="2909"/>
      <c r="E14" s="56" t="s">
        <v>1790</v>
      </c>
      <c r="F14" s="2197"/>
      <c r="G14" s="2197"/>
      <c r="H14" s="2197"/>
      <c r="I14" s="2198"/>
    </row>
    <row r="15" spans="1:12" ht="12.75">
      <c r="A15" s="2884"/>
      <c r="B15" s="2846"/>
      <c r="C15" s="2912"/>
      <c r="D15" s="2909"/>
      <c r="E15" s="56" t="s">
        <v>1791</v>
      </c>
      <c r="F15" s="2197"/>
      <c r="G15" s="2197"/>
      <c r="H15" s="2197"/>
      <c r="I15" s="2198"/>
    </row>
    <row r="16" spans="1:12" ht="12.75">
      <c r="A16" s="2884"/>
      <c r="B16" s="2846"/>
      <c r="C16" s="2896"/>
      <c r="D16" s="2909"/>
      <c r="E16" s="56" t="s">
        <v>1792</v>
      </c>
      <c r="F16" s="2197"/>
      <c r="G16" s="2197"/>
      <c r="H16" s="2197"/>
      <c r="I16" s="2198"/>
    </row>
    <row r="17" spans="1:35" ht="15">
      <c r="A17" s="2199" t="s">
        <v>1793</v>
      </c>
      <c r="B17" s="2200"/>
      <c r="C17" s="57">
        <f>SUM(C5:C16)</f>
        <v>0</v>
      </c>
      <c r="D17" s="57">
        <f>SUM(D5:D16)</f>
        <v>0</v>
      </c>
      <c r="E17" s="2192"/>
      <c r="F17" s="2192"/>
      <c r="G17" s="2192"/>
      <c r="H17" s="2192"/>
      <c r="I17" s="2192"/>
    </row>
    <row r="18" spans="1:35" ht="15.75" thickBot="1">
      <c r="A18" s="2201" t="s">
        <v>1794</v>
      </c>
      <c r="B18" s="2202"/>
      <c r="C18" s="58" t="e">
        <f>ROUND(C17/SUM(C17:D17),2)</f>
        <v>#DIV/0!</v>
      </c>
      <c r="D18" s="58" t="e">
        <f>1-C18</f>
        <v>#DIV/0!</v>
      </c>
      <c r="E18" s="2192"/>
      <c r="F18" s="2192"/>
      <c r="G18" s="2192"/>
      <c r="H18" s="2192"/>
      <c r="I18" s="2192"/>
    </row>
    <row r="19" spans="1:35" ht="15">
      <c r="A19" s="2203" t="s">
        <v>1795</v>
      </c>
      <c r="B19" s="2204" t="s">
        <v>1796</v>
      </c>
      <c r="C19" s="59" t="e">
        <f ca="1">SUMIF(INDIRECT("'"&amp;C4&amp;"'"&amp;"!A:A"),'结果表 (1修多)'!B19,INDIRECT("'"&amp;C4&amp;"'"&amp;"!B:B"))</f>
        <v>#REF!</v>
      </c>
      <c r="D19" s="60" t="e">
        <f ca="1">SUMIF(INDIRECT("'"&amp;D4&amp;"'"&amp;"!A:A"),'结果表 (1修多)'!B19,INDIRECT("'"&amp;D4&amp;"'"&amp;"!B:B"))</f>
        <v>#REF!</v>
      </c>
      <c r="E19" s="2203" t="s">
        <v>1797</v>
      </c>
      <c r="F19" s="2204" t="s">
        <v>1796</v>
      </c>
      <c r="G19" s="61" t="e">
        <f ca="1">ROUND(C19*$C$18+D19*$D$18,0)</f>
        <v>#REF!</v>
      </c>
      <c r="H19" s="2205" t="str">
        <f>'数据-取费表'!B3</f>
        <v>元</v>
      </c>
      <c r="I19" s="2192"/>
    </row>
    <row r="20" spans="1:35" ht="15">
      <c r="A20" s="2206"/>
      <c r="B20" s="2207" t="s">
        <v>1798</v>
      </c>
      <c r="C20" s="62" t="e">
        <f ca="1">SUMIF(INDIRECT("'"&amp;C4&amp;"'"&amp;"!A:A"),'结果表 (1修多)'!B20,INDIRECT("'"&amp;C4&amp;"'"&amp;"!B:B"))</f>
        <v>#REF!</v>
      </c>
      <c r="D20" s="63" t="e">
        <f ca="1">SUMIF(INDIRECT("'"&amp;D4&amp;"'"&amp;"!A:A"),'结果表 (1修多)'!B20,INDIRECT("'"&amp;D4&amp;"'"&amp;"!B:B"))</f>
        <v>#REF!</v>
      </c>
      <c r="E20" s="2206"/>
      <c r="F20" s="2207" t="s">
        <v>1798</v>
      </c>
      <c r="G20" s="64" t="e">
        <f ca="1">ROUND(C20*$C$18+D20*$D$18,0)</f>
        <v>#REF!</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5" t="s">
        <v>1801</v>
      </c>
      <c r="B24" s="2204" t="s">
        <v>1796</v>
      </c>
      <c r="C24" s="61">
        <f>D30</f>
        <v>0</v>
      </c>
      <c r="D24" s="994"/>
      <c r="E24" s="2192"/>
      <c r="F24" s="2192"/>
      <c r="G24" s="2192"/>
      <c r="H24" s="2192"/>
      <c r="I24" s="2192"/>
    </row>
    <row r="25" spans="1:35" ht="21.75" customHeight="1">
      <c r="A25" s="2916"/>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t="s">
        <v>1970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21" t="s">
        <v>1971</v>
      </c>
      <c r="B30" s="2722"/>
      <c r="C30" s="2722"/>
      <c r="D30" s="2722"/>
      <c r="E30" s="2714" t="s">
        <v>2811</v>
      </c>
      <c r="F30" s="2192"/>
      <c r="G30" s="2192"/>
      <c r="H30" s="2192"/>
      <c r="I30" s="2192"/>
    </row>
    <row r="31" spans="1:35" s="2219" customFormat="1" ht="15.75" thickBot="1">
      <c r="A31" s="2971" t="s">
        <v>1972</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1973</v>
      </c>
      <c r="C32" s="1308">
        <f ca="1">典型户型修正!R27</f>
        <v>9306</v>
      </c>
      <c r="D32" s="2192" t="s">
        <v>1974</v>
      </c>
      <c r="E32" s="2192"/>
      <c r="F32" s="2192"/>
      <c r="G32" s="2192"/>
      <c r="H32" s="2192"/>
      <c r="I32" s="2192"/>
    </row>
    <row r="33" spans="1:16" ht="15">
      <c r="A33" s="2319" t="s">
        <v>1975</v>
      </c>
      <c r="B33" s="2320" t="s">
        <v>1976</v>
      </c>
      <c r="C33" s="1309">
        <f ca="1">典型户型修正!B2</f>
        <v>2409197</v>
      </c>
      <c r="D33" s="2321" t="str">
        <f>IF('数据-取费表'!B3="万元","万元","元")</f>
        <v>元</v>
      </c>
      <c r="E33" s="2192"/>
      <c r="F33" s="2192"/>
      <c r="G33" s="2192"/>
      <c r="H33" s="2192"/>
      <c r="I33" s="2192"/>
    </row>
    <row r="34" spans="1:16" ht="15.75" thickBot="1">
      <c r="A34" s="2322"/>
      <c r="B34" s="2323" t="s">
        <v>1977</v>
      </c>
      <c r="C34" s="771">
        <f ca="1">典型户型修正!B3</f>
        <v>9491</v>
      </c>
      <c r="D34" s="2192" t="s">
        <v>1978</v>
      </c>
      <c r="E34" s="2192"/>
      <c r="F34" s="2192"/>
      <c r="G34" s="2192"/>
      <c r="H34" s="2192"/>
      <c r="I34" s="2192"/>
    </row>
    <row r="35" spans="1:16" ht="15">
      <c r="A35" s="2324"/>
      <c r="B35" s="2325" t="s">
        <v>1979</v>
      </c>
      <c r="C35" s="1316">
        <f>IF('数据-取费表'!B3="万元",典型户型修正!V25,典型户型修正!U25)</f>
        <v>0</v>
      </c>
      <c r="D35" s="2192" t="str">
        <f>D33</f>
        <v>元</v>
      </c>
      <c r="E35" s="2192"/>
      <c r="F35" s="2192"/>
      <c r="G35" s="2192"/>
      <c r="H35" s="2192"/>
      <c r="I35" s="2192"/>
    </row>
    <row r="36" spans="1:16" ht="15.75" thickBot="1">
      <c r="A36" s="2231"/>
      <c r="B36" s="2326" t="s">
        <v>1980</v>
      </c>
      <c r="C36" s="1317">
        <f>IF('数据-取费表'!B3="万元",典型户型修正!Y25,典型户型修正!X25)</f>
        <v>0</v>
      </c>
      <c r="D36" s="2192" t="str">
        <f>D33</f>
        <v>元</v>
      </c>
      <c r="E36" s="2192"/>
      <c r="F36" s="2192"/>
      <c r="G36" s="2192"/>
      <c r="H36" s="2192"/>
      <c r="I36" s="2192"/>
    </row>
    <row r="37" spans="1:16" ht="15.75" thickBot="1">
      <c r="A37" s="2897" t="s">
        <v>1981</v>
      </c>
      <c r="B37" s="2234" t="s">
        <v>1982</v>
      </c>
      <c r="C37" s="69"/>
      <c r="D37" s="2235"/>
      <c r="E37" s="2236"/>
      <c r="F37" s="2236"/>
      <c r="G37" s="2192"/>
      <c r="H37" s="2192"/>
      <c r="I37" s="2192"/>
    </row>
    <row r="38" spans="1:16" ht="15.75" thickBot="1">
      <c r="A38" s="2898"/>
      <c r="B38" s="2237" t="s">
        <v>1983</v>
      </c>
      <c r="C38" s="71"/>
      <c r="D38" s="2202"/>
      <c r="E38" s="2202"/>
      <c r="F38" s="2236"/>
      <c r="G38" s="2202"/>
      <c r="H38" s="2202"/>
      <c r="I38" s="2202"/>
    </row>
    <row r="39" spans="1:16" ht="15.75" thickBot="1">
      <c r="A39" s="2899"/>
      <c r="B39" s="2238" t="s">
        <v>1984</v>
      </c>
      <c r="C39" s="712"/>
      <c r="D39" s="2239" t="s">
        <v>1985</v>
      </c>
      <c r="E39" s="2202"/>
      <c r="F39" s="2236"/>
      <c r="G39" s="2202"/>
      <c r="H39" s="2202"/>
      <c r="I39" s="2202"/>
    </row>
    <row r="40" spans="1:16" ht="15">
      <c r="A40" s="2206" t="s">
        <v>1986</v>
      </c>
      <c r="B40" s="2240" t="s">
        <v>1987</v>
      </c>
      <c r="C40" s="2241" t="s">
        <v>1988</v>
      </c>
      <c r="D40" s="2241" t="s">
        <v>1989</v>
      </c>
      <c r="E40" s="2242" t="s">
        <v>1990</v>
      </c>
      <c r="F40" s="2236"/>
      <c r="G40" s="2202"/>
      <c r="H40" s="2202"/>
      <c r="I40" s="2202"/>
    </row>
    <row r="41" spans="1:16" ht="14.25">
      <c r="A41" s="2243" t="s">
        <v>1991</v>
      </c>
      <c r="B41" s="74"/>
      <c r="C41" s="75"/>
      <c r="D41" s="75"/>
      <c r="E41" s="76"/>
      <c r="F41" s="2236"/>
      <c r="G41" s="2202"/>
      <c r="H41" s="2202"/>
      <c r="I41" s="2202"/>
    </row>
    <row r="42" spans="1:16" ht="14.25">
      <c r="A42" s="2243" t="s">
        <v>1992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1993</v>
      </c>
      <c r="B45" s="2249"/>
      <c r="C45" s="2249"/>
      <c r="D45" s="2250"/>
      <c r="E45" s="2250"/>
      <c r="F45" s="2251"/>
      <c r="G45" s="2251"/>
      <c r="H45" s="2251"/>
      <c r="I45" s="2251"/>
      <c r="J45" s="2252" t="s">
        <v>1824</v>
      </c>
      <c r="K45" s="2253"/>
      <c r="L45" s="2253"/>
      <c r="M45" s="2253"/>
      <c r="N45" s="2253"/>
      <c r="O45" s="2253"/>
      <c r="P45" s="1845"/>
    </row>
    <row r="46" spans="1:16" ht="14.25" customHeight="1" thickBot="1">
      <c r="A46" s="2903" t="s">
        <v>1994</v>
      </c>
      <c r="B46" s="2904"/>
      <c r="C46" s="2905"/>
      <c r="D46" s="80">
        <f ca="1">ROUND(I103*F46,0)</f>
        <v>2409197</v>
      </c>
      <c r="E46" s="81" t="s">
        <v>1995</v>
      </c>
      <c r="F46" s="82">
        <v>1</v>
      </c>
      <c r="G46" s="83" t="s">
        <v>1996</v>
      </c>
      <c r="H46" s="2192"/>
      <c r="I46" s="2192"/>
      <c r="J46" s="2965" t="s">
        <v>1828</v>
      </c>
      <c r="K46" s="2965"/>
      <c r="L46" s="2965"/>
      <c r="M46" s="2965"/>
      <c r="N46" s="2965"/>
      <c r="O46" s="2965"/>
      <c r="P46" s="1845"/>
    </row>
    <row r="47" spans="1:16" ht="14.25" customHeight="1">
      <c r="A47" s="2888" t="s">
        <v>1829</v>
      </c>
      <c r="B47" s="2889"/>
      <c r="C47" s="2889"/>
      <c r="D47" s="2889"/>
      <c r="E47" s="2889"/>
      <c r="F47" s="2889"/>
      <c r="G47" s="2890"/>
      <c r="H47" s="2254"/>
      <c r="I47" s="1144"/>
      <c r="J47" s="1883">
        <v>1</v>
      </c>
      <c r="K47" s="2965" t="s">
        <v>1830</v>
      </c>
      <c r="L47" s="2965"/>
      <c r="M47" s="2981"/>
      <c r="N47" s="2981"/>
      <c r="O47" s="2981"/>
      <c r="P47" s="1845"/>
    </row>
    <row r="48" spans="1:16" ht="12" customHeight="1">
      <c r="A48" s="85" t="s">
        <v>1831</v>
      </c>
      <c r="B48" s="86"/>
      <c r="C48" s="87"/>
      <c r="D48" s="88" t="s">
        <v>1832</v>
      </c>
      <c r="E48" s="14" t="s">
        <v>1833</v>
      </c>
      <c r="F48" s="89" t="s">
        <v>1834</v>
      </c>
      <c r="G48" s="90" t="s">
        <v>1835</v>
      </c>
      <c r="H48" s="2254"/>
      <c r="I48" s="1144"/>
      <c r="J48" s="1883">
        <v>2</v>
      </c>
      <c r="K48" s="2965" t="s">
        <v>1836</v>
      </c>
      <c r="L48" s="2965"/>
      <c r="M48" s="2967">
        <f>'数据-取费表'!B2</f>
        <v>43074</v>
      </c>
      <c r="N48" s="2967"/>
      <c r="O48" s="2967"/>
      <c r="P48" s="1845"/>
    </row>
    <row r="49" spans="1:16" ht="25.5">
      <c r="A49" s="2900" t="s">
        <v>1837</v>
      </c>
      <c r="B49" s="2901"/>
      <c r="C49" s="2901"/>
      <c r="D49" s="56">
        <f ca="1">IF(H49="情况1",0,IF(H49="情况2",D53,IF(H49="情况3",D54,IF(H49="情况4",D55))))</f>
        <v>128491</v>
      </c>
      <c r="E49" s="1893" t="str">
        <f>IF(H49="情况4","(销售额-原购置价)×税（费）率","销售额×税（费）率")</f>
        <v>销售额×税（费）率</v>
      </c>
      <c r="F49" s="91">
        <f>IF(H49="情况1","免征",'数据-取费表'!E29)</f>
        <v>5.6000000000000001E-2</v>
      </c>
      <c r="G49" s="2255" t="s">
        <v>1838</v>
      </c>
      <c r="H49" s="2256" t="s">
        <v>1839</v>
      </c>
      <c r="I49" s="2254"/>
      <c r="J49" s="1883">
        <v>3</v>
      </c>
      <c r="K49" s="2965" t="s">
        <v>1840</v>
      </c>
      <c r="L49" s="2965"/>
      <c r="M49" s="2966">
        <f ca="1">I103</f>
        <v>2409197</v>
      </c>
      <c r="N49" s="2966"/>
      <c r="O49" s="2966"/>
      <c r="P49" s="1845"/>
    </row>
    <row r="50" spans="1:16" ht="25.5" customHeight="1">
      <c r="A50" s="92" t="s">
        <v>1841</v>
      </c>
      <c r="B50" s="2893" t="s">
        <v>1842</v>
      </c>
      <c r="C50" s="2893"/>
      <c r="D50" s="93">
        <v>0</v>
      </c>
      <c r="E50" s="13" t="s">
        <v>1843</v>
      </c>
      <c r="F50" s="18" t="s">
        <v>48</v>
      </c>
      <c r="G50" s="2958"/>
      <c r="H50" s="2192"/>
      <c r="I50" s="2257"/>
      <c r="J50" s="1883">
        <v>4</v>
      </c>
      <c r="K50" s="2965" t="str">
        <f>IF(项目基本情况!F5="房地产抵押价值","房地产抵押价值","抵押担保权已注销时的房地产抵押价值")</f>
        <v>抵押担保权已注销时的房地产抵押价值</v>
      </c>
      <c r="L50" s="2965"/>
      <c r="M50" s="2966" t="str">
        <f>IF(项目基本情况!E8="房地产抵押价值",I111,I113)</f>
        <v>——</v>
      </c>
      <c r="N50" s="2966"/>
      <c r="O50" s="2966"/>
      <c r="P50" s="1845"/>
    </row>
    <row r="51" spans="1:16" ht="25.5" customHeight="1">
      <c r="A51" s="94"/>
      <c r="B51" s="2893" t="s">
        <v>1844</v>
      </c>
      <c r="C51" s="2893"/>
      <c r="D51" s="95"/>
      <c r="E51" s="21"/>
      <c r="F51" s="96"/>
      <c r="G51" s="2959"/>
      <c r="H51" s="2192"/>
      <c r="I51" s="2257"/>
      <c r="J51" s="2965" t="s">
        <v>1845</v>
      </c>
      <c r="K51" s="2965"/>
      <c r="L51" s="2965"/>
      <c r="M51" s="2965"/>
      <c r="N51" s="2965"/>
      <c r="O51" s="2965"/>
      <c r="P51" s="1845"/>
    </row>
    <row r="52" spans="1:16" ht="12" customHeight="1">
      <c r="A52" s="97"/>
      <c r="B52" s="2893" t="s">
        <v>1846</v>
      </c>
      <c r="C52" s="2893"/>
      <c r="D52" s="98"/>
      <c r="E52" s="20"/>
      <c r="F52" s="96"/>
      <c r="G52" s="2960"/>
      <c r="H52" s="2192"/>
      <c r="I52" s="2257"/>
      <c r="J52" s="2258" t="s">
        <v>1847</v>
      </c>
      <c r="K52" s="2965" t="s">
        <v>1848</v>
      </c>
      <c r="L52" s="2965"/>
      <c r="M52" s="2258" t="s">
        <v>1849</v>
      </c>
      <c r="N52" s="2258" t="s">
        <v>1850</v>
      </c>
      <c r="O52" s="2258" t="s">
        <v>1851</v>
      </c>
      <c r="P52" s="1845"/>
    </row>
    <row r="53" spans="1:16" ht="24" customHeight="1">
      <c r="A53" s="99" t="s">
        <v>1852</v>
      </c>
      <c r="B53" s="2893" t="s">
        <v>1853</v>
      </c>
      <c r="C53" s="2893"/>
      <c r="D53" s="98">
        <f ca="1">ROUND(D46*'数据-取费表'!E29/(1+'数据-取费表'!F30),0)</f>
        <v>128491</v>
      </c>
      <c r="E53" s="10" t="s">
        <v>1854</v>
      </c>
      <c r="F53" s="100">
        <f>'数据-取费表'!E29</f>
        <v>5.6000000000000001E-2</v>
      </c>
      <c r="G53" s="2259"/>
      <c r="H53" s="2192"/>
      <c r="I53" s="2257"/>
      <c r="J53" s="1883">
        <v>1</v>
      </c>
      <c r="K53" s="2925" t="s">
        <v>1855</v>
      </c>
      <c r="L53" s="2925"/>
      <c r="M53" s="778">
        <f ca="1">D49</f>
        <v>128491</v>
      </c>
      <c r="N53" s="1883" t="str">
        <f>E49</f>
        <v>销售额×税（费）率</v>
      </c>
      <c r="O53" s="779">
        <f>F49</f>
        <v>5.6000000000000001E-2</v>
      </c>
      <c r="P53" s="1845"/>
    </row>
    <row r="54" spans="1:16" ht="12" customHeight="1">
      <c r="A54" s="99" t="s">
        <v>1856</v>
      </c>
      <c r="B54" s="2894" t="s">
        <v>1857</v>
      </c>
      <c r="C54" s="2824"/>
      <c r="D54" s="98">
        <f ca="1">ROUND(D46*'数据-取费表'!E29/(1+'数据-取费表'!F30),0)</f>
        <v>128491</v>
      </c>
      <c r="E54" s="10" t="s">
        <v>1854</v>
      </c>
      <c r="F54" s="100">
        <f>'数据-取费表'!E29</f>
        <v>5.6000000000000001E-2</v>
      </c>
      <c r="G54" s="2259"/>
      <c r="H54" s="2192"/>
      <c r="I54" s="2257"/>
      <c r="J54" s="1883">
        <v>2</v>
      </c>
      <c r="K54" s="2925" t="s">
        <v>1858</v>
      </c>
      <c r="L54" s="2925"/>
      <c r="M54" s="778">
        <f t="shared" ref="M54:O55" ca="1" si="1">D56</f>
        <v>1205</v>
      </c>
      <c r="N54" s="1883" t="str">
        <f t="shared" si="1"/>
        <v>销售额×税（费）率</v>
      </c>
      <c r="O54" s="779">
        <f t="shared" si="1"/>
        <v>5.0000000000000001E-4</v>
      </c>
      <c r="P54" s="1845"/>
    </row>
    <row r="55" spans="1:16" ht="12" customHeight="1">
      <c r="A55" s="99" t="s">
        <v>1859</v>
      </c>
      <c r="B55" s="2894" t="s">
        <v>1860</v>
      </c>
      <c r="C55" s="2824"/>
      <c r="D55" s="98">
        <f ca="1">C69</f>
        <v>128490</v>
      </c>
      <c r="E55" s="20" t="s">
        <v>1861</v>
      </c>
      <c r="F55" s="100">
        <f>'数据-取费表'!E29</f>
        <v>5.6000000000000001E-2</v>
      </c>
      <c r="G55" s="2259"/>
      <c r="H55" s="2260"/>
      <c r="I55" s="2257"/>
      <c r="J55" s="1883">
        <v>3</v>
      </c>
      <c r="K55" s="2925" t="s">
        <v>1862</v>
      </c>
      <c r="L55" s="2925"/>
      <c r="M55" s="778">
        <f t="shared" ca="1" si="1"/>
        <v>1363605</v>
      </c>
      <c r="N55" s="1883" t="str">
        <f t="shared" si="1"/>
        <v>增值额×税（费）率</v>
      </c>
      <c r="O55" s="780" t="str">
        <f t="shared" si="1"/>
        <v>——</v>
      </c>
      <c r="P55" s="1845"/>
    </row>
    <row r="56" spans="1:16" ht="24" customHeight="1">
      <c r="A56" s="2816" t="s">
        <v>1863</v>
      </c>
      <c r="B56" s="2901"/>
      <c r="C56" s="2901"/>
      <c r="D56" s="101">
        <f ca="1">IF(H56="个人住宅",0,ROUND(D46*I56,0))</f>
        <v>1205</v>
      </c>
      <c r="E56" s="10" t="s">
        <v>1864</v>
      </c>
      <c r="F56" s="100">
        <f>IF(H56="正常",I56,"免征")</f>
        <v>5.0000000000000001E-4</v>
      </c>
      <c r="G56" s="2259"/>
      <c r="H56" s="2256" t="s">
        <v>1865</v>
      </c>
      <c r="I56" s="102">
        <f>'数据-取费表'!E37</f>
        <v>5.0000000000000001E-4</v>
      </c>
      <c r="J56" s="1883" t="str">
        <f>IF(H60="非个人房产","",4)</f>
        <v/>
      </c>
      <c r="K56" s="2925" t="str">
        <f>IF(H60="非个人房产","——","个人所得税")</f>
        <v>——</v>
      </c>
      <c r="L56" s="2925"/>
      <c r="M56" s="781" t="str">
        <f>D60</f>
        <v>——</v>
      </c>
      <c r="N56" s="1886" t="str">
        <f>E60</f>
        <v>——</v>
      </c>
      <c r="O56" s="782" t="str">
        <f>F60</f>
        <v>——</v>
      </c>
      <c r="P56" s="1845"/>
    </row>
    <row r="57" spans="1:16" ht="24.75">
      <c r="A57" s="2816" t="s">
        <v>1866</v>
      </c>
      <c r="B57" s="2901"/>
      <c r="C57" s="2901"/>
      <c r="D57" s="101">
        <f ca="1">IF(H57="个人住宅",D58,D59)</f>
        <v>1363605</v>
      </c>
      <c r="E57" s="10" t="s">
        <v>1867</v>
      </c>
      <c r="F57" s="100" t="str">
        <f>IF(H57="正常",F59,"免征")</f>
        <v>——</v>
      </c>
      <c r="G57" s="2261" t="s">
        <v>1868</v>
      </c>
      <c r="H57" s="2262" t="s">
        <v>1865</v>
      </c>
      <c r="I57" s="1022"/>
      <c r="J57" s="1883"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5"/>
    </row>
    <row r="58" spans="1:16" ht="12.75">
      <c r="A58" s="99" t="s">
        <v>1841</v>
      </c>
      <c r="B58" s="2891" t="s">
        <v>1869</v>
      </c>
      <c r="C58" s="2902"/>
      <c r="D58" s="103">
        <v>0</v>
      </c>
      <c r="E58" s="13" t="s">
        <v>1843</v>
      </c>
      <c r="F58" s="70"/>
      <c r="G58" s="2259"/>
      <c r="H58" s="1022"/>
      <c r="I58" s="1022"/>
      <c r="J58" s="2925">
        <f>IF(AND(J56="",J57=""),4,IF(项目基本情况!I6="上海银行",J57+1,J56+1))</f>
        <v>4</v>
      </c>
      <c r="K58" s="2925" t="s">
        <v>1870</v>
      </c>
      <c r="L58" s="2263" t="s">
        <v>1871</v>
      </c>
      <c r="M58" s="783"/>
      <c r="N58" s="784">
        <f ca="1">SUMIF(M53:M57,"&lt;9e307")</f>
        <v>1493301</v>
      </c>
      <c r="O58" s="2264"/>
      <c r="P58" s="1841" t="e">
        <f ca="1">N58/M50</f>
        <v>#VALUE!</v>
      </c>
    </row>
    <row r="59" spans="1:16" ht="24.75">
      <c r="A59" s="99" t="s">
        <v>1852</v>
      </c>
      <c r="B59" s="2891" t="s">
        <v>1872</v>
      </c>
      <c r="C59" s="2892"/>
      <c r="D59" s="101">
        <f ca="1">IF(H59="转让取得",C82,C98)</f>
        <v>1363605</v>
      </c>
      <c r="E59" s="10" t="s">
        <v>1867</v>
      </c>
      <c r="F59" s="14" t="s">
        <v>48</v>
      </c>
      <c r="G59" s="2259"/>
      <c r="H59" s="2262" t="s">
        <v>1873</v>
      </c>
      <c r="I59" s="1022"/>
      <c r="J59" s="2925"/>
      <c r="K59" s="2925"/>
      <c r="L59" s="2263" t="s">
        <v>1874</v>
      </c>
      <c r="M59" s="785"/>
      <c r="N59" s="2265" t="str">
        <f ca="1">IF(H19="元",NUMBERSTRING(INT(N58),2)&amp;"元整",NUMBERSTRING(INT(N58*10000),2)&amp;"元整")</f>
        <v>壹佰肆拾玖万叁仟叁佰零壹元整</v>
      </c>
      <c r="O59" s="2266"/>
      <c r="P59" s="1845"/>
    </row>
    <row r="60" spans="1:16" ht="24.75" thickBot="1">
      <c r="A60" s="2817" t="s">
        <v>1875</v>
      </c>
      <c r="B60" s="2820"/>
      <c r="C60" s="2820"/>
      <c r="D60" s="104" t="str">
        <f>IF(H60="非个人房产","——",IF(H60="个人住宅",0,ROUND(D46*I60,0)))</f>
        <v>——</v>
      </c>
      <c r="E60" s="105" t="str">
        <f>IF(H60="非个人房产","——","销售额×税（费）率")</f>
        <v>——</v>
      </c>
      <c r="F60" s="106" t="str">
        <f>IF(H60="非个人房产","——",IF(H60="个人住宅","免征",I60))</f>
        <v>——</v>
      </c>
      <c r="G60" s="2267" t="s">
        <v>1868</v>
      </c>
      <c r="H60" s="2262" t="s">
        <v>1997</v>
      </c>
      <c r="I60" s="107">
        <v>0.01</v>
      </c>
      <c r="J60" s="2923">
        <f>J58+1</f>
        <v>5</v>
      </c>
      <c r="K60" s="2925" t="s">
        <v>1877</v>
      </c>
      <c r="L60" s="1883" t="s">
        <v>1871</v>
      </c>
      <c r="M60" s="786"/>
      <c r="N60" s="787" t="e">
        <f ca="1">M50-N58</f>
        <v>#VALUE!</v>
      </c>
      <c r="O60" s="2268"/>
      <c r="P60" s="1845"/>
    </row>
    <row r="61" spans="1:16" ht="12" customHeight="1">
      <c r="A61" s="2064"/>
      <c r="B61" s="2192"/>
      <c r="C61" s="2192"/>
      <c r="D61" s="2192"/>
      <c r="E61" s="1022"/>
      <c r="F61" s="1022"/>
      <c r="G61" s="1022"/>
      <c r="H61" s="2245"/>
      <c r="I61" s="2192"/>
      <c r="J61" s="2924"/>
      <c r="K61" s="2925"/>
      <c r="L61" s="2263" t="s">
        <v>1874</v>
      </c>
      <c r="M61" s="785"/>
      <c r="N61" s="2265" t="e">
        <f ca="1">IF(H19="元",NUMBERSTRING(INT(N60),2)&amp;"元整",NUMBERSTRING(INT(N60*10000),2)&amp;"元整")</f>
        <v>#VALUE!</v>
      </c>
      <c r="O61" s="2266"/>
      <c r="P61" s="1845"/>
    </row>
    <row r="62" spans="1:16" ht="13.5" thickBot="1">
      <c r="A62" s="2906" t="s">
        <v>1878</v>
      </c>
      <c r="B62" s="2906"/>
      <c r="C62" s="2906"/>
      <c r="D62" s="2906"/>
      <c r="E62" s="2906"/>
      <c r="F62" s="1022"/>
      <c r="G62" s="1022"/>
      <c r="H62" s="2245"/>
      <c r="I62" s="2192"/>
      <c r="J62" s="1883">
        <f>J60+1</f>
        <v>6</v>
      </c>
      <c r="K62" s="2925" t="s">
        <v>1879</v>
      </c>
      <c r="L62" s="2925"/>
      <c r="M62" s="788"/>
      <c r="N62" s="789" t="e">
        <f ca="1">IF(H19="元",ROUND(N60/项目基本情况!C12,0),ROUND(N60*10000/项目基本情况!C12,0))</f>
        <v>#VALUE!</v>
      </c>
      <c r="O62" s="2269"/>
      <c r="P62" s="1845"/>
    </row>
    <row r="63" spans="1:16" ht="12.75">
      <c r="A63" s="2913" t="s">
        <v>1880</v>
      </c>
      <c r="B63" s="2914"/>
      <c r="C63" s="1885"/>
      <c r="D63" s="1885" t="s">
        <v>1881</v>
      </c>
      <c r="E63" s="108" t="s">
        <v>1882</v>
      </c>
      <c r="F63" s="1022"/>
      <c r="G63" s="1022"/>
      <c r="H63" s="2245"/>
      <c r="I63" s="2192"/>
      <c r="J63" s="1845"/>
      <c r="K63" s="1845"/>
      <c r="L63" s="1845"/>
      <c r="M63" s="1845"/>
      <c r="N63" s="1845"/>
      <c r="O63" s="1845"/>
      <c r="P63" s="1845"/>
    </row>
    <row r="64" spans="1:16" ht="12.75">
      <c r="A64" s="109">
        <v>1</v>
      </c>
      <c r="B64" s="110" t="s">
        <v>1883</v>
      </c>
      <c r="C64" s="111">
        <f ca="1">ROUND((C65+C66)/(1+'数据-取费表'!F30),0)</f>
        <v>2294473</v>
      </c>
      <c r="D64" s="112"/>
      <c r="E64" s="113"/>
      <c r="F64" s="1022"/>
      <c r="G64" s="1022"/>
      <c r="H64" s="2245"/>
      <c r="I64" s="2192"/>
      <c r="J64" s="2945" t="s">
        <v>1884</v>
      </c>
      <c r="K64" s="2270"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 ca="1">D46</f>
        <v>2409197</v>
      </c>
      <c r="D65" s="117" t="s">
        <v>41</v>
      </c>
      <c r="E65" s="118"/>
      <c r="F65" s="1022"/>
      <c r="G65" s="1022"/>
      <c r="H65" s="2245"/>
      <c r="I65" s="2192"/>
      <c r="J65" s="2945"/>
      <c r="K65" s="2270"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5"/>
      <c r="I66" s="2192"/>
      <c r="J66" s="2945"/>
      <c r="K66" s="2270"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5"/>
      <c r="I67" s="2192"/>
      <c r="J67" s="2945"/>
      <c r="K67" s="2270" t="s">
        <v>1893</v>
      </c>
      <c r="L67" s="1844" t="e">
        <f>M50*0.5%</f>
        <v>#VALUE!</v>
      </c>
      <c r="M67" s="14" t="e">
        <f>IF(L67&gt;0.5,0.5,ROUND(L67,0))</f>
        <v>#VALUE!</v>
      </c>
      <c r="N67" s="1845" t="s">
        <v>1894</v>
      </c>
      <c r="O67" s="1845"/>
      <c r="P67" s="1845"/>
    </row>
    <row r="68" spans="1:35" ht="12.75">
      <c r="A68" s="120" t="s">
        <v>42</v>
      </c>
      <c r="B68" s="121" t="s">
        <v>1895</v>
      </c>
      <c r="C68" s="124">
        <f ca="1">C64-C67</f>
        <v>2294473</v>
      </c>
      <c r="D68" s="117" t="s">
        <v>41</v>
      </c>
      <c r="E68" s="118"/>
      <c r="F68" s="1022"/>
      <c r="G68" s="1022"/>
      <c r="H68" s="2245"/>
      <c r="I68" s="2192"/>
      <c r="J68" s="2945"/>
      <c r="K68" s="2270"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 ca="1">IF(C68&lt;=0,0,ROUND(C68*D69,0))</f>
        <v>128490</v>
      </c>
      <c r="D69" s="128">
        <f>'数据-取费表'!E29</f>
        <v>5.6000000000000001E-2</v>
      </c>
      <c r="E69" s="129"/>
      <c r="F69" s="1022"/>
      <c r="G69" s="1022"/>
      <c r="H69" s="2245"/>
      <c r="I69" s="2192"/>
      <c r="J69" s="2945"/>
      <c r="K69" s="2270" t="s">
        <v>1898</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945"/>
      <c r="K70" s="2270" t="s">
        <v>1899</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17" t="s">
        <v>1900</v>
      </c>
      <c r="B71" s="2918"/>
      <c r="C71" s="2918"/>
      <c r="D71" s="2918"/>
      <c r="E71" s="2918"/>
      <c r="F71" s="2918"/>
      <c r="G71" s="2918"/>
      <c r="H71" s="2918"/>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13" t="s">
        <v>1880</v>
      </c>
      <c r="B72" s="2914"/>
      <c r="C72" s="1885"/>
      <c r="D72" s="1885" t="s">
        <v>1881</v>
      </c>
      <c r="E72" s="130" t="s">
        <v>1882</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1901</v>
      </c>
      <c r="C73" s="124">
        <f ca="1">ROUND(D46/(1+'数据-取费表'!F30),0)</f>
        <v>2294473</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1903</v>
      </c>
      <c r="C74" s="124">
        <f ca="1">C75+C79</f>
        <v>13767</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1904</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1905</v>
      </c>
      <c r="C76" s="137"/>
      <c r="D76" s="117" t="s">
        <v>41</v>
      </c>
      <c r="E76" s="138" t="s">
        <v>1906</v>
      </c>
      <c r="F76" s="2281"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1909</v>
      </c>
      <c r="C77" s="117">
        <f>IF(F76="购房发票",ROUND(C76*H76*D77,0),0)</f>
        <v>0</v>
      </c>
      <c r="D77" s="141">
        <v>0.05</v>
      </c>
      <c r="E77" s="2894" t="s">
        <v>1910</v>
      </c>
      <c r="F77" s="2893"/>
      <c r="G77" s="2893"/>
      <c r="H77" s="2908"/>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2" t="s">
        <v>1913</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1914</v>
      </c>
      <c r="C79" s="144">
        <f ca="1">ROUND(D46*D79/(1+'数据-取费表'!F30),0)</f>
        <v>13767</v>
      </c>
      <c r="D79" s="145">
        <f>'数据-取费表'!E31</f>
        <v>6.000000000000001E-3</v>
      </c>
      <c r="E79" s="2885" t="s">
        <v>1915</v>
      </c>
      <c r="F79" s="2886"/>
      <c r="G79" s="2886"/>
      <c r="H79" s="2887"/>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1916</v>
      </c>
      <c r="C80" s="124">
        <f ca="1">C73-C74</f>
        <v>2280706</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1917</v>
      </c>
      <c r="C81" s="147">
        <f ca="1">IF(C80&lt;=0,0,C80/C74)</f>
        <v>165.66470545507372</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1918</v>
      </c>
      <c r="C82" s="149">
        <f ca="1">ROUND(IF(C80&lt;=0,0,IF(C81&gt;=200%,C80*60%-C74*35%,IF(C81&gt;=100%,C80*50%-C74*15%,IF(C81&gt;=50%,C80*40%-C74*5%,IF(C81&lt;50%,C80*30%,0))))),0)</f>
        <v>1363605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17" t="s">
        <v>1919</v>
      </c>
      <c r="B84" s="2918"/>
      <c r="C84" s="2918"/>
      <c r="D84" s="2918"/>
      <c r="E84" s="2918"/>
      <c r="F84" s="2918"/>
      <c r="G84" s="2918"/>
      <c r="H84" s="2918"/>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13" t="s">
        <v>1880</v>
      </c>
      <c r="B85" s="2914"/>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1901</v>
      </c>
      <c r="C86" s="124">
        <f ca="1">ROUND(D46/(1+'数据-取费表'!F30),0)</f>
        <v>2294473</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1903</v>
      </c>
      <c r="C87" s="124">
        <f ca="1">IF(H89="仅含出让金",C88+C91+C92+C93+C94+C95,C88+C92+C93+C94+C95)</f>
        <v>13767</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1921</v>
      </c>
      <c r="C89" s="157"/>
      <c r="D89" s="145"/>
      <c r="E89" s="158" t="s">
        <v>1922</v>
      </c>
      <c r="F89" s="1882"/>
      <c r="G89" s="159" t="s">
        <v>1923</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1926</v>
      </c>
      <c r="C92" s="144">
        <f>IF(H92="——",成本法!C33,I92)</f>
        <v>0</v>
      </c>
      <c r="D92" s="145"/>
      <c r="E92" s="2885" t="s">
        <v>1927</v>
      </c>
      <c r="F92" s="2886"/>
      <c r="G92" s="2886"/>
      <c r="H92" s="2285" t="s">
        <v>1928</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1929</v>
      </c>
      <c r="C93" s="144">
        <f>ROUND((C88+C91+C92)*D93,0)</f>
        <v>0</v>
      </c>
      <c r="D93" s="145">
        <v>0.1</v>
      </c>
      <c r="E93" s="2885" t="s">
        <v>1930</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1914</v>
      </c>
      <c r="C94" s="144">
        <f ca="1">ROUND(D46*D94/(1+'数据-取费表'!F30),0)</f>
        <v>13767</v>
      </c>
      <c r="D94" s="145">
        <f>'数据-取费表'!E31</f>
        <v>6.000000000000001E-3</v>
      </c>
      <c r="E94" s="2885" t="s">
        <v>1915</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1931</v>
      </c>
      <c r="C95" s="144">
        <f>ROUND((C88+C91+C92)*D95,0)</f>
        <v>0</v>
      </c>
      <c r="D95" s="145">
        <v>0.2</v>
      </c>
      <c r="E95" s="2885" t="s">
        <v>1932</v>
      </c>
      <c r="F95" s="2886"/>
      <c r="G95" s="2886"/>
      <c r="H95" s="2887"/>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1916</v>
      </c>
      <c r="C96" s="124">
        <f ca="1">ROUND(C86-C87,0)</f>
        <v>2280706</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1917</v>
      </c>
      <c r="C97" s="147">
        <f ca="1">IF(C96&lt;=0,0,C96/C87)</f>
        <v>165.66470545507372</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1918</v>
      </c>
      <c r="C98" s="149">
        <f ca="1">ROUND(IF(C96&lt;=0,0,IF(C97&gt;=200%,C96*60%-C87*35%,IF(C97&gt;=100%,C96*50%-C87*15%,IF(C97&gt;=50%,C96*40%-C87*5%,IF(C97&lt;50%,C96*30%,0))))),0)</f>
        <v>1363605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1933</v>
      </c>
      <c r="B99" s="2192"/>
      <c r="C99" s="2192"/>
      <c r="D99" s="2192"/>
      <c r="E99" s="1022"/>
      <c r="F99" s="1022"/>
      <c r="G99" s="1022"/>
      <c r="H99" s="2245"/>
      <c r="I99" s="2192"/>
    </row>
    <row r="100" spans="1:35" ht="15.75">
      <c r="A100" s="2940" t="s">
        <v>1934</v>
      </c>
      <c r="B100" s="2941"/>
      <c r="C100" s="2941"/>
      <c r="D100" s="2942"/>
      <c r="E100" s="2192"/>
      <c r="F100" s="2951" t="s">
        <v>1935</v>
      </c>
      <c r="G100" s="2952"/>
      <c r="H100" s="2952"/>
      <c r="I100" s="2953"/>
    </row>
    <row r="101" spans="1:35" ht="15.75">
      <c r="A101" s="2954" t="s">
        <v>1936</v>
      </c>
      <c r="B101" s="2955"/>
      <c r="C101" s="720">
        <f>C4</f>
        <v>0</v>
      </c>
      <c r="D101" s="721">
        <f>D4</f>
        <v>0</v>
      </c>
      <c r="E101" s="2192"/>
      <c r="F101" s="2850" t="s">
        <v>1937</v>
      </c>
      <c r="G101" s="2851"/>
      <c r="H101" s="2976" t="s">
        <v>1938</v>
      </c>
      <c r="I101" s="2849"/>
    </row>
    <row r="102" spans="1:35" ht="15.75">
      <c r="A102" s="2977" t="s">
        <v>1998</v>
      </c>
      <c r="B102" s="2287" t="str">
        <f>IF(H19="元","总价（元）","总价（万元）")</f>
        <v>总价（元）</v>
      </c>
      <c r="C102" s="720" t="e">
        <f ca="1">C19</f>
        <v>#REF!</v>
      </c>
      <c r="D102" s="721" t="e">
        <f ca="1">D19</f>
        <v>#REF!</v>
      </c>
      <c r="E102" s="2192"/>
      <c r="F102" s="2978"/>
      <c r="G102" s="2979"/>
      <c r="H102" s="2848">
        <f>典型户型修正!B25</f>
        <v>253.83999999999997</v>
      </c>
      <c r="I102" s="2849"/>
    </row>
    <row r="103" spans="1:35" ht="15.75">
      <c r="A103" s="2977"/>
      <c r="B103" s="2287" t="s">
        <v>1940</v>
      </c>
      <c r="C103" s="722" t="e">
        <f ca="1">C20</f>
        <v>#REF!</v>
      </c>
      <c r="D103" s="723" t="e">
        <f ca="1">D20</f>
        <v>#REF!</v>
      </c>
      <c r="E103" s="2192"/>
      <c r="F103" s="2877" t="s">
        <v>1941</v>
      </c>
      <c r="G103" s="2878"/>
      <c r="H103" s="2288" t="str">
        <f>C109</f>
        <v>总价（元）</v>
      </c>
      <c r="I103" s="1862">
        <f ca="1">H124</f>
        <v>2409197</v>
      </c>
    </row>
    <row r="104" spans="1:35" ht="15">
      <c r="A104" s="2977" t="s">
        <v>1999</v>
      </c>
      <c r="B104" s="2289" t="str">
        <f>B102</f>
        <v>总价（元）</v>
      </c>
      <c r="C104" s="1190" t="e">
        <f ca="1">ROUND(IF('数据-取费表'!B4="总价",G19,IF(H19="元",G20*'数据-取费表'!E5,G20*'数据-取费表'!E5/10000)),0)</f>
        <v>#REF!</v>
      </c>
      <c r="D104" s="725"/>
      <c r="E104" s="2192"/>
      <c r="F104" s="2877"/>
      <c r="G104" s="2878"/>
      <c r="H104" s="2288" t="s">
        <v>1940</v>
      </c>
      <c r="I104" s="1050">
        <f ca="1">I124</f>
        <v>9491</v>
      </c>
    </row>
    <row r="105" spans="1:35" ht="15.75">
      <c r="A105" s="2977"/>
      <c r="B105" s="2287" t="s">
        <v>1940</v>
      </c>
      <c r="C105" s="1191" t="e">
        <f ca="1">ROUND(IF('数据-取费表'!B4="楼面单价",G20,IF(H19="元",G19/'数据-取费表'!E5,G19*10000/'数据-取费表'!E5)),0)</f>
        <v>#REF!</v>
      </c>
      <c r="D105" s="725"/>
      <c r="E105" s="2192"/>
      <c r="F105" s="2949"/>
      <c r="G105" s="2950"/>
      <c r="H105" s="2934"/>
      <c r="I105" s="2935"/>
    </row>
    <row r="106" spans="1:35" ht="15.75">
      <c r="A106" s="2970" t="s">
        <v>2000</v>
      </c>
      <c r="B106" s="2327" t="str">
        <f>B102</f>
        <v>总价（元）</v>
      </c>
      <c r="C106" s="724">
        <f ca="1">H124</f>
        <v>2409197</v>
      </c>
      <c r="D106" s="1189"/>
      <c r="E106" s="2192"/>
      <c r="F106" s="2938" t="s">
        <v>1944</v>
      </c>
      <c r="G106" s="2939"/>
      <c r="H106" s="2291" t="str">
        <f>C111</f>
        <v>总额（元）</v>
      </c>
      <c r="I106" s="1862">
        <f>SUMIF(I107:I109,"&lt;9E307")</f>
        <v>0</v>
      </c>
    </row>
    <row r="107" spans="1:35" ht="15.75" thickBot="1">
      <c r="A107" s="2933"/>
      <c r="B107" s="2290" t="s">
        <v>1940</v>
      </c>
      <c r="C107" s="726">
        <f ca="1">I124</f>
        <v>9491</v>
      </c>
      <c r="D107" s="727"/>
      <c r="E107" s="2192"/>
      <c r="F107" s="2866" t="s">
        <v>1946</v>
      </c>
      <c r="G107" s="2867"/>
      <c r="H107" s="2291" t="str">
        <f>C112</f>
        <v>总额（元）</v>
      </c>
      <c r="I107" s="1050">
        <f>IF(D37="同一抵押权人同一抵押物续贷",C37&amp;"（未扣减，详见特别提示）",C37)</f>
        <v>0</v>
      </c>
      <c r="K107" s="2202" t="str">
        <f>IF(D126=0,"本次评估不存在"&amp;A126,"本次评估"&amp;A126&amp;"为"&amp;D126&amp;"元人民币。")</f>
        <v>本次评估不存在——</v>
      </c>
    </row>
    <row r="108" spans="1:35" ht="15">
      <c r="A108" s="2973" t="s">
        <v>1943</v>
      </c>
      <c r="B108" s="2974"/>
      <c r="C108" s="2974"/>
      <c r="D108" s="2975"/>
      <c r="E108" s="2192"/>
      <c r="F108" s="2866" t="s">
        <v>1947</v>
      </c>
      <c r="G108" s="2867"/>
      <c r="H108" s="2291" t="str">
        <f>C113</f>
        <v>总额（元）</v>
      </c>
      <c r="I108" s="1050">
        <f>C38</f>
        <v>0</v>
      </c>
      <c r="K108" s="2292"/>
    </row>
    <row r="109" spans="1:35" ht="15">
      <c r="A109" s="2864" t="s">
        <v>2001</v>
      </c>
      <c r="B109" s="2865"/>
      <c r="C109" s="2288" t="str">
        <f>B102</f>
        <v>总价（元）</v>
      </c>
      <c r="D109" s="1051">
        <f ca="1">H124</f>
        <v>2409197</v>
      </c>
      <c r="E109" s="2192"/>
      <c r="F109" s="2866" t="s">
        <v>1949</v>
      </c>
      <c r="G109" s="2867"/>
      <c r="H109" s="2291" t="str">
        <f>C114</f>
        <v>总额（元）</v>
      </c>
      <c r="I109" s="1050">
        <f>C39</f>
        <v>0</v>
      </c>
    </row>
    <row r="110" spans="1:35" ht="15.75">
      <c r="A110" s="2864"/>
      <c r="B110" s="2865"/>
      <c r="C110" s="2288" t="s">
        <v>1940</v>
      </c>
      <c r="D110" s="1052">
        <f ca="1">I124</f>
        <v>9491</v>
      </c>
      <c r="E110" s="2192"/>
      <c r="F110" s="2949"/>
      <c r="G110" s="2950"/>
      <c r="H110" s="2936"/>
      <c r="I110" s="2937"/>
    </row>
    <row r="111" spans="1:35" ht="28.5" customHeight="1">
      <c r="A111" s="2871" t="s">
        <v>1948</v>
      </c>
      <c r="B111" s="2872"/>
      <c r="C111" s="2291" t="str">
        <f>IF(H19="元","总额（元）","总额（万元）")</f>
        <v>总额（元）</v>
      </c>
      <c r="D111" s="1051">
        <f>IF(D37="正常操作",I107+I108+I109,I108+I109)</f>
        <v>0</v>
      </c>
      <c r="E111" s="2192"/>
      <c r="F111" s="2852" t="str">
        <f>IF(项目基本情况!F5="已注销","——","3.房地产抵押价值")</f>
        <v>3.房地产抵押价值</v>
      </c>
      <c r="G111" s="2853"/>
      <c r="H111" s="2328" t="str">
        <f>C115</f>
        <v>总价（元）</v>
      </c>
      <c r="I111" s="1862">
        <f ca="1">IF(F111="——","——",I103-I106)</f>
        <v>2409197</v>
      </c>
    </row>
    <row r="112" spans="1:35" ht="15">
      <c r="A112" s="2866" t="s">
        <v>1946</v>
      </c>
      <c r="B112" s="2867"/>
      <c r="C112" s="2291" t="str">
        <f>C111</f>
        <v>总额（元）</v>
      </c>
      <c r="D112" s="637">
        <f>IF(D37="同一抵押权人同一抵押物续贷",C37&amp;"（未扣减，详见特别提示）",C37)</f>
        <v>0</v>
      </c>
      <c r="E112" s="2192"/>
      <c r="F112" s="2968"/>
      <c r="G112" s="2969"/>
      <c r="H112" s="2288" t="s">
        <v>1940</v>
      </c>
      <c r="I112" s="2294">
        <f ca="1">D116</f>
        <v>9491</v>
      </c>
    </row>
    <row r="113" spans="1:26" ht="15.75">
      <c r="A113" s="2866" t="s">
        <v>1947</v>
      </c>
      <c r="B113" s="2867"/>
      <c r="C113" s="2291" t="str">
        <f>C111</f>
        <v>总额（元）</v>
      </c>
      <c r="D113" s="637">
        <f>C38</f>
        <v>0</v>
      </c>
      <c r="E113" s="2192"/>
      <c r="F113" s="2852" t="str">
        <f>IF(项目基本情况!F5="已注销及未注销","4.抵押担保权已注销时的房地产抵押价值",IF(项目基本情况!F5="已注销","3.抵押担保权已注销时的房地产抵押价值","——"))</f>
        <v>——</v>
      </c>
      <c r="G113" s="2853"/>
      <c r="H113" s="2328" t="str">
        <f>C117</f>
        <v>总价（元）</v>
      </c>
      <c r="I113" s="1862" t="str">
        <f>IF(F113="——","——",I103-I108-I109)</f>
        <v>——</v>
      </c>
    </row>
    <row r="114" spans="1:26" ht="15">
      <c r="A114" s="2866" t="s">
        <v>1949</v>
      </c>
      <c r="B114" s="2867"/>
      <c r="C114" s="2291" t="str">
        <f>C111</f>
        <v>总额（元）</v>
      </c>
      <c r="D114" s="637">
        <f>C39</f>
        <v>0</v>
      </c>
      <c r="E114" s="2192"/>
      <c r="F114" s="2968"/>
      <c r="G114" s="2969"/>
      <c r="H114" s="2288" t="s">
        <v>1940</v>
      </c>
      <c r="I114" s="1050" t="str">
        <f>D118</f>
        <v>——</v>
      </c>
    </row>
    <row r="115" spans="1:26" ht="15.75">
      <c r="A115" s="2864" t="str">
        <f>IF(项目基本情况!F5="已注销","——","3.房地产抵押价值")</f>
        <v>3.房地产抵押价值</v>
      </c>
      <c r="B115" s="2865"/>
      <c r="C115" s="2288" t="str">
        <f>B102</f>
        <v>总价（元）</v>
      </c>
      <c r="D115" s="1051">
        <f ca="1">IF(A115="——","——",D109-D111)</f>
        <v>2409197</v>
      </c>
      <c r="E115" s="2192"/>
      <c r="F115" s="2852" t="str">
        <f>IF(项目基本情况!G5="抵押净值",IF(OR(项目基本情况!F5="已注销",项目基本情况!F5="房地产抵押价值"),"4.抵押净值","5.抵押净值"),"——")</f>
        <v>——</v>
      </c>
      <c r="G115" s="2853"/>
      <c r="H115" s="2288" t="str">
        <f>C119</f>
        <v>总价（元）</v>
      </c>
      <c r="I115" s="1862" t="str">
        <f>IF(F115="——","——",N60)</f>
        <v>——</v>
      </c>
    </row>
    <row r="116" spans="1:26" ht="15.75" thickBot="1">
      <c r="A116" s="2864"/>
      <c r="B116" s="2865"/>
      <c r="C116" s="2288" t="s">
        <v>2002</v>
      </c>
      <c r="D116" s="1052">
        <f ca="1">ROUND(IF(D115=D109,D110,IF(H19="元",D115/B124,D115*10000/B124)),0)</f>
        <v>9491</v>
      </c>
      <c r="E116" s="2192"/>
      <c r="F116" s="2854"/>
      <c r="G116" s="2855"/>
      <c r="H116" s="2296" t="s">
        <v>2002</v>
      </c>
      <c r="I116" s="1864" t="str">
        <f ca="1">D120</f>
        <v>——</v>
      </c>
    </row>
    <row r="117" spans="1:26" ht="15.75">
      <c r="A117" s="2864" t="str">
        <f>IF(项目基本情况!F5="已注销及未注销","4.抵押担保权已注销时的房地产抵押价值",IF(项目基本情况!F5="已注销","3.抵押担保权已注销时的房地产抵押价值","——"))</f>
        <v>——</v>
      </c>
      <c r="B117" s="2865"/>
      <c r="C117" s="2288" t="str">
        <f>B102</f>
        <v>总价（元）</v>
      </c>
      <c r="D117" s="1051" t="str">
        <f>IF(A117="——","——",D109-D113-D114)</f>
        <v>——</v>
      </c>
      <c r="E117" s="2192"/>
      <c r="F117" s="2964"/>
      <c r="G117" s="2964"/>
      <c r="H117" s="2920"/>
      <c r="I117" s="2920"/>
      <c r="N117" s="55"/>
      <c r="O117" s="55"/>
    </row>
    <row r="118" spans="1:26" s="1845" customFormat="1" ht="15">
      <c r="A118" s="2864"/>
      <c r="B118" s="2865"/>
      <c r="C118" s="2288" t="s">
        <v>2002</v>
      </c>
      <c r="D118" s="1052" t="str">
        <f>IF(A117="——","——",IF(H19="元",ROUND(D117/B124,0),ROUND(D117*10000/B124,0)))</f>
        <v>——</v>
      </c>
      <c r="E118" s="2192"/>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5" customFormat="1" ht="15">
      <c r="A119" s="2864" t="str">
        <f>IF(项目基本情况!G5="抵押净值",IF(OR(项目基本情况!F5="已注销",项目基本情况!F5="房地产抵押价值"),"4.抵押净值","5.抵押净值"),"——")</f>
        <v>——</v>
      </c>
      <c r="B119" s="2865"/>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9"/>
      <c r="B120" s="2870"/>
      <c r="C120" s="2296" t="s">
        <v>2002</v>
      </c>
      <c r="D120" s="1053"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2003</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5" t="s">
        <v>1951</v>
      </c>
      <c r="B122" s="2875" t="s">
        <v>2004</v>
      </c>
      <c r="C122" s="2875" t="s">
        <v>2005</v>
      </c>
      <c r="D122" s="2947" t="s">
        <v>1954</v>
      </c>
      <c r="E122" s="2948"/>
      <c r="F122" s="2846" t="s">
        <v>2006</v>
      </c>
      <c r="G122" s="2846"/>
      <c r="H122" s="2846" t="s">
        <v>1955</v>
      </c>
      <c r="I122" s="294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5"/>
      <c r="B123" s="2876"/>
      <c r="C123" s="2876"/>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8" t="str">
        <f>项目基本情况!I1</f>
        <v>重庆市房地产</v>
      </c>
      <c r="B124" s="1887">
        <f>典型户型修正!B25</f>
        <v>253.83999999999997</v>
      </c>
      <c r="C124" s="400"/>
      <c r="D124" s="1887">
        <f>C35</f>
        <v>0</v>
      </c>
      <c r="E124" s="1887">
        <f>ROUND(IF(H19="元",D124/B124,D124*10000/B124),0)</f>
        <v>0</v>
      </c>
      <c r="F124" s="1887">
        <f>C36</f>
        <v>0</v>
      </c>
      <c r="G124" s="1887">
        <f>ROUND(IF(H19="元",F124/B124,F124*10000/B124),0)</f>
        <v>0</v>
      </c>
      <c r="H124" s="1887">
        <f ca="1">C33</f>
        <v>2409197</v>
      </c>
      <c r="I124" s="637">
        <f ca="1">C34</f>
        <v>9491</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5" t="s">
        <v>1959</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 ca="1">IF(H19="元",NUMBERSTRING(INT(H124),2)&amp;"元整",NUMBERSTRING(INT(H124*10000),2)&amp;"元整")</f>
        <v>贰佰肆拾万玖仟壹佰玖拾柒元整</v>
      </c>
      <c r="I125" s="288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9" t="s">
        <v>1959</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2" t="str">
        <f>IF(项目基本情况!D5="房地产市场价值","——",MID(A115,3,LEN(A115)-2))</f>
        <v>——</v>
      </c>
      <c r="B128" s="2863"/>
      <c r="C128" s="2863"/>
      <c r="D128" s="2856">
        <f ca="1">I111</f>
        <v>2409197</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5" t="s">
        <v>1959</v>
      </c>
      <c r="B129" s="2846"/>
      <c r="C129" s="2846"/>
      <c r="D129" s="2859">
        <f ca="1">I112</f>
        <v>9491</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2" t="str">
        <f>IF(项目基本情况!D5="房地产市场价值","——",MID(A117,3,LEN(A117)-2))</f>
        <v>——</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5" t="s">
        <v>1959</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2" t="str">
        <f>IF(项目基本情况!D5="房地产市场价值","——",MID(F115,3,LEN(F115)-2))</f>
        <v>——</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3" t="s">
        <v>1959</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1960</v>
      </c>
      <c r="B136" s="2298"/>
      <c r="C136" s="2299" t="s">
        <v>1961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1962</v>
      </c>
      <c r="G142" s="2311"/>
      <c r="H142" s="2311"/>
      <c r="I142" s="2312"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9" priority="9" stopIfTrue="1" operator="equal">
      <formula>25</formula>
    </cfRule>
  </conditionalFormatting>
  <conditionalFormatting sqref="C8:C9">
    <cfRule type="cellIs" dxfId="168" priority="8" stopIfTrue="1" operator="equal">
      <formula>15</formula>
    </cfRule>
  </conditionalFormatting>
  <conditionalFormatting sqref="C14:C16">
    <cfRule type="cellIs" dxfId="167" priority="7" stopIfTrue="1" operator="equal">
      <formula>30</formula>
    </cfRule>
  </conditionalFormatting>
  <conditionalFormatting sqref="D5:D7">
    <cfRule type="cellIs" dxfId="166" priority="6" stopIfTrue="1" operator="equal">
      <formula>25</formula>
    </cfRule>
  </conditionalFormatting>
  <conditionalFormatting sqref="D8:D9">
    <cfRule type="cellIs" dxfId="165" priority="5" stopIfTrue="1" operator="equal">
      <formula>15</formula>
    </cfRule>
  </conditionalFormatting>
  <conditionalFormatting sqref="C10:D13">
    <cfRule type="cellIs" dxfId="164" priority="4" stopIfTrue="1" operator="equal">
      <formula>15</formula>
    </cfRule>
  </conditionalFormatting>
  <conditionalFormatting sqref="D14:D16">
    <cfRule type="cellIs" dxfId="163" priority="3" stopIfTrue="1" operator="equal">
      <formula>30</formula>
    </cfRule>
  </conditionalFormatting>
  <conditionalFormatting sqref="C91">
    <cfRule type="expression" dxfId="162" priority="2" stopIfTrue="1">
      <formula>$H$89&lt;&gt;"仅含出让金"</formula>
    </cfRule>
  </conditionalFormatting>
  <conditionalFormatting sqref="C92">
    <cfRule type="expression" dxfId="16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1974624</v>
      </c>
      <c r="C2" s="163" t="str">
        <f>'数据-取费表'!B3</f>
        <v>元</v>
      </c>
      <c r="D2" s="2330" t="s">
        <v>1255</v>
      </c>
      <c r="E2" s="1545" t="e">
        <f ca="1">SUMIF(INDIRECT("'"&amp;G2&amp;"'"&amp;"!A:A"),"承租人权益价值",INDIRECT("'"&amp;G2&amp;"'"&amp;"!c:c"))</f>
        <v>#REF!</v>
      </c>
      <c r="F2" s="2331" t="str">
        <f>C2</f>
        <v>元</v>
      </c>
      <c r="G2" s="1906"/>
    </row>
    <row r="3" spans="1:7" s="164" customFormat="1" ht="18" customHeight="1" thickBot="1">
      <c r="A3" s="167" t="s">
        <v>2009</v>
      </c>
      <c r="B3" s="168">
        <f ca="1">ROUND(C52/IF(B1="仅计算典型户型",'数据-取费表'!E5,'数据-取费表'!B5),0)</f>
        <v>13826</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1071918</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41418</v>
      </c>
      <c r="D8" s="1535"/>
      <c r="E8" s="199"/>
      <c r="F8" s="1534"/>
      <c r="G8" s="2332"/>
    </row>
    <row r="9" spans="1:7" s="175" customFormat="1" ht="13.5" customHeight="1">
      <c r="A9" s="1304" t="s">
        <v>954</v>
      </c>
      <c r="B9" s="181" t="s">
        <v>2023</v>
      </c>
      <c r="C9" s="1536">
        <f>ROUND(D9*E9,0)</f>
        <v>41418</v>
      </c>
      <c r="D9" s="1537">
        <f>IF('数据-取费表'!B10="住宅",IF(B1="仅计算典型户型",'数据-取费表'!E5,'数据-取费表'!B5),0)</f>
        <v>142.82</v>
      </c>
      <c r="E9" s="1536">
        <f>'数据-取费表'!E11</f>
        <v>290</v>
      </c>
      <c r="F9" s="1534"/>
      <c r="G9" s="182"/>
    </row>
    <row r="10" spans="1:7" s="175" customFormat="1" ht="13.5" customHeight="1">
      <c r="A10" s="1304" t="s">
        <v>955</v>
      </c>
      <c r="B10" s="181" t="s">
        <v>2024</v>
      </c>
      <c r="C10" s="1536">
        <f>ROUND(D10*E10,0)</f>
        <v>0</v>
      </c>
      <c r="D10" s="1537">
        <f>IF('数据-取费表'!B10&lt;&gt;"住宅",IF(B1="仅计算典型户型",'数据-取费表'!E5,'数据-取费表'!B5),0)</f>
        <v>0</v>
      </c>
      <c r="E10" s="1536">
        <f>'数据-取费表'!E12</f>
        <v>290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28564</v>
      </c>
      <c r="D19" s="1540">
        <f>IF(B1="仅计算典型户型",'数据-取费表'!E5,'数据-取费表'!B5)</f>
        <v>142.82</v>
      </c>
      <c r="E19" s="195">
        <f>'数据-取费表'!E15</f>
        <v>200</v>
      </c>
      <c r="F19" s="196"/>
      <c r="G19" s="2332"/>
    </row>
    <row r="20" spans="1:7" s="175" customFormat="1" ht="13.5" customHeight="1">
      <c r="A20" s="204" t="s">
        <v>2036</v>
      </c>
      <c r="B20" s="173" t="s">
        <v>2037</v>
      </c>
      <c r="C20" s="183">
        <f>ROUND((C5+C19)*F20,0)</f>
        <v>22010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108074</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104251</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2778</v>
      </c>
      <c r="D24" s="188"/>
      <c r="E24" s="188"/>
      <c r="F24" s="189"/>
      <c r="G24" s="190" t="s">
        <v>2049</v>
      </c>
    </row>
    <row r="25" spans="1:7" s="175" customFormat="1" ht="24">
      <c r="A25" s="176" t="s">
        <v>2021</v>
      </c>
      <c r="B25" s="177" t="s">
        <v>2050</v>
      </c>
      <c r="C25" s="1454">
        <f ca="1">ROUND(IF('数据-取费表'!B23&lt;=1,C20*F22*'数据-取费表'!B24/2,C20*(POWER((1+F22),'数据-取费表'!B24/2)-1)),0)</f>
        <v>1045</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168374</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168374</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1516137</v>
      </c>
      <c r="D31" s="1540"/>
      <c r="E31" s="195"/>
      <c r="F31" s="1541"/>
      <c r="G31" s="184" t="s">
        <v>2063</v>
      </c>
    </row>
    <row r="32" spans="1:7" s="172" customFormat="1" ht="15.75">
      <c r="A32" s="201" t="s">
        <v>2064</v>
      </c>
      <c r="B32" s="202"/>
      <c r="C32" s="1542"/>
      <c r="D32" s="1542"/>
      <c r="E32" s="1542"/>
      <c r="F32" s="1542"/>
      <c r="G32" s="203"/>
    </row>
    <row r="33" spans="1:7" s="175" customFormat="1" ht="13.5" customHeight="1">
      <c r="A33" s="204" t="s">
        <v>2065</v>
      </c>
      <c r="B33" s="173" t="s">
        <v>2066</v>
      </c>
      <c r="C33" s="205">
        <f>SUM(C34:C38)</f>
        <v>474448</v>
      </c>
      <c r="D33" s="183"/>
      <c r="E33" s="1531"/>
      <c r="F33" s="191"/>
      <c r="G33" s="184"/>
    </row>
    <row r="34" spans="1:7" s="206" customFormat="1" ht="13.5" customHeight="1">
      <c r="A34" s="176" t="s">
        <v>2045</v>
      </c>
      <c r="B34" s="177" t="s">
        <v>2067</v>
      </c>
      <c r="C34" s="199">
        <f>IF(B1="仅计算典型户型",'数据-取费表'!F18,'数据-取费表'!E18)</f>
        <v>399896</v>
      </c>
      <c r="D34" s="1532"/>
      <c r="E34" s="199"/>
      <c r="F34" s="1543" t="str">
        <f>IF('数据-取费表'!B25=0,"",'数据-取费表'!E20)</f>
        <v/>
      </c>
      <c r="G34" s="179"/>
    </row>
    <row r="35" spans="1:7" ht="13.5" customHeight="1">
      <c r="A35" s="176" t="s">
        <v>2019</v>
      </c>
      <c r="B35" s="177" t="s">
        <v>2068</v>
      </c>
      <c r="C35" s="199">
        <f>ROUND(C34*F35,0)</f>
        <v>19995</v>
      </c>
      <c r="D35" s="199"/>
      <c r="E35" s="199"/>
      <c r="F35" s="1544">
        <f>'数据-取费表'!E21</f>
        <v>0.05</v>
      </c>
      <c r="G35" s="179" t="s">
        <v>2069</v>
      </c>
    </row>
    <row r="36" spans="1:7" ht="24">
      <c r="A36" s="176" t="s">
        <v>2021</v>
      </c>
      <c r="B36" s="177" t="s">
        <v>2070</v>
      </c>
      <c r="C36" s="199">
        <f>ROUND(IF('数据-取费表'!B10="住宅",C34*F36,0),0)</f>
        <v>19995</v>
      </c>
      <c r="D36" s="199"/>
      <c r="E36" s="199"/>
      <c r="F36" s="1544">
        <f>'数据-取费表'!E22</f>
        <v>0.05</v>
      </c>
      <c r="G36" s="207" t="s">
        <v>2071</v>
      </c>
    </row>
    <row r="37" spans="1:7" s="206" customFormat="1" ht="13.5" customHeight="1">
      <c r="A37" s="176" t="s">
        <v>2052</v>
      </c>
      <c r="B37" s="177" t="s">
        <v>2072</v>
      </c>
      <c r="C37" s="199">
        <f>ROUND(E37*D37,0)</f>
        <v>28564</v>
      </c>
      <c r="D37" s="1532">
        <f>IF(B1="仅计算典型户型",'数据-取费表'!E5,'数据-取费表'!B5)</f>
        <v>142.82</v>
      </c>
      <c r="E37" s="199">
        <f>'数据-取费表'!E23</f>
        <v>200</v>
      </c>
      <c r="F37" s="1544"/>
      <c r="G37" s="208" t="s">
        <v>2073</v>
      </c>
    </row>
    <row r="38" spans="1:7" ht="13.5" customHeight="1">
      <c r="A38" s="176" t="s">
        <v>2074</v>
      </c>
      <c r="B38" s="177" t="s">
        <v>2075</v>
      </c>
      <c r="C38" s="199">
        <f>ROUND(C34*F38,0)</f>
        <v>5998</v>
      </c>
      <c r="D38" s="199"/>
      <c r="E38" s="199"/>
      <c r="F38" s="1544">
        <f>'数据-取费表'!E24</f>
        <v>1.4999999999999999E-2</v>
      </c>
      <c r="G38" s="179" t="s">
        <v>2069</v>
      </c>
    </row>
    <row r="39" spans="1:7" s="175" customFormat="1" ht="13.5" customHeight="1">
      <c r="A39" s="204" t="s">
        <v>2034</v>
      </c>
      <c r="B39" s="173" t="s">
        <v>2037</v>
      </c>
      <c r="C39" s="183">
        <f>ROUND(C33*F20,0)</f>
        <v>9489</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22987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22536</v>
      </c>
      <c r="D42" s="188"/>
      <c r="E42" s="188"/>
      <c r="F42" s="189"/>
      <c r="G42" s="2982" t="s">
        <v>2079</v>
      </c>
    </row>
    <row r="43" spans="1:7" ht="13.5" customHeight="1">
      <c r="A43" s="176" t="s">
        <v>2019</v>
      </c>
      <c r="B43" s="177" t="s">
        <v>2048</v>
      </c>
      <c r="C43" s="188">
        <f ca="1">ROUND(IF('数据-取费表'!B23&lt;=1,C39*F22*'数据-取费表'!B22/2,C39*(POWER((1+F22),'数据-取费表'!B22/2)-1)),0)</f>
        <v>451</v>
      </c>
      <c r="D43" s="188"/>
      <c r="E43" s="188"/>
      <c r="F43" s="189"/>
      <c r="G43" s="2983"/>
    </row>
    <row r="44" spans="1:7" ht="13.5" customHeight="1">
      <c r="A44" s="176" t="s">
        <v>2021</v>
      </c>
      <c r="B44" s="177" t="s">
        <v>2050</v>
      </c>
      <c r="C44" s="188">
        <f ca="1">ROUND(IF('数据-取费表'!B23&lt;=1,C40*F22*'数据-取费表'!B22/2,C40*(POWER((1+F22),'数据-取费表'!B22/2)-1)),4)</f>
        <v>1E-3</v>
      </c>
      <c r="D44" s="188"/>
      <c r="E44" s="188"/>
      <c r="F44" s="189"/>
      <c r="G44" s="2984"/>
    </row>
    <row r="45" spans="1:7" s="175" customFormat="1" ht="13.5" customHeight="1">
      <c r="A45" s="204" t="s">
        <v>2043</v>
      </c>
      <c r="B45" s="194" t="s">
        <v>2055</v>
      </c>
      <c r="C45" s="195">
        <f>C46</f>
        <v>72591</v>
      </c>
      <c r="D45" s="185">
        <f>C47</f>
        <v>3.0000000000000001E-3</v>
      </c>
      <c r="E45" s="186" t="s">
        <v>2077</v>
      </c>
      <c r="F45" s="196"/>
      <c r="G45" s="197" t="s">
        <v>2080</v>
      </c>
    </row>
    <row r="46" spans="1:7" s="175" customFormat="1" ht="13.5" customHeight="1">
      <c r="A46" s="176" t="s">
        <v>2045</v>
      </c>
      <c r="B46" s="198" t="s">
        <v>2081</v>
      </c>
      <c r="C46" s="199">
        <f>ROUND((C33+C39)*F27,0)</f>
        <v>72591</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628064</v>
      </c>
      <c r="D49" s="183"/>
      <c r="E49" s="183"/>
      <c r="F49" s="210"/>
      <c r="G49" s="184" t="s">
        <v>2087</v>
      </c>
    </row>
    <row r="50" spans="1:7" s="206" customFormat="1" ht="24">
      <c r="A50" s="1305" t="s">
        <v>2088</v>
      </c>
      <c r="B50" s="173" t="s">
        <v>2089</v>
      </c>
      <c r="C50" s="183"/>
      <c r="D50" s="183"/>
      <c r="E50" s="183"/>
      <c r="F50" s="210">
        <f>IF('数据-取费表'!B25=0,'数据-取费表'!E20,1)</f>
        <v>0.73</v>
      </c>
      <c r="G50" s="197" t="s">
        <v>2090</v>
      </c>
    </row>
    <row r="51" spans="1:7" ht="16.5" customHeight="1">
      <c r="A51" s="1305" t="s">
        <v>2091</v>
      </c>
      <c r="B51" s="173" t="s">
        <v>2092</v>
      </c>
      <c r="C51" s="183">
        <f ca="1">ROUND(C49*F50,0)</f>
        <v>458487</v>
      </c>
      <c r="D51" s="183"/>
      <c r="E51" s="183"/>
      <c r="F51" s="210"/>
      <c r="G51" s="184" t="s">
        <v>2093</v>
      </c>
    </row>
    <row r="52" spans="1:7" s="172" customFormat="1" ht="16.5" thickBot="1">
      <c r="A52" s="211" t="s">
        <v>2094</v>
      </c>
      <c r="B52" s="212"/>
      <c r="C52" s="213">
        <f ca="1">C31+C51</f>
        <v>1974624</v>
      </c>
      <c r="D52" s="212"/>
      <c r="E52" s="212"/>
      <c r="F52" s="212"/>
      <c r="G52" s="214"/>
    </row>
    <row r="55" spans="1:7" ht="15">
      <c r="B55" s="216" t="s">
        <v>2095</v>
      </c>
      <c r="C55" s="217"/>
    </row>
    <row r="56" spans="1:7">
      <c r="B56" s="219" t="s">
        <v>2096</v>
      </c>
      <c r="C56" s="220">
        <f ca="1">ROUND(C51/C52,3)</f>
        <v>0.23200000000000001</v>
      </c>
    </row>
    <row r="57" spans="1:7">
      <c r="B57" s="219" t="s">
        <v>2097</v>
      </c>
      <c r="C57" s="221">
        <f ca="1">1-C56</f>
        <v>0.76800000000000002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1"/>
      <c r="E1" s="1211"/>
      <c r="F1" s="1211"/>
      <c r="G1" s="1211"/>
      <c r="H1" s="1211"/>
      <c r="I1" s="1211"/>
      <c r="J1" s="1211"/>
      <c r="K1" s="1211"/>
    </row>
    <row r="2" spans="1:33" s="223" customFormat="1" ht="18" customHeight="1">
      <c r="A2" s="165" t="s">
        <v>1305</v>
      </c>
      <c r="B2" s="168">
        <f ca="1">IF(C2="元",C32,ROUND(C32/10000,0))</f>
        <v>3522894</v>
      </c>
      <c r="C2" s="1969" t="str">
        <f>'数据-取费表'!B3</f>
        <v>元</v>
      </c>
      <c r="D2" s="1211"/>
      <c r="E2" s="1211"/>
      <c r="F2" s="1211"/>
      <c r="G2" s="1211"/>
      <c r="H2" s="1211"/>
      <c r="I2" s="1211"/>
      <c r="J2" s="1211"/>
      <c r="K2" s="1211"/>
    </row>
    <row r="3" spans="1:33" s="223" customFormat="1" ht="18" customHeight="1" thickBot="1">
      <c r="A3" s="167" t="s">
        <v>1306</v>
      </c>
      <c r="B3" s="168">
        <f ca="1">ROUND(C32/IF(C1="仅计算典型户型",'数据-取费表'!E5,'数据-取费表'!B5),0)</f>
        <v>24667</v>
      </c>
      <c r="C3" s="1969" t="s">
        <v>1307</v>
      </c>
      <c r="D3" s="1211"/>
      <c r="E3" s="1211"/>
      <c r="F3" s="1211"/>
      <c r="G3" s="1211"/>
      <c r="H3" s="1211"/>
      <c r="I3" s="1211"/>
      <c r="J3" s="1211"/>
      <c r="K3" s="1211"/>
    </row>
    <row r="4" spans="1:33" s="227" customFormat="1" ht="16.5" customHeight="1">
      <c r="A4" s="224" t="s">
        <v>1308</v>
      </c>
      <c r="B4" s="225"/>
      <c r="C4" s="1450">
        <f>SUM(C8:K8)</f>
        <v>4998700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142.82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4998700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399896</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19995</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19995</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7712</v>
      </c>
      <c r="D14" s="248">
        <f>IF(C1="仅计算典型户型",'数据-取费表'!E5,'数据-取费表'!B5)</f>
        <v>142.82</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5998</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453596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142.82</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41418</v>
      </c>
      <c r="D19" s="248">
        <f>IF('数据-取费表'!B10="住宅",IF(C1="仅计算典型户型",'数据-取费表'!E5,'数据-取费表'!B5),0)</f>
        <v>142.82</v>
      </c>
      <c r="E19" s="14">
        <f>'数据-取费表'!E11</f>
        <v>290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453596</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9072</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26993</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73449</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73449</v>
      </c>
      <c r="D30" s="277"/>
      <c r="E30" s="290"/>
      <c r="F30" s="287"/>
      <c r="G30" s="231"/>
      <c r="H30" s="254"/>
      <c r="I30" s="254"/>
      <c r="J30" s="254"/>
      <c r="K30" s="255"/>
    </row>
    <row r="31" spans="1:33" s="266" customFormat="1" ht="13.5" customHeight="1" thickBot="1">
      <c r="A31" s="1971" t="s">
        <v>1364</v>
      </c>
      <c r="B31" s="261" t="s">
        <v>1365</v>
      </c>
      <c r="C31" s="291">
        <f>ROUND(C4*F31/(1+'数据-取费表'!F30),0)</f>
        <v>266597</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3522894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7" zoomScale="90" zoomScaleNormal="90" zoomScaleSheetLayoutView="100" workbookViewId="0">
      <selection activeCell="D17" sqref="D1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4" t="s">
        <v>2832</v>
      </c>
      <c r="E1" s="2705" t="s">
        <v>1255</v>
      </c>
      <c r="F1" s="2706"/>
      <c r="G1" s="2707"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862400</v>
      </c>
      <c r="C2" s="2333"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6038</v>
      </c>
      <c r="C3" s="2333"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49085</v>
      </c>
      <c r="D5" s="2334" t="s">
        <v>2107</v>
      </c>
      <c r="E5" s="1214"/>
      <c r="F5" s="1382"/>
      <c r="G5" s="1238"/>
      <c r="H5" s="316">
        <v>1</v>
      </c>
      <c r="I5" s="317" t="s">
        <v>2106</v>
      </c>
      <c r="J5" s="318">
        <f ca="1">J6+J10+J12</f>
        <v>0</v>
      </c>
      <c r="K5" s="2334" t="s">
        <v>2107</v>
      </c>
      <c r="L5" s="1214"/>
      <c r="M5" s="1382"/>
    </row>
    <row r="6" spans="1:37" ht="18" customHeight="1">
      <c r="A6" s="1383" t="s">
        <v>2108</v>
      </c>
      <c r="B6" s="2022" t="s">
        <v>2109</v>
      </c>
      <c r="C6" s="318">
        <f>ROUND(F6*F8*F7*(1-F9),0)</f>
        <v>49020</v>
      </c>
      <c r="D6" s="80" t="s">
        <v>2803</v>
      </c>
      <c r="E6" s="319" t="s">
        <v>2110</v>
      </c>
      <c r="F6" s="2752">
        <f>'数据-取费表'!B29</f>
        <v>4300</v>
      </c>
      <c r="G6" s="1238"/>
      <c r="H6" s="1383" t="s">
        <v>2108</v>
      </c>
      <c r="I6" s="2022" t="s">
        <v>2109</v>
      </c>
      <c r="J6" s="318">
        <f>ROUND(M6*M8*M7*(1-M9),0)</f>
        <v>0</v>
      </c>
      <c r="K6" s="80" t="s">
        <v>2803</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6"/>
      <c r="B8" s="322"/>
      <c r="C8" s="323"/>
      <c r="D8" s="324"/>
      <c r="E8" s="319" t="s">
        <v>2112</v>
      </c>
      <c r="F8" s="320">
        <f>'数据-取费表'!B42</f>
        <v>12</v>
      </c>
      <c r="G8" s="1238"/>
      <c r="H8" s="321"/>
      <c r="I8" s="322"/>
      <c r="J8" s="323"/>
      <c r="K8" s="324"/>
      <c r="L8" s="319" t="s">
        <v>2113</v>
      </c>
      <c r="M8" s="320">
        <f>'数据-取费表'!B42</f>
        <v>12</v>
      </c>
    </row>
    <row r="9" spans="1:37" ht="18" customHeight="1">
      <c r="A9" s="1446"/>
      <c r="B9" s="322"/>
      <c r="C9" s="323"/>
      <c r="D9" s="328"/>
      <c r="E9" s="319" t="s">
        <v>2114</v>
      </c>
      <c r="F9" s="329">
        <f>'数据-取费表'!B32</f>
        <v>0.05</v>
      </c>
      <c r="G9" s="1238"/>
      <c r="H9" s="321"/>
      <c r="I9" s="322"/>
      <c r="J9" s="1385"/>
      <c r="K9" s="95"/>
      <c r="L9" s="330" t="s">
        <v>2114</v>
      </c>
      <c r="M9" s="329">
        <f>'数据-取费表'!B38</f>
        <v>0</v>
      </c>
    </row>
    <row r="10" spans="1:37" ht="18" customHeight="1">
      <c r="A10" s="1383" t="s">
        <v>2115</v>
      </c>
      <c r="B10" s="2335" t="s">
        <v>2116</v>
      </c>
      <c r="C10" s="1384">
        <f ca="1">ROUND(IF(F10="押一",F6*F7*F8/12*F11,IF(F10="押二",F6*F7*F8/12*2*F11,IF(F10="押三",F6*F7*F8/12*3*F11,C11*F11))),0)</f>
        <v>65</v>
      </c>
      <c r="D10" s="2336" t="s">
        <v>2804</v>
      </c>
      <c r="E10" s="330" t="s">
        <v>2117</v>
      </c>
      <c r="F10" s="2337" t="s">
        <v>2118</v>
      </c>
      <c r="G10" s="1238"/>
      <c r="H10" s="1383" t="s">
        <v>2115</v>
      </c>
      <c r="I10" s="2335" t="s">
        <v>2116</v>
      </c>
      <c r="J10" s="1384">
        <f ca="1">ROUND(IF(M10="押一",M6*M8*M7/12*M11,IF(M10="押二",M6*M8*M7/12*2*M11,IF(M10="押三",M6*M8*M7/12*3*M11,J11*M11))),0)</f>
        <v>0</v>
      </c>
      <c r="K10" s="80" t="s">
        <v>2805</v>
      </c>
      <c r="L10" s="330" t="s">
        <v>2117</v>
      </c>
      <c r="M10" s="2337"/>
    </row>
    <row r="11" spans="1:37" s="341" customFormat="1" ht="18" customHeight="1">
      <c r="A11" s="348"/>
      <c r="B11" s="2338" t="s">
        <v>2119</v>
      </c>
      <c r="C11" s="1417"/>
      <c r="D11" s="324"/>
      <c r="E11" s="330" t="s">
        <v>2120</v>
      </c>
      <c r="F11" s="331">
        <f ca="1">'数据-取费表'!B30</f>
        <v>1.4999999999999999E-2</v>
      </c>
      <c r="G11" s="1239"/>
      <c r="H11" s="325"/>
      <c r="I11" s="2338" t="s">
        <v>2121</v>
      </c>
      <c r="J11" s="1417"/>
      <c r="K11" s="324"/>
      <c r="L11" s="330" t="s">
        <v>2120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2122</v>
      </c>
      <c r="B12" s="2339" t="s">
        <v>2123</v>
      </c>
      <c r="C12" s="1424"/>
      <c r="D12" s="2340"/>
      <c r="E12" s="1430"/>
      <c r="F12" s="1425"/>
      <c r="G12" s="1238"/>
      <c r="H12" s="1423" t="s">
        <v>2122</v>
      </c>
      <c r="I12" s="2339" t="s">
        <v>2123</v>
      </c>
      <c r="J12" s="1424"/>
      <c r="K12" s="1440"/>
      <c r="L12" s="1430"/>
      <c r="M12" s="1441"/>
    </row>
    <row r="13" spans="1:37" s="341" customFormat="1" ht="18" customHeight="1" thickTop="1">
      <c r="A13" s="1419">
        <v>2</v>
      </c>
      <c r="B13" s="1420" t="s">
        <v>2124</v>
      </c>
      <c r="C13" s="327">
        <f ca="1">ROUND(C29*F13,0)</f>
        <v>458487</v>
      </c>
      <c r="D13" s="1421" t="s">
        <v>2125</v>
      </c>
      <c r="E13" s="1421" t="s">
        <v>2126</v>
      </c>
      <c r="F13" s="1422">
        <f>'数据-取费表'!E20</f>
        <v>0.73</v>
      </c>
      <c r="G13" s="1239"/>
      <c r="H13" s="1419">
        <v>2</v>
      </c>
      <c r="I13" s="1420" t="s">
        <v>2124</v>
      </c>
      <c r="J13" s="1385">
        <f ca="1">ROUND(J14*J15,0)</f>
        <v>0</v>
      </c>
      <c r="K13" s="1426" t="s">
        <v>2125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399896</v>
      </c>
      <c r="D14" s="1888" t="s">
        <v>2129</v>
      </c>
      <c r="E14" s="1889"/>
      <c r="F14" s="979"/>
      <c r="G14" s="1239"/>
      <c r="H14" s="337" t="s">
        <v>2108</v>
      </c>
      <c r="I14" s="319" t="s">
        <v>2130</v>
      </c>
      <c r="J14" s="14">
        <f ca="1">C29</f>
        <v>628064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19995</v>
      </c>
      <c r="D15" s="339" t="s">
        <v>2133</v>
      </c>
      <c r="E15" s="339" t="s">
        <v>2134</v>
      </c>
      <c r="F15" s="340">
        <f>'数据-取费表'!E21</f>
        <v>0.05</v>
      </c>
      <c r="G15" s="1238"/>
      <c r="H15" s="1429" t="s">
        <v>2135</v>
      </c>
      <c r="I15" s="1430" t="s">
        <v>2136</v>
      </c>
      <c r="J15" s="1442">
        <f>'数据-取费表'!B39</f>
        <v>0</v>
      </c>
      <c r="K15" s="1443"/>
      <c r="L15" s="1444"/>
      <c r="M15" s="1445"/>
    </row>
    <row r="16" spans="1:37" s="341" customFormat="1" ht="18" customHeight="1" thickTop="1">
      <c r="A16" s="337" t="s">
        <v>2137</v>
      </c>
      <c r="B16" s="319" t="s">
        <v>2138</v>
      </c>
      <c r="C16" s="14">
        <f>ROUND(C14*F16,0)</f>
        <v>19995</v>
      </c>
      <c r="D16" s="319" t="s">
        <v>2133</v>
      </c>
      <c r="E16" s="319" t="s">
        <v>2134</v>
      </c>
      <c r="F16" s="342">
        <f>IF('数据-取费表'!B10="住宅",'数据-取费表'!E22,0)</f>
        <v>0.05</v>
      </c>
      <c r="G16" s="1239"/>
      <c r="H16" s="1419" t="s">
        <v>14</v>
      </c>
      <c r="I16" s="1420" t="s">
        <v>2139</v>
      </c>
      <c r="J16" s="327">
        <f ca="1">ROUND(J17+J22+J23+J24,0)</f>
        <v>14697</v>
      </c>
      <c r="K16" s="1426" t="s">
        <v>2140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28564</v>
      </c>
      <c r="D17" s="319" t="s">
        <v>2143</v>
      </c>
      <c r="E17" s="319" t="s">
        <v>2144</v>
      </c>
      <c r="F17" s="16">
        <f>'数据-取费表'!E23</f>
        <v>200</v>
      </c>
      <c r="G17" s="1239"/>
      <c r="H17" s="337" t="s">
        <v>2145</v>
      </c>
      <c r="I17" s="319" t="s">
        <v>2146</v>
      </c>
      <c r="J17" s="14">
        <f ca="1">ROUND(IF(项目基本情况!B7="自然人",J5*M17,J18+J19+J20),0)</f>
        <v>5276</v>
      </c>
      <c r="K17" s="1888" t="s">
        <v>2147</v>
      </c>
      <c r="L17" s="1893" t="s">
        <v>2148</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5998</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5.6000000000000001E-2</v>
      </c>
    </row>
    <row r="19" spans="1:37" s="341" customFormat="1" ht="18" customHeight="1">
      <c r="A19" s="337" t="s">
        <v>2145</v>
      </c>
      <c r="B19" s="319" t="s">
        <v>2154</v>
      </c>
      <c r="C19" s="14">
        <f>SUM(C14:C18)</f>
        <v>474448</v>
      </c>
      <c r="D19" s="56" t="s">
        <v>2155</v>
      </c>
      <c r="E19" s="1898"/>
      <c r="F19" s="16"/>
      <c r="G19" s="1239"/>
      <c r="H19" s="337" t="s">
        <v>2131</v>
      </c>
      <c r="I19" s="319" t="s">
        <v>2156</v>
      </c>
      <c r="J19" s="14">
        <f ca="1">IF(项目基本情况!B7="自然人","——",IF(K19="按租金收入计税",ROUND(J5*M19,1),ROUND(C29*M19*0.7,1)))</f>
        <v>5275.7</v>
      </c>
      <c r="K19" s="2013" t="s">
        <v>2157</v>
      </c>
      <c r="L19" s="319" t="s">
        <v>2134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9489</v>
      </c>
      <c r="D20" s="344" t="s">
        <v>2159</v>
      </c>
      <c r="E20" s="319" t="s">
        <v>2160</v>
      </c>
      <c r="F20" s="342">
        <f>'数据-取费表'!E25</f>
        <v>0.02</v>
      </c>
      <c r="G20" s="1239"/>
      <c r="H20" s="337" t="s">
        <v>2137</v>
      </c>
      <c r="I20" s="80" t="s">
        <v>2161</v>
      </c>
      <c r="J20" s="15">
        <f>IF(项目基本情况!B7="自然人","——",ROUND(M20*M21,0))</f>
        <v>0</v>
      </c>
      <c r="K20" s="346" t="s">
        <v>2162</v>
      </c>
      <c r="L20" s="319" t="s">
        <v>2163</v>
      </c>
      <c r="M20" s="347">
        <f>'数据-取费表'!E40</f>
        <v>20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9421</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22987</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9"/>
      <c r="H24" s="1429" t="s">
        <v>2169</v>
      </c>
      <c r="I24" s="1430" t="s">
        <v>2158</v>
      </c>
      <c r="J24" s="1431">
        <f ca="1">ROUND(J5*M24,0)</f>
        <v>0</v>
      </c>
      <c r="K24" s="1432" t="s">
        <v>2181</v>
      </c>
      <c r="L24" s="1430" t="s">
        <v>2177</v>
      </c>
      <c r="M24" s="1425">
        <f>'数据-取费表'!B46</f>
        <v>1.4999999999999999E-2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19" t="s">
        <v>22</v>
      </c>
      <c r="I25" s="1434" t="s">
        <v>2185</v>
      </c>
      <c r="J25" s="327">
        <f ca="1">J5-J16</f>
        <v>-14697</v>
      </c>
      <c r="K25" s="1435" t="s">
        <v>2186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72591</v>
      </c>
      <c r="D26" s="344" t="s">
        <v>2188</v>
      </c>
      <c r="E26" s="330" t="s">
        <v>2189</v>
      </c>
      <c r="F26" s="329">
        <f>'数据-取费表'!E28</f>
        <v>0.15</v>
      </c>
      <c r="G26" s="791"/>
      <c r="H26" s="316" t="s">
        <v>23</v>
      </c>
      <c r="I26" s="317" t="s">
        <v>2190</v>
      </c>
      <c r="J26" s="318">
        <f ca="1">IF(J5&lt;&gt;0,ROUND(J25*(1-((1+M28)/(1+M26))^M27)/(M26-M28),0),0)</f>
        <v>0</v>
      </c>
      <c r="K26" s="346" t="s">
        <v>2191</v>
      </c>
      <c r="L26" s="319" t="s">
        <v>2192</v>
      </c>
      <c r="M26" s="329">
        <f>'数据-取费表'!B16</f>
        <v>4.4999999999999998E-2</v>
      </c>
    </row>
    <row r="27" spans="1:37" ht="18" customHeight="1">
      <c r="A27" s="337" t="s">
        <v>2193</v>
      </c>
      <c r="B27" s="319" t="s">
        <v>2194</v>
      </c>
      <c r="C27" s="14">
        <f>ROUND(F21*F26,4)</f>
        <v>3.0000000000000001E-3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9" t="s">
        <v>2202</v>
      </c>
      <c r="B29" s="1430" t="s">
        <v>2203</v>
      </c>
      <c r="C29" s="1431">
        <f ca="1">ROUND((C19+C20+C23+C26)/(1-F21-C24-C27-C28),0)</f>
        <v>628064</v>
      </c>
      <c r="D29" s="1432"/>
      <c r="E29" s="1430"/>
      <c r="F29" s="1433"/>
      <c r="G29" s="791"/>
      <c r="H29" s="356" t="s">
        <v>24</v>
      </c>
      <c r="I29" s="357" t="s">
        <v>2204</v>
      </c>
      <c r="J29" s="358">
        <f ca="1">ROUND(J26/(1+F40)^F41,0)</f>
        <v>0</v>
      </c>
      <c r="K29" s="359" t="s">
        <v>2205</v>
      </c>
      <c r="L29" s="360"/>
      <c r="M29" s="361">
        <f>IF(D1="仅计算典型户型",'数据-取费表'!E5,'数据-取费表'!B5)</f>
        <v>142.82</v>
      </c>
    </row>
    <row r="30" spans="1:37" ht="18" customHeight="1" thickTop="1">
      <c r="A30" s="1419" t="s">
        <v>14</v>
      </c>
      <c r="B30" s="1420" t="s">
        <v>2206</v>
      </c>
      <c r="C30" s="327">
        <f ca="1">ROUND(C31+C36+C37+C38,0)</f>
        <v>18968</v>
      </c>
      <c r="D30" s="1426" t="s">
        <v>2207</v>
      </c>
      <c r="E30" s="1427"/>
      <c r="F30" s="1428"/>
      <c r="G30" s="791"/>
      <c r="H30" s="1218"/>
      <c r="I30" s="1219"/>
      <c r="J30" s="1220"/>
      <c r="K30" s="1221"/>
      <c r="L30" s="1222"/>
      <c r="M30" s="1223"/>
    </row>
    <row r="31" spans="1:37" ht="18" customHeight="1">
      <c r="A31" s="337" t="s">
        <v>2108</v>
      </c>
      <c r="B31" s="319" t="s">
        <v>2146</v>
      </c>
      <c r="C31" s="14">
        <f ca="1">ROUND(IF(项目基本情况!B7="自然人",C5*F31,C32+C33+C34),1)</f>
        <v>7893.7</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2618</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5275.7</v>
      </c>
      <c r="D33" s="2013"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3" t="s">
        <v>2137</v>
      </c>
      <c r="B34" s="80" t="s">
        <v>2161</v>
      </c>
      <c r="C34" s="15">
        <f>IF(项目基本情况!B7="自然人","——",ROUND(F34*F35,0))</f>
        <v>0</v>
      </c>
      <c r="D34" s="346" t="s">
        <v>2162</v>
      </c>
      <c r="E34" s="319" t="s">
        <v>2163</v>
      </c>
      <c r="F34" s="347">
        <f>'数据-取费表'!E40</f>
        <v>20</v>
      </c>
      <c r="G34" s="791"/>
      <c r="H34" s="1218"/>
      <c r="I34" s="365" t="s">
        <v>2213</v>
      </c>
      <c r="J34" s="366">
        <f ca="1">ROUND(C13*J35,0)</f>
        <v>38971</v>
      </c>
      <c r="K34" s="1232"/>
      <c r="L34" s="1233"/>
      <c r="M34" s="1233"/>
    </row>
    <row r="35" spans="1:18" ht="24.6" customHeight="1">
      <c r="A35" s="1387"/>
      <c r="B35" s="328"/>
      <c r="C35" s="19"/>
      <c r="D35" s="349"/>
      <c r="E35" s="319" t="s">
        <v>2168</v>
      </c>
      <c r="F35" s="320">
        <f>IF(D1="仅计算典型户型",'数据-取费表'!E6,'数据-取费表'!B6)</f>
        <v>0</v>
      </c>
      <c r="G35" s="791"/>
      <c r="H35" s="1218"/>
      <c r="I35" s="367" t="s">
        <v>2214</v>
      </c>
      <c r="J35" s="368">
        <f>'数据-取费表'!B17</f>
        <v>8.5000000000000006E-2</v>
      </c>
      <c r="K35" s="1231"/>
      <c r="L35" s="1230"/>
      <c r="M35" s="1230"/>
    </row>
    <row r="36" spans="1:18" ht="18" customHeight="1">
      <c r="A36" s="1386" t="s">
        <v>2115</v>
      </c>
      <c r="B36" s="319" t="s">
        <v>2215</v>
      </c>
      <c r="C36" s="14">
        <f ca="1">ROUND(C29*F36,0)</f>
        <v>9421</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917</v>
      </c>
      <c r="D37" s="1893" t="s">
        <v>2176</v>
      </c>
      <c r="E37" s="319" t="s">
        <v>2177</v>
      </c>
      <c r="F37" s="351">
        <f>'数据-取费表'!B45</f>
        <v>2E-3</v>
      </c>
      <c r="G37" s="791"/>
      <c r="H37" s="1230"/>
      <c r="I37" s="216" t="s">
        <v>2218</v>
      </c>
      <c r="J37" s="371"/>
      <c r="K37" s="1234"/>
      <c r="L37" s="1230"/>
      <c r="M37" s="1230"/>
    </row>
    <row r="38" spans="1:18" ht="18" customHeight="1" thickBot="1">
      <c r="A38" s="1429" t="s">
        <v>2169</v>
      </c>
      <c r="B38" s="1430" t="s">
        <v>2158</v>
      </c>
      <c r="C38" s="1431">
        <f ca="1">ROUND(C5*F38,0)</f>
        <v>736</v>
      </c>
      <c r="D38" s="1432" t="s">
        <v>2181</v>
      </c>
      <c r="E38" s="1430" t="s">
        <v>2177</v>
      </c>
      <c r="F38" s="1425">
        <f>'数据-取费表'!B46</f>
        <v>1.4999999999999999E-2</v>
      </c>
      <c r="G38" s="791"/>
      <c r="H38" s="1230"/>
      <c r="I38" s="365" t="s">
        <v>2219</v>
      </c>
      <c r="J38" s="220">
        <f ca="1">ROUND(J34/C39,3)</f>
        <v>1.294</v>
      </c>
      <c r="K38" s="1235"/>
      <c r="L38" s="1230"/>
      <c r="M38" s="1230"/>
    </row>
    <row r="39" spans="1:18" ht="18" customHeight="1" thickTop="1">
      <c r="A39" s="1419" t="s">
        <v>22</v>
      </c>
      <c r="B39" s="1434" t="s">
        <v>2220</v>
      </c>
      <c r="C39" s="327">
        <f ca="1">C5-C30</f>
        <v>30117</v>
      </c>
      <c r="D39" s="1435" t="s">
        <v>2221</v>
      </c>
      <c r="E39" s="1436"/>
      <c r="F39" s="1437"/>
      <c r="G39" s="791"/>
      <c r="H39" s="1230"/>
      <c r="I39" s="365" t="s">
        <v>2222</v>
      </c>
      <c r="J39" s="220">
        <f ca="1">1-J38</f>
        <v>-0.29400000000000004</v>
      </c>
      <c r="K39" s="1235"/>
      <c r="L39" s="1230"/>
      <c r="M39" s="1230"/>
    </row>
    <row r="40" spans="1:18" s="791" customFormat="1" ht="18" customHeight="1">
      <c r="A40" s="316" t="s">
        <v>23</v>
      </c>
      <c r="B40" s="317" t="s">
        <v>2223</v>
      </c>
      <c r="C40" s="318">
        <f ca="1">ROUND(C39*(1-((1+F42)/(1+F40))^F41)/(F40-F42),0)</f>
        <v>862400</v>
      </c>
      <c r="D40" s="346" t="s">
        <v>2191</v>
      </c>
      <c r="E40" s="319" t="s">
        <v>2192</v>
      </c>
      <c r="F40" s="329">
        <f>'数据-取费表'!B16</f>
        <v>4.4999999999999998E-2</v>
      </c>
      <c r="H40" s="1236"/>
      <c r="I40" s="216" t="s">
        <v>2224</v>
      </c>
      <c r="J40" s="217"/>
      <c r="K40" s="1235"/>
      <c r="L40" s="1236"/>
      <c r="M40" s="1236"/>
      <c r="Q40" s="795"/>
    </row>
    <row r="41" spans="1:18" s="791" customFormat="1" ht="18" customHeight="1">
      <c r="A41" s="321"/>
      <c r="B41" s="322"/>
      <c r="C41" s="323"/>
      <c r="D41" s="354" t="s">
        <v>2225</v>
      </c>
      <c r="E41" s="1825" t="s">
        <v>2226</v>
      </c>
      <c r="F41" s="2754">
        <f>IF('数据-取费表'!B28="租赁期内按合同租金",'数据-取费表'!B34,IF(E41="收益年期(n)",'数据-取费表'!B33,'数据-取费表'!B13))</f>
        <v>44</v>
      </c>
      <c r="H41" s="1237"/>
      <c r="I41" s="219" t="s">
        <v>2096</v>
      </c>
      <c r="J41" s="220">
        <f ca="1">ROUND(C13/C40,3)</f>
        <v>0.53200000000000003</v>
      </c>
      <c r="K41" s="1234"/>
      <c r="L41" s="1237"/>
      <c r="M41" s="1237"/>
      <c r="Q41" s="795"/>
    </row>
    <row r="42" spans="1:18" s="791" customFormat="1" ht="18" customHeight="1">
      <c r="A42" s="325"/>
      <c r="B42" s="326"/>
      <c r="C42" s="327"/>
      <c r="D42" s="349"/>
      <c r="E42" s="319" t="s">
        <v>2201</v>
      </c>
      <c r="F42" s="329">
        <f>'数据-取费表'!B31</f>
        <v>2.5000000000000001E-2</v>
      </c>
      <c r="H42" s="1237"/>
      <c r="I42" s="219" t="s">
        <v>2097</v>
      </c>
      <c r="J42" s="221">
        <f ca="1">1-J41</f>
        <v>0.46799999999999997</v>
      </c>
      <c r="K42" s="1234"/>
      <c r="L42" s="1237"/>
      <c r="M42" s="1237"/>
      <c r="Q42" s="795"/>
    </row>
    <row r="43" spans="1:18" s="791" customFormat="1" ht="18" customHeight="1" thickBot="1">
      <c r="A43" s="356" t="s">
        <v>24</v>
      </c>
      <c r="B43" s="357" t="s">
        <v>2227</v>
      </c>
      <c r="C43" s="358">
        <f ca="1">ROUND(C40/F43,0)</f>
        <v>6038</v>
      </c>
      <c r="D43" s="359" t="s">
        <v>2228</v>
      </c>
      <c r="E43" s="360" t="s">
        <v>2229</v>
      </c>
      <c r="F43" s="361">
        <f>IF(D1="仅计算典型户型",'数据-取费表'!E5,'数据-取费表'!B5)</f>
        <v>142.82</v>
      </c>
      <c r="G43" s="793"/>
      <c r="H43" s="1237"/>
      <c r="I43" s="1237"/>
      <c r="J43" s="1237"/>
      <c r="K43" s="1234"/>
      <c r="L43" s="1237"/>
      <c r="M43" s="1237"/>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958</v>
      </c>
      <c r="P45" s="1367" t="s">
        <v>2235</v>
      </c>
      <c r="Q45" s="1368">
        <f ca="1">C40+J29</f>
        <v>862400</v>
      </c>
      <c r="R45" s="1369" t="s">
        <v>2236</v>
      </c>
    </row>
    <row r="46" spans="1:18" s="791" customFormat="1" ht="18" customHeight="1" thickBot="1">
      <c r="A46" s="776"/>
      <c r="D46" s="776"/>
      <c r="E46" s="776"/>
      <c r="F46" s="776"/>
      <c r="K46" s="792"/>
      <c r="O46" s="1366" t="s">
        <v>959</v>
      </c>
      <c r="P46" s="1367" t="s">
        <v>2237</v>
      </c>
      <c r="Q46" s="1368" t="str">
        <f>J61</f>
        <v>0</v>
      </c>
      <c r="R46" s="1369" t="s">
        <v>2238</v>
      </c>
    </row>
    <row r="47" spans="1:18" s="791" customFormat="1" ht="21.75" thickBot="1">
      <c r="A47" s="2341" t="s">
        <v>2239</v>
      </c>
      <c r="C47" s="1303">
        <f ca="1">IF(C2="元",C69-C40,ROUND((C69-C40)/10000,0))</f>
        <v>-1159353</v>
      </c>
      <c r="D47" s="2342" t="str">
        <f>C2</f>
        <v>元</v>
      </c>
      <c r="E47" s="776"/>
      <c r="F47" s="776"/>
      <c r="I47" s="2343" t="s">
        <v>2240</v>
      </c>
      <c r="J47" s="1342"/>
      <c r="K47" s="1343"/>
      <c r="L47" s="1356">
        <f>IF(M48="住宅",0,IF(L49&gt;J52,L61,J61))</f>
        <v>0</v>
      </c>
      <c r="O47" s="1370" t="s">
        <v>960</v>
      </c>
      <c r="P47" s="1367" t="s">
        <v>2241</v>
      </c>
      <c r="Q47" s="1368">
        <f ca="1">C29</f>
        <v>628064</v>
      </c>
      <c r="R47" s="1369" t="s">
        <v>2236</v>
      </c>
    </row>
    <row r="48" spans="1:18" s="791" customFormat="1" ht="15.75" thickBot="1">
      <c r="A48" s="312" t="s">
        <v>2242</v>
      </c>
      <c r="B48" s="313" t="s">
        <v>2243</v>
      </c>
      <c r="C48" s="313" t="s">
        <v>2244</v>
      </c>
      <c r="D48" s="313" t="s">
        <v>2245</v>
      </c>
      <c r="E48" s="1297" t="s">
        <v>2246</v>
      </c>
      <c r="F48" s="1298"/>
      <c r="I48" s="2344" t="s">
        <v>2247</v>
      </c>
      <c r="J48" s="2345" t="s">
        <v>2860</v>
      </c>
      <c r="K48" s="2346" t="s">
        <v>2248</v>
      </c>
      <c r="L48" s="1344">
        <f>'数据-取费表'!B11</f>
        <v>50</v>
      </c>
      <c r="M48" s="1357" t="str">
        <f>IF('数据-取费表'!B10="住宅","住宅","非住宅")</f>
        <v>住宅</v>
      </c>
      <c r="O48" s="1370" t="s">
        <v>961</v>
      </c>
      <c r="P48" s="1367" t="s">
        <v>2249</v>
      </c>
      <c r="Q48" s="1371" t="e">
        <f>J59</f>
        <v>#VALUE!</v>
      </c>
      <c r="R48" s="1369"/>
    </row>
    <row r="49" spans="1:18" s="791" customFormat="1" ht="15.75" thickBot="1">
      <c r="A49" s="1456" t="s">
        <v>1031</v>
      </c>
      <c r="B49" s="317" t="s">
        <v>2250</v>
      </c>
      <c r="C49" s="1457">
        <f ca="1">C50+C54+C56</f>
        <v>0</v>
      </c>
      <c r="D49" s="1458"/>
      <c r="E49" s="101"/>
      <c r="F49" s="16"/>
      <c r="I49" s="2347" t="s">
        <v>2251</v>
      </c>
      <c r="J49" s="2348" t="s">
        <v>2883</v>
      </c>
      <c r="K49" s="2349" t="s">
        <v>2252</v>
      </c>
      <c r="L49" s="1128">
        <f>'数据-取费表'!B13</f>
        <v>26.12</v>
      </c>
      <c r="O49" s="1370" t="s">
        <v>962</v>
      </c>
      <c r="P49" s="1367" t="s">
        <v>2253</v>
      </c>
      <c r="Q49" s="1371">
        <f>J53</f>
        <v>0.09</v>
      </c>
      <c r="R49" s="1369"/>
    </row>
    <row r="50" spans="1:18" s="791" customFormat="1" ht="15.75" thickBot="1">
      <c r="A50" s="345" t="s">
        <v>2108</v>
      </c>
      <c r="B50" s="2022" t="s">
        <v>2254</v>
      </c>
      <c r="C50" s="318">
        <f>ROUND(F50*F52*F51*(1-F53),0)</f>
        <v>0</v>
      </c>
      <c r="D50" s="93" t="s">
        <v>2806</v>
      </c>
      <c r="E50" s="2350" t="s">
        <v>2255</v>
      </c>
      <c r="F50" s="1299"/>
      <c r="I50" s="2347" t="s">
        <v>2256</v>
      </c>
      <c r="J50" s="1128">
        <f>'数据-取费表'!B26</f>
        <v>2001</v>
      </c>
      <c r="K50" s="2351" t="s">
        <v>2257</v>
      </c>
      <c r="L50" s="1345"/>
      <c r="O50" s="1370" t="s">
        <v>963</v>
      </c>
      <c r="P50" s="1367" t="s">
        <v>2258</v>
      </c>
      <c r="Q50" s="1368">
        <f>J54</f>
        <v>44</v>
      </c>
      <c r="R50" s="1369" t="s">
        <v>2259</v>
      </c>
    </row>
    <row r="51" spans="1:18" s="791" customFormat="1" ht="15.75" thickBot="1">
      <c r="A51" s="321"/>
      <c r="B51" s="322"/>
      <c r="C51" s="323"/>
      <c r="D51" s="324"/>
      <c r="E51" s="339" t="s">
        <v>2111</v>
      </c>
      <c r="F51" s="1296">
        <f>F7</f>
        <v>1</v>
      </c>
      <c r="I51" s="2347" t="s">
        <v>2260</v>
      </c>
      <c r="J51" s="1346">
        <f>SUMPRODUCT((I64:I66=J48)*(J63:L63=J49)*(J64:L66))</f>
        <v>60</v>
      </c>
      <c r="K51" s="2351" t="s">
        <v>2261</v>
      </c>
      <c r="L51" s="1345"/>
      <c r="O51" s="1366" t="s">
        <v>964</v>
      </c>
      <c r="P51" s="1367" t="str">
        <f>IF(C2="元","收益价值(元)","收益价值(万元)")</f>
        <v>收益价值(元)</v>
      </c>
      <c r="Q51" s="1368">
        <f ca="1">ROUND(IF(C2="元",Q45+Q46,(Q45+Q46)/10000),0)</f>
        <v>862400</v>
      </c>
      <c r="R51" s="1369" t="s">
        <v>965</v>
      </c>
    </row>
    <row r="52" spans="1:18" s="791" customFormat="1" ht="16.5" thickBot="1">
      <c r="A52" s="321"/>
      <c r="B52" s="322"/>
      <c r="C52" s="323"/>
      <c r="D52" s="324"/>
      <c r="E52" s="319" t="s">
        <v>2113</v>
      </c>
      <c r="F52" s="320">
        <f>F8</f>
        <v>12</v>
      </c>
      <c r="I52" s="2352" t="s">
        <v>2262</v>
      </c>
      <c r="J52" s="1347">
        <f>IF(J50="",J51,J50+J51-YEAR('数据-取费表'!B2))</f>
        <v>44</v>
      </c>
      <c r="K52" s="2353" t="s">
        <v>2263</v>
      </c>
      <c r="L52" s="1348">
        <f ca="1">ROUND(-PV('数据-取费表'!B15,L49,(C40-C13*J35)),0)</f>
        <v>13195533</v>
      </c>
      <c r="O52" s="1360" t="s">
        <v>2264</v>
      </c>
      <c r="P52" s="1361"/>
      <c r="Q52" s="1357"/>
      <c r="R52" s="1361"/>
    </row>
    <row r="53" spans="1:18" s="791" customFormat="1" ht="15.75" thickBot="1">
      <c r="A53" s="325"/>
      <c r="B53" s="326"/>
      <c r="C53" s="327"/>
      <c r="D53" s="328"/>
      <c r="E53" s="319" t="s">
        <v>2114</v>
      </c>
      <c r="F53" s="1355"/>
      <c r="I53" s="2354" t="s">
        <v>2265</v>
      </c>
      <c r="J53" s="1349">
        <v>0.09</v>
      </c>
      <c r="K53" s="2354" t="s">
        <v>2266</v>
      </c>
      <c r="L53" s="1349"/>
      <c r="O53" s="1362" t="s">
        <v>2231</v>
      </c>
      <c r="P53" s="1363" t="s">
        <v>2232</v>
      </c>
      <c r="Q53" s="1364" t="s">
        <v>2233</v>
      </c>
      <c r="R53" s="1365" t="s">
        <v>2234</v>
      </c>
    </row>
    <row r="54" spans="1:18" s="791" customFormat="1" ht="29.25" customHeight="1" thickBot="1">
      <c r="A54" s="1383" t="s">
        <v>2115</v>
      </c>
      <c r="B54" s="2335" t="s">
        <v>2116</v>
      </c>
      <c r="C54" s="1384">
        <f ca="1">ROUND(IF(F54="押一",F50*F51*F52/12*F11,IF(F54="押二",F50*F51*F52/12*2*F11,IF(F54="押三",F50*F51*F52/12*3*F11,C55*F11))),0)</f>
        <v>0</v>
      </c>
      <c r="D54" s="2336" t="s">
        <v>2804</v>
      </c>
      <c r="E54" s="330" t="s">
        <v>2117</v>
      </c>
      <c r="F54" s="2337"/>
      <c r="I54" s="2355" t="s">
        <v>2267</v>
      </c>
      <c r="J54" s="1350">
        <f>IF(M48="住宅",J52,IF(E1="——",MIN(J52,L49),IF(E1="在建（套用方法）",MIN(J52,L49-'数据-取费表'!B25),IF(E1="土地（套用方法）",MIN(J52,L49-'数据-取费表'!B21)))))</f>
        <v>44</v>
      </c>
      <c r="K54" s="2985" t="s">
        <v>2802</v>
      </c>
      <c r="L54" s="2986"/>
      <c r="O54" s="1366" t="s">
        <v>958</v>
      </c>
      <c r="P54" s="1367" t="s">
        <v>2235</v>
      </c>
      <c r="Q54" s="1368">
        <f ca="1">C40+J29</f>
        <v>862400</v>
      </c>
      <c r="R54" s="1369" t="s">
        <v>2236</v>
      </c>
    </row>
    <row r="55" spans="1:18" s="791" customFormat="1" ht="20.25" thickBot="1">
      <c r="A55" s="1383"/>
      <c r="B55" s="2356" t="s">
        <v>2121</v>
      </c>
      <c r="C55" s="1417"/>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959</v>
      </c>
      <c r="P55" s="1367" t="s">
        <v>2268</v>
      </c>
      <c r="Q55" s="1368">
        <f>L61</f>
        <v>0</v>
      </c>
      <c r="R55" s="1369" t="s">
        <v>2269</v>
      </c>
    </row>
    <row r="56" spans="1:18" s="791" customFormat="1" ht="20.25" thickBot="1">
      <c r="A56" s="1423" t="s">
        <v>2122</v>
      </c>
      <c r="B56" s="2339" t="s">
        <v>2123</v>
      </c>
      <c r="C56" s="1424"/>
      <c r="D56" s="1440"/>
      <c r="E56" s="2359"/>
      <c r="F56" s="1500"/>
      <c r="I56" s="2360" t="s">
        <v>2270</v>
      </c>
      <c r="J56" s="1871" t="e">
        <f>ROUND(IF(J48="钢混",J58/J51,1-(1-2%)*(J51-J58)/J51),3)</f>
        <v>#VALUE!</v>
      </c>
      <c r="K56" s="2361" t="s">
        <v>2271</v>
      </c>
      <c r="L56" s="1351"/>
      <c r="O56" s="1370" t="s">
        <v>960</v>
      </c>
      <c r="P56" s="1367" t="s">
        <v>2272</v>
      </c>
      <c r="Q56" s="1368">
        <f>IF(L56="比较法",L50,IF(L56="基准地价",L51,0))</f>
        <v>0</v>
      </c>
      <c r="R56" s="1369" t="s">
        <v>2236</v>
      </c>
    </row>
    <row r="57" spans="1:18" s="791" customFormat="1" ht="44.25" thickTop="1" thickBot="1">
      <c r="A57" s="1419">
        <v>2</v>
      </c>
      <c r="B57" s="1420" t="s">
        <v>2124</v>
      </c>
      <c r="C57" s="1499">
        <f ca="1">C13</f>
        <v>458487</v>
      </c>
      <c r="D57" s="1294"/>
      <c r="E57" s="1295"/>
      <c r="F57" s="1302"/>
      <c r="I57" s="2362" t="s">
        <v>2273</v>
      </c>
      <c r="J57" s="1354" t="s">
        <v>2827</v>
      </c>
      <c r="K57" s="2347" t="s">
        <v>2274</v>
      </c>
      <c r="L57" s="1128" t="str">
        <f>IF(L49&lt;J52,"——",L49-J52)</f>
        <v>——</v>
      </c>
      <c r="O57" s="1370" t="s">
        <v>961</v>
      </c>
      <c r="P57" s="1367" t="s">
        <v>2275</v>
      </c>
      <c r="Q57" s="1371">
        <f>L53</f>
        <v>0</v>
      </c>
      <c r="R57" s="1369"/>
    </row>
    <row r="58" spans="1:18" s="791" customFormat="1" ht="29.25" thickBot="1">
      <c r="A58" s="1301"/>
      <c r="B58" s="319" t="s">
        <v>2203</v>
      </c>
      <c r="C58" s="188">
        <f ca="1">C29</f>
        <v>628064</v>
      </c>
      <c r="D58" s="1294"/>
      <c r="E58" s="1295"/>
      <c r="F58" s="1302"/>
      <c r="I58" s="2363" t="s">
        <v>2276</v>
      </c>
      <c r="J58" s="1353" t="str">
        <f>IF(OR(M48="住宅",J52&lt;L49,J57="是"),"——",J52-L49)</f>
        <v>——</v>
      </c>
      <c r="K58" s="2347" t="s">
        <v>2277</v>
      </c>
      <c r="L58" s="1128" t="str">
        <f>IF(L49&lt;J52,"——",IF(L56="比较法",L50,IF(L56="基准地价",L51,L52)))</f>
        <v>——</v>
      </c>
      <c r="O58" s="1370" t="s">
        <v>962</v>
      </c>
      <c r="P58" s="1367" t="s">
        <v>2278</v>
      </c>
      <c r="Q58" s="1368" t="e">
        <f>L59</f>
        <v>#DIV/0!</v>
      </c>
      <c r="R58" s="1369" t="s">
        <v>2279</v>
      </c>
    </row>
    <row r="59" spans="1:18" s="791" customFormat="1" ht="29.25" thickBot="1">
      <c r="A59" s="332" t="s">
        <v>14</v>
      </c>
      <c r="B59" s="333" t="s">
        <v>2206</v>
      </c>
      <c r="C59" s="334">
        <f ca="1">ROUND(C60+C65+C66+C67,0)</f>
        <v>15614</v>
      </c>
      <c r="D59" s="12" t="s">
        <v>2207</v>
      </c>
      <c r="E59" s="1898"/>
      <c r="F59" s="16"/>
      <c r="I59" s="2363" t="s">
        <v>2280</v>
      </c>
      <c r="J59" s="1870" t="e">
        <f>IF(J56&lt;0.4,0.4,J56)</f>
        <v>#VALUE!</v>
      </c>
      <c r="K59" s="2353" t="s">
        <v>2281</v>
      </c>
      <c r="L59" s="1128" t="e">
        <f>ROUND(POWER(1+L53,L48-L49)*(POWER(1+L53,L49)-1)/(POWER(1+L53,L48)-1),4)</f>
        <v>#DIV/0!</v>
      </c>
      <c r="O59" s="1370" t="s">
        <v>963</v>
      </c>
      <c r="P59" s="1367" t="str">
        <f>K60</f>
        <v>建筑物剩余耐用年限下的土地年期修正系数Kn</v>
      </c>
      <c r="Q59" s="1368" t="e">
        <f>L60</f>
        <v>#DIV/0!</v>
      </c>
      <c r="R59" s="1369" t="s">
        <v>2282</v>
      </c>
    </row>
    <row r="60" spans="1:18" s="791" customFormat="1" ht="29.25" thickBot="1">
      <c r="A60" s="337" t="s">
        <v>15</v>
      </c>
      <c r="B60" s="319" t="s">
        <v>2146</v>
      </c>
      <c r="C60" s="14">
        <f ca="1">ROUND(IF(项目基本情况!B7="自然人",C49*F60,C61+C62+C63),1)</f>
        <v>5275.7</v>
      </c>
      <c r="D60" s="1888" t="s">
        <v>2208</v>
      </c>
      <c r="E60" s="1893" t="s">
        <v>2209</v>
      </c>
      <c r="F60" s="343" t="str">
        <f>IF(项目基本情况!B7="企业","",IF('数据-取费表'!B10="住宅",5%,IF(F50*F51*F52/12/(1+'数据-取费表'!F30)&gt;20000,12%,7%)))</f>
        <v/>
      </c>
      <c r="I60" s="2363" t="s">
        <v>2283</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862400</v>
      </c>
      <c r="R60" s="1369" t="s">
        <v>965</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5.6000000000000001E-2</v>
      </c>
      <c r="I61" s="2364" t="s">
        <v>2284</v>
      </c>
      <c r="J61" s="1352" t="str">
        <f>IF(OR(M48="住宅",J52&lt;L49,J57="是"),"0",ROUND(J60/(1+J53)^J54,0))</f>
        <v>0</v>
      </c>
      <c r="K61" s="2365" t="s">
        <v>2285</v>
      </c>
      <c r="L61" s="1352">
        <f>IF(OR(M48="住宅",L49&lt;J52),0,ROUND(L58*(L59/L60-1),0))</f>
        <v>0</v>
      </c>
      <c r="O61" s="1360" t="s">
        <v>2286</v>
      </c>
      <c r="P61" s="1361"/>
      <c r="Q61" s="1357"/>
      <c r="R61" s="1361"/>
    </row>
    <row r="62" spans="1:18" s="791" customFormat="1" ht="15.75" thickBot="1">
      <c r="A62" s="337" t="s">
        <v>17</v>
      </c>
      <c r="B62" s="319" t="s">
        <v>2287</v>
      </c>
      <c r="C62" s="14">
        <f ca="1">IF(项目基本情况!B7="自然人","——",IF(D62="按租金收入计税",ROUND(C49*F62,1),IF(D62="按房产原值计税",ROUND(C58*F62*0.7,1),'数据-取费表'!B43)))</f>
        <v>5275.7</v>
      </c>
      <c r="D62" s="2013" t="s">
        <v>2157</v>
      </c>
      <c r="E62" s="319" t="s">
        <v>2160</v>
      </c>
      <c r="F62" s="342">
        <f t="shared" si="0"/>
        <v>1.2E-2</v>
      </c>
      <c r="O62" s="1362" t="s">
        <v>2231</v>
      </c>
      <c r="P62" s="1363" t="s">
        <v>2232</v>
      </c>
      <c r="Q62" s="1364" t="s">
        <v>2233</v>
      </c>
      <c r="R62" s="1365" t="s">
        <v>2234</v>
      </c>
    </row>
    <row r="63" spans="1:18" s="791" customFormat="1" ht="15.75" thickBot="1">
      <c r="A63" s="345" t="s">
        <v>18</v>
      </c>
      <c r="B63" s="80" t="s">
        <v>2288</v>
      </c>
      <c r="C63" s="15">
        <f>IF(项目基本情况!B7="自然人","——",ROUND(F63*F64,0))</f>
        <v>0</v>
      </c>
      <c r="D63" s="346" t="s">
        <v>2289</v>
      </c>
      <c r="E63" s="319" t="s">
        <v>2290</v>
      </c>
      <c r="F63" s="347">
        <f t="shared" si="0"/>
        <v>20</v>
      </c>
      <c r="I63" s="2366" t="s">
        <v>2291</v>
      </c>
      <c r="J63" s="1874" t="s">
        <v>2292</v>
      </c>
      <c r="K63" s="1874" t="s">
        <v>2293</v>
      </c>
      <c r="L63" s="1874" t="s">
        <v>2294</v>
      </c>
      <c r="M63" s="1873" t="s">
        <v>2295</v>
      </c>
      <c r="O63" s="1366" t="s">
        <v>958</v>
      </c>
      <c r="P63" s="1367" t="s">
        <v>2235</v>
      </c>
      <c r="Q63" s="1368">
        <f ca="1">C40+J29</f>
        <v>862400</v>
      </c>
      <c r="R63" s="1369" t="s">
        <v>2236</v>
      </c>
    </row>
    <row r="64" spans="1:18" s="791" customFormat="1" ht="20.25" thickBot="1">
      <c r="A64" s="348"/>
      <c r="B64" s="328"/>
      <c r="C64" s="19"/>
      <c r="D64" s="349"/>
      <c r="E64" s="319" t="s">
        <v>2296</v>
      </c>
      <c r="F64" s="320">
        <f t="shared" si="0"/>
        <v>0</v>
      </c>
      <c r="I64" s="2366" t="s">
        <v>2297</v>
      </c>
      <c r="J64" s="1874">
        <v>70</v>
      </c>
      <c r="K64" s="1874">
        <v>50</v>
      </c>
      <c r="L64" s="1874">
        <v>80</v>
      </c>
      <c r="M64" s="1872">
        <v>0.02</v>
      </c>
      <c r="O64" s="1366" t="s">
        <v>959</v>
      </c>
      <c r="P64" s="1367" t="s">
        <v>2268</v>
      </c>
      <c r="Q64" s="1368">
        <f>L61</f>
        <v>0</v>
      </c>
      <c r="R64" s="1369" t="s">
        <v>2269</v>
      </c>
    </row>
    <row r="65" spans="1:18" s="791" customFormat="1" ht="23.25" thickBot="1">
      <c r="A65" s="337" t="s">
        <v>19</v>
      </c>
      <c r="B65" s="319" t="s">
        <v>2215</v>
      </c>
      <c r="C65" s="14">
        <f ca="1">ROUND(C58*F65,0)</f>
        <v>9421</v>
      </c>
      <c r="D65" s="1893" t="s">
        <v>2216</v>
      </c>
      <c r="E65" s="319" t="s">
        <v>2160</v>
      </c>
      <c r="F65" s="350">
        <f t="shared" si="0"/>
        <v>1.4999999999999999E-2</v>
      </c>
      <c r="I65" s="2366" t="s">
        <v>2298</v>
      </c>
      <c r="J65" s="1874">
        <v>50</v>
      </c>
      <c r="K65" s="1874">
        <v>35</v>
      </c>
      <c r="L65" s="1874">
        <v>60</v>
      </c>
      <c r="M65" s="1873">
        <v>0</v>
      </c>
      <c r="O65" s="1370" t="s">
        <v>960</v>
      </c>
      <c r="P65" s="1367" t="s">
        <v>2272</v>
      </c>
      <c r="Q65" s="1372">
        <f ca="1">L52</f>
        <v>13195533</v>
      </c>
      <c r="R65" s="1373" t="s">
        <v>2299</v>
      </c>
    </row>
    <row r="66" spans="1:18" s="791" customFormat="1" ht="20.25" thickBot="1">
      <c r="A66" s="337" t="s">
        <v>20</v>
      </c>
      <c r="B66" s="319" t="s">
        <v>2175</v>
      </c>
      <c r="C66" s="14">
        <f ca="1">ROUND(C57*F66,0)</f>
        <v>917</v>
      </c>
      <c r="D66" s="1893" t="s">
        <v>2176</v>
      </c>
      <c r="E66" s="319" t="s">
        <v>2177</v>
      </c>
      <c r="F66" s="351">
        <f t="shared" si="0"/>
        <v>2E-3</v>
      </c>
      <c r="I66" s="2366" t="s">
        <v>2300</v>
      </c>
      <c r="J66" s="1874">
        <v>40</v>
      </c>
      <c r="K66" s="1874">
        <v>30</v>
      </c>
      <c r="L66" s="1874">
        <v>50</v>
      </c>
      <c r="M66" s="1872">
        <v>0.02</v>
      </c>
      <c r="O66" s="1370" t="s">
        <v>961</v>
      </c>
      <c r="P66" s="1374" t="s">
        <v>2301</v>
      </c>
      <c r="Q66" s="1368">
        <f ca="1">ROUND(Q67-Q68*Q69,0)</f>
        <v>-8854</v>
      </c>
      <c r="R66" s="1369"/>
    </row>
    <row r="67" spans="1:18" s="791" customFormat="1" ht="15.75" thickBot="1">
      <c r="A67" s="337" t="s">
        <v>21</v>
      </c>
      <c r="B67" s="319" t="s">
        <v>2158</v>
      </c>
      <c r="C67" s="14">
        <f ca="1">ROUND(C49*F67,0)</f>
        <v>0</v>
      </c>
      <c r="D67" s="1893" t="s">
        <v>2181</v>
      </c>
      <c r="E67" s="319" t="s">
        <v>2177</v>
      </c>
      <c r="F67" s="329">
        <f t="shared" si="0"/>
        <v>1.4999999999999999E-2</v>
      </c>
      <c r="O67" s="1370" t="s">
        <v>966</v>
      </c>
      <c r="P67" s="1374" t="s">
        <v>2302</v>
      </c>
      <c r="Q67" s="1368">
        <f ca="1">C39</f>
        <v>30117</v>
      </c>
      <c r="R67" s="1369" t="s">
        <v>2236</v>
      </c>
    </row>
    <row r="68" spans="1:18" ht="15.75" thickBot="1">
      <c r="A68" s="332" t="s">
        <v>22</v>
      </c>
      <c r="B68" s="89" t="s">
        <v>2185</v>
      </c>
      <c r="C68" s="334">
        <f ca="1">C49-C59</f>
        <v>-15614</v>
      </c>
      <c r="D68" s="1888" t="s">
        <v>2186</v>
      </c>
      <c r="E68" s="1892"/>
      <c r="F68" s="353"/>
      <c r="H68" s="791"/>
      <c r="I68" s="791"/>
      <c r="J68" s="791"/>
      <c r="K68" s="791"/>
      <c r="L68" s="791"/>
      <c r="M68" s="791"/>
      <c r="O68" s="1370" t="s">
        <v>967</v>
      </c>
      <c r="P68" s="1374" t="s">
        <v>2303</v>
      </c>
      <c r="Q68" s="1368">
        <f ca="1">C13</f>
        <v>458487</v>
      </c>
      <c r="R68" s="1369" t="s">
        <v>2236</v>
      </c>
    </row>
    <row r="69" spans="1:18" ht="15.75" thickBot="1">
      <c r="A69" s="316" t="s">
        <v>23</v>
      </c>
      <c r="B69" s="317" t="s">
        <v>2223</v>
      </c>
      <c r="C69" s="318">
        <f ca="1">ROUND(C68*(1-((1+F71)/(1+F69))^F70)/(F69-F71),0)</f>
        <v>-296953</v>
      </c>
      <c r="D69" s="346" t="s">
        <v>2191</v>
      </c>
      <c r="E69" s="319" t="s">
        <v>2192</v>
      </c>
      <c r="F69" s="329">
        <f>F40</f>
        <v>4.4999999999999998E-2</v>
      </c>
      <c r="H69" s="791"/>
      <c r="I69" s="791"/>
      <c r="J69" s="791"/>
      <c r="K69" s="791"/>
      <c r="L69" s="791"/>
      <c r="M69" s="791"/>
      <c r="O69" s="1370" t="s">
        <v>968</v>
      </c>
      <c r="P69" s="1374" t="s">
        <v>2304</v>
      </c>
      <c r="Q69" s="1371">
        <f>J35</f>
        <v>8.5000000000000006E-2</v>
      </c>
      <c r="R69" s="1369"/>
    </row>
    <row r="70" spans="1:18" ht="15.75" thickBot="1">
      <c r="A70" s="321"/>
      <c r="B70" s="322"/>
      <c r="C70" s="323"/>
      <c r="D70" s="354" t="s">
        <v>2225</v>
      </c>
      <c r="E70" s="319" t="s">
        <v>2197</v>
      </c>
      <c r="F70" s="355">
        <f>F41</f>
        <v>44</v>
      </c>
      <c r="H70" s="791"/>
      <c r="I70" s="791"/>
      <c r="J70" s="791"/>
      <c r="K70" s="791"/>
      <c r="L70" s="791"/>
      <c r="M70" s="791"/>
      <c r="O70" s="1370" t="s">
        <v>962</v>
      </c>
      <c r="P70" s="1367" t="s">
        <v>2275</v>
      </c>
      <c r="Q70" s="1371">
        <f>L53</f>
        <v>0</v>
      </c>
      <c r="R70" s="1369"/>
    </row>
    <row r="71" spans="1:18" ht="20.25" thickBot="1">
      <c r="A71" s="325"/>
      <c r="B71" s="326"/>
      <c r="C71" s="327"/>
      <c r="D71" s="349"/>
      <c r="E71" s="319" t="s">
        <v>2201</v>
      </c>
      <c r="F71" s="1355"/>
      <c r="H71" s="791"/>
      <c r="M71" s="791"/>
      <c r="O71" s="1370" t="s">
        <v>963</v>
      </c>
      <c r="P71" s="1367" t="s">
        <v>2278</v>
      </c>
      <c r="Q71" s="1368" t="e">
        <f>L59</f>
        <v>#DIV/0!</v>
      </c>
      <c r="R71" s="1369" t="s">
        <v>2279</v>
      </c>
    </row>
    <row r="72" spans="1:18" ht="15.75" thickBot="1">
      <c r="A72" s="356" t="s">
        <v>24</v>
      </c>
      <c r="B72" s="357" t="s">
        <v>2227</v>
      </c>
      <c r="C72" s="358">
        <f ca="1">ROUND(C69/F72,0)</f>
        <v>-2079</v>
      </c>
      <c r="D72" s="359" t="s">
        <v>2228</v>
      </c>
      <c r="E72" s="360" t="s">
        <v>2229</v>
      </c>
      <c r="F72" s="361">
        <f>F43</f>
        <v>142.82</v>
      </c>
      <c r="O72" s="1370" t="s">
        <v>969</v>
      </c>
      <c r="P72" s="1367" t="str">
        <f>K60</f>
        <v>建筑物剩余耐用年限下的土地年期修正系数Kn</v>
      </c>
      <c r="Q72" s="1368" t="e">
        <f>L60</f>
        <v>#DIV/0!</v>
      </c>
      <c r="R72" s="1369" t="s">
        <v>2282</v>
      </c>
    </row>
    <row r="73" spans="1:18" ht="15.75" thickBot="1">
      <c r="A73" s="791"/>
      <c r="B73" s="795"/>
      <c r="C73" s="795"/>
      <c r="D73" s="791"/>
      <c r="E73" s="791"/>
      <c r="F73" s="791"/>
      <c r="O73" s="1366" t="s">
        <v>964</v>
      </c>
      <c r="P73" s="1367" t="str">
        <f>IF(C2="元","收益价值(元)","收益价值(万元)")</f>
        <v>收益价值(元)</v>
      </c>
      <c r="Q73" s="1368">
        <f ca="1">ROUND(IF(C2="元",Q63+Q64,(Q63+Q64)/10000),0)</f>
        <v>862400</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60" priority="6">
      <formula>$L$49&gt;$J$52</formula>
    </cfRule>
  </conditionalFormatting>
  <conditionalFormatting sqref="I56">
    <cfRule type="expression" dxfId="159" priority="7">
      <formula>$J$52&gt;$L$49</formula>
    </cfRule>
  </conditionalFormatting>
  <conditionalFormatting sqref="I61">
    <cfRule type="expression" dxfId="158" priority="5">
      <formula>$J$52&gt;$L$49</formula>
    </cfRule>
  </conditionalFormatting>
  <conditionalFormatting sqref="K61">
    <cfRule type="expression" dxfId="157" priority="4">
      <formula>$L$49&gt;$J$52</formula>
    </cfRule>
  </conditionalFormatting>
  <conditionalFormatting sqref="C11">
    <cfRule type="expression" dxfId="156" priority="3">
      <formula>$F$10="自定义"</formula>
    </cfRule>
  </conditionalFormatting>
  <conditionalFormatting sqref="J11">
    <cfRule type="expression" dxfId="155" priority="2">
      <formula>$M$10="自定义"</formula>
    </cfRule>
  </conditionalFormatting>
  <conditionalFormatting sqref="C55">
    <cfRule type="expression" dxfId="15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重庆市房地产市场价值预评估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滇虹药业集团股份有限公司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欧红伟（注册号:1120000080）、梁津（注册号:1119970066)</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康正预评字2017-1-1081-F01HDZC1号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03" t="s">
        <v>1025</v>
      </c>
      <c r="B1" s="3004"/>
      <c r="C1" s="3005"/>
      <c r="D1" s="3006">
        <f>SUM(I10,I15,I20,I21,I23)</f>
        <v>0</v>
      </c>
      <c r="E1" s="3006"/>
      <c r="F1" s="3006"/>
      <c r="G1" s="3006"/>
      <c r="H1" s="3006"/>
      <c r="I1" s="3007"/>
    </row>
    <row r="2" spans="1:9">
      <c r="A2" s="2993" t="s">
        <v>1026</v>
      </c>
      <c r="B2" s="2994" t="s">
        <v>975</v>
      </c>
      <c r="C2" s="2994"/>
      <c r="D2" s="1388" t="s">
        <v>976</v>
      </c>
      <c r="E2" s="1388" t="s">
        <v>977</v>
      </c>
      <c r="F2" s="1388" t="s">
        <v>978</v>
      </c>
      <c r="G2" s="1388" t="s">
        <v>979</v>
      </c>
      <c r="H2" s="1388" t="s">
        <v>980</v>
      </c>
      <c r="I2" s="1389" t="s">
        <v>981</v>
      </c>
    </row>
    <row r="3" spans="1:9">
      <c r="A3" s="2993"/>
      <c r="B3" s="2994" t="s">
        <v>982</v>
      </c>
      <c r="C3" s="2994"/>
      <c r="D3" s="1390"/>
      <c r="E3" s="1388"/>
      <c r="F3" s="1391"/>
      <c r="G3" s="1391"/>
      <c r="H3" s="1392"/>
      <c r="I3" s="1393">
        <f>ROUND(D3*E3*F3*G3*H3/10000,0)</f>
        <v>0</v>
      </c>
    </row>
    <row r="4" spans="1:9">
      <c r="A4" s="2993"/>
      <c r="B4" s="2994" t="s">
        <v>983</v>
      </c>
      <c r="C4" s="2994"/>
      <c r="D4" s="1390"/>
      <c r="E4" s="1388"/>
      <c r="F4" s="1391"/>
      <c r="G4" s="1391"/>
      <c r="H4" s="1392"/>
      <c r="I4" s="1393">
        <f t="shared" ref="I4:I9" si="0">ROUND(D4*E4*F4*G4*H4/10000,0)</f>
        <v>0</v>
      </c>
    </row>
    <row r="5" spans="1:9">
      <c r="A5" s="2993"/>
      <c r="B5" s="2994" t="s">
        <v>984</v>
      </c>
      <c r="C5" s="2994"/>
      <c r="D5" s="1390"/>
      <c r="E5" s="1388"/>
      <c r="F5" s="1391"/>
      <c r="G5" s="1391"/>
      <c r="H5" s="1392"/>
      <c r="I5" s="1393">
        <f t="shared" si="0"/>
        <v>0</v>
      </c>
    </row>
    <row r="6" spans="1:9">
      <c r="A6" s="2993"/>
      <c r="B6" s="2994" t="s">
        <v>985</v>
      </c>
      <c r="C6" s="2994"/>
      <c r="D6" s="1390"/>
      <c r="E6" s="1388"/>
      <c r="F6" s="1391"/>
      <c r="G6" s="1391"/>
      <c r="H6" s="1392"/>
      <c r="I6" s="1393">
        <f t="shared" si="0"/>
        <v>0</v>
      </c>
    </row>
    <row r="7" spans="1:9">
      <c r="A7" s="2993"/>
      <c r="B7" s="2994" t="s">
        <v>986</v>
      </c>
      <c r="C7" s="2994"/>
      <c r="D7" s="1390"/>
      <c r="E7" s="1388"/>
      <c r="F7" s="1391"/>
      <c r="G7" s="1391"/>
      <c r="H7" s="1392"/>
      <c r="I7" s="1393">
        <f t="shared" si="0"/>
        <v>0</v>
      </c>
    </row>
    <row r="8" spans="1:9">
      <c r="A8" s="2993"/>
      <c r="B8" s="2994" t="s">
        <v>987</v>
      </c>
      <c r="C8" s="2994"/>
      <c r="D8" s="1390"/>
      <c r="E8" s="1388"/>
      <c r="F8" s="1391"/>
      <c r="G8" s="1391"/>
      <c r="H8" s="1392"/>
      <c r="I8" s="1393">
        <f t="shared" si="0"/>
        <v>0</v>
      </c>
    </row>
    <row r="9" spans="1:9">
      <c r="A9" s="2993"/>
      <c r="B9" s="2994" t="s">
        <v>988</v>
      </c>
      <c r="C9" s="2994"/>
      <c r="D9" s="1390"/>
      <c r="E9" s="1388"/>
      <c r="F9" s="1391"/>
      <c r="G9" s="1391"/>
      <c r="H9" s="1392"/>
      <c r="I9" s="1393">
        <f t="shared" si="0"/>
        <v>0</v>
      </c>
    </row>
    <row r="10" spans="1:9">
      <c r="A10" s="2993"/>
      <c r="B10" s="2995" t="s">
        <v>989</v>
      </c>
      <c r="C10" s="2995"/>
      <c r="D10" s="1394">
        <v>527</v>
      </c>
      <c r="E10" s="1394" t="e">
        <f>ROUND(D1*10000/D10/H9,0)</f>
        <v>#DIV/0!</v>
      </c>
      <c r="F10" s="1395"/>
      <c r="G10" s="1395"/>
      <c r="H10" s="1396"/>
      <c r="I10" s="1397">
        <f>SUM(I3:I9)</f>
        <v>0</v>
      </c>
    </row>
    <row r="11" spans="1:9" ht="14.25">
      <c r="A11" s="2993" t="s">
        <v>1027</v>
      </c>
      <c r="B11" s="2994" t="s">
        <v>990</v>
      </c>
      <c r="C11" s="2994"/>
      <c r="D11" s="1390" t="s">
        <v>991</v>
      </c>
      <c r="E11" s="1390" t="s">
        <v>992</v>
      </c>
      <c r="F11" s="1391" t="s">
        <v>993</v>
      </c>
      <c r="G11" s="1391" t="s">
        <v>980</v>
      </c>
      <c r="H11" s="1398" t="s">
        <v>994</v>
      </c>
      <c r="I11" s="1389" t="s">
        <v>981</v>
      </c>
    </row>
    <row r="12" spans="1:9">
      <c r="A12" s="2993"/>
      <c r="B12" s="2994" t="s">
        <v>995</v>
      </c>
      <c r="C12" s="2994"/>
      <c r="D12" s="1390"/>
      <c r="E12" s="1390"/>
      <c r="F12" s="1391"/>
      <c r="G12" s="1392"/>
      <c r="H12" s="1399"/>
      <c r="I12" s="1389">
        <f>ROUND(D12*E12*F12*G12/10000,0)</f>
        <v>0</v>
      </c>
    </row>
    <row r="13" spans="1:9">
      <c r="A13" s="2993"/>
      <c r="B13" s="2994" t="s">
        <v>996</v>
      </c>
      <c r="C13" s="2994"/>
      <c r="D13" s="1390"/>
      <c r="E13" s="1390"/>
      <c r="F13" s="1391"/>
      <c r="G13" s="1392"/>
      <c r="H13" s="1399"/>
      <c r="I13" s="1389">
        <f>ROUND(D13*E13*F13*G13/10000,0)</f>
        <v>0</v>
      </c>
    </row>
    <row r="14" spans="1:9">
      <c r="A14" s="2993"/>
      <c r="B14" s="2994" t="s">
        <v>997</v>
      </c>
      <c r="C14" s="2994"/>
      <c r="D14" s="1390"/>
      <c r="E14" s="1390"/>
      <c r="F14" s="1391"/>
      <c r="G14" s="1392"/>
      <c r="H14" s="1399"/>
      <c r="I14" s="1389">
        <f>ROUND(D14*E14*F14*G14/10000,0)</f>
        <v>0</v>
      </c>
    </row>
    <row r="15" spans="1:9">
      <c r="A15" s="2993"/>
      <c r="B15" s="2995" t="s">
        <v>989</v>
      </c>
      <c r="C15" s="2995"/>
      <c r="D15" s="1394"/>
      <c r="E15" s="1394">
        <f>SUM(E12:E14)</f>
        <v>0</v>
      </c>
      <c r="F15" s="1395"/>
      <c r="G15" s="1392"/>
      <c r="H15" s="1399"/>
      <c r="I15" s="1400">
        <f>SUM(I12:I14)</f>
        <v>0</v>
      </c>
    </row>
    <row r="16" spans="1:9" ht="24">
      <c r="A16" s="2993" t="s">
        <v>1028</v>
      </c>
      <c r="B16" s="2994" t="s">
        <v>998</v>
      </c>
      <c r="C16" s="2994"/>
      <c r="D16" s="1390" t="s">
        <v>976</v>
      </c>
      <c r="E16" s="1401" t="s">
        <v>999</v>
      </c>
      <c r="F16" s="1391" t="s">
        <v>1000</v>
      </c>
      <c r="G16" s="1392" t="s">
        <v>980</v>
      </c>
      <c r="H16" s="1398" t="s">
        <v>994</v>
      </c>
      <c r="I16" s="1389" t="s">
        <v>981</v>
      </c>
    </row>
    <row r="17" spans="1:9" ht="14.25">
      <c r="A17" s="2993"/>
      <c r="B17" s="2994" t="s">
        <v>1001</v>
      </c>
      <c r="C17" s="2994"/>
      <c r="D17" s="1390"/>
      <c r="E17" s="1390"/>
      <c r="F17" s="1391"/>
      <c r="G17" s="1392"/>
      <c r="H17" s="1402"/>
      <c r="I17" s="1403">
        <f>ROUND(D17*E17*F17*G17/10000,0)</f>
        <v>0</v>
      </c>
    </row>
    <row r="18" spans="1:9" ht="14.25">
      <c r="A18" s="2993"/>
      <c r="B18" s="2994" t="s">
        <v>1002</v>
      </c>
      <c r="C18" s="2994"/>
      <c r="D18" s="1390"/>
      <c r="E18" s="1390"/>
      <c r="F18" s="1391"/>
      <c r="G18" s="1392"/>
      <c r="H18" s="1402"/>
      <c r="I18" s="1403">
        <f>ROUND(D18*E18*F18*G18/10000,0)</f>
        <v>0</v>
      </c>
    </row>
    <row r="19" spans="1:9" ht="14.25">
      <c r="A19" s="2993"/>
      <c r="B19" s="2994" t="s">
        <v>1003</v>
      </c>
      <c r="C19" s="2994"/>
      <c r="D19" s="1390"/>
      <c r="E19" s="1390"/>
      <c r="F19" s="1391"/>
      <c r="G19" s="1392"/>
      <c r="H19" s="1402"/>
      <c r="I19" s="1403">
        <f>ROUND(D19*E19*F19*G19/10000,0)</f>
        <v>0</v>
      </c>
    </row>
    <row r="20" spans="1:9">
      <c r="A20" s="2993"/>
      <c r="B20" s="2995" t="s">
        <v>989</v>
      </c>
      <c r="C20" s="2995"/>
      <c r="D20" s="1394">
        <f>SUM(D17:D19)</f>
        <v>0</v>
      </c>
      <c r="E20" s="1394"/>
      <c r="F20" s="1395"/>
      <c r="G20" s="1392"/>
      <c r="H20" s="1399"/>
      <c r="I20" s="1400">
        <f>SUM(I17:I19)</f>
        <v>0</v>
      </c>
    </row>
    <row r="21" spans="1:9">
      <c r="A21" s="2993" t="s">
        <v>1029</v>
      </c>
      <c r="B21" s="2996"/>
      <c r="C21" s="2996"/>
      <c r="D21" s="2996"/>
      <c r="E21" s="2996"/>
      <c r="F21" s="2996"/>
      <c r="G21" s="2996"/>
      <c r="H21" s="1404">
        <v>0.1</v>
      </c>
      <c r="I21" s="1397">
        <f>ROUND(I10*H21,0)</f>
        <v>0</v>
      </c>
    </row>
    <row r="22" spans="1:9" ht="14.25">
      <c r="A22" s="2997" t="s">
        <v>1030</v>
      </c>
      <c r="B22" s="2998"/>
      <c r="C22" s="2999"/>
      <c r="D22" s="1405" t="s">
        <v>1004</v>
      </c>
      <c r="E22" s="1405" t="s">
        <v>1005</v>
      </c>
      <c r="F22" s="1406" t="s">
        <v>980</v>
      </c>
      <c r="G22" s="1406" t="s">
        <v>1006</v>
      </c>
      <c r="H22" s="1398" t="s">
        <v>994</v>
      </c>
      <c r="I22" s="1389" t="s">
        <v>981</v>
      </c>
    </row>
    <row r="23" spans="1:9" ht="14.25" thickBot="1">
      <c r="A23" s="3000"/>
      <c r="B23" s="3001"/>
      <c r="C23" s="3002"/>
      <c r="D23" s="1407"/>
      <c r="E23" s="1407"/>
      <c r="F23" s="1407"/>
      <c r="G23" s="1408"/>
      <c r="H23" s="1409"/>
      <c r="I23" s="1410">
        <f>ROUND(E23*D23*F23*(1-G23)/10000,0)</f>
        <v>0</v>
      </c>
    </row>
    <row r="26" spans="1:9">
      <c r="A26" s="1411" t="s">
        <v>1007</v>
      </c>
      <c r="B26" s="1411"/>
      <c r="C26" s="1411"/>
      <c r="D26" s="1411"/>
      <c r="E26" s="2990">
        <f>C27-C30-C31-C32</f>
        <v>0</v>
      </c>
      <c r="F26" s="2990"/>
      <c r="G26" s="2990"/>
      <c r="H26" s="1829" t="s">
        <v>1221</v>
      </c>
    </row>
    <row r="27" spans="1:9">
      <c r="A27" s="1412">
        <v>1</v>
      </c>
      <c r="B27" s="1413" t="s">
        <v>1008</v>
      </c>
      <c r="C27" s="1413">
        <f>C28+C29</f>
        <v>0</v>
      </c>
      <c r="D27" s="1413"/>
      <c r="E27" s="2991"/>
      <c r="F27" s="2991"/>
      <c r="G27" s="2991"/>
    </row>
    <row r="28" spans="1:9">
      <c r="A28" s="1414" t="s">
        <v>1009</v>
      </c>
      <c r="B28" s="1413" t="s">
        <v>1010</v>
      </c>
      <c r="C28" s="1413"/>
      <c r="D28" s="1413"/>
      <c r="E28" s="2991"/>
      <c r="F28" s="2991"/>
      <c r="G28" s="2991"/>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92"/>
      <c r="F32" s="2992"/>
      <c r="G32" s="2992"/>
    </row>
    <row r="33" spans="1:7" hidden="1">
      <c r="A33" s="2987" t="s">
        <v>1019</v>
      </c>
      <c r="B33" s="2988"/>
      <c r="C33" s="2988"/>
      <c r="D33" s="2989"/>
      <c r="E33" s="2990"/>
      <c r="F33" s="2990"/>
      <c r="G33" s="2990"/>
    </row>
    <row r="34" spans="1:7" hidden="1">
      <c r="A34" s="1416">
        <v>1</v>
      </c>
      <c r="B34" s="1413" t="s">
        <v>1020</v>
      </c>
      <c r="C34" s="1413"/>
      <c r="D34" s="1413"/>
      <c r="E34" s="2991"/>
      <c r="F34" s="2991"/>
      <c r="G34" s="2991"/>
    </row>
    <row r="35" spans="1:7" hidden="1">
      <c r="A35" s="1416">
        <v>2</v>
      </c>
      <c r="B35" s="1413" t="s">
        <v>1021</v>
      </c>
      <c r="C35" s="1413"/>
      <c r="D35" s="1413"/>
      <c r="E35" s="2991"/>
      <c r="F35" s="2991"/>
      <c r="G35" s="2991"/>
    </row>
    <row r="36" spans="1:7" hidden="1">
      <c r="A36" s="1416">
        <v>3</v>
      </c>
      <c r="B36" s="1413" t="s">
        <v>1022</v>
      </c>
      <c r="C36" s="1413"/>
      <c r="D36" s="1413"/>
      <c r="E36" s="2991"/>
      <c r="F36" s="2991"/>
      <c r="G36" s="2991"/>
    </row>
    <row r="37" spans="1:7" hidden="1">
      <c r="A37" s="1416">
        <v>4</v>
      </c>
      <c r="B37" s="1413" t="s">
        <v>1023</v>
      </c>
      <c r="C37" s="1413"/>
      <c r="D37" s="1413"/>
      <c r="E37" s="2991"/>
      <c r="F37" s="2991"/>
      <c r="G37" s="2991"/>
    </row>
    <row r="38" spans="1:7" hidden="1">
      <c r="A38" s="2987" t="s">
        <v>1024</v>
      </c>
      <c r="B38" s="2988"/>
      <c r="C38" s="2988"/>
      <c r="D38" s="2989"/>
      <c r="E38" s="2990"/>
      <c r="F38" s="2990"/>
      <c r="G38" s="29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A34" sqref="A34"/>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 ca="1">B23</f>
        <v>2409197</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 ca="1">B24</f>
        <v>9491</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011" t="s">
        <v>2310</v>
      </c>
      <c r="D4" s="3012"/>
      <c r="E4" s="3012"/>
      <c r="F4" s="3012"/>
      <c r="G4" s="3012"/>
      <c r="H4" s="3012"/>
      <c r="I4" s="3012"/>
      <c r="J4" s="3012"/>
      <c r="K4" s="3012"/>
      <c r="L4" s="3012"/>
      <c r="M4" s="3012"/>
      <c r="N4" s="3012"/>
      <c r="O4" s="3012"/>
      <c r="P4" s="3012"/>
      <c r="Q4" s="3012"/>
      <c r="R4" s="3012"/>
      <c r="S4" s="3013"/>
      <c r="T4" s="678" t="s">
        <v>2311</v>
      </c>
      <c r="U4" s="1312"/>
      <c r="V4" s="1312"/>
      <c r="X4" s="1312"/>
      <c r="Y4" s="1312"/>
    </row>
    <row r="5" spans="1:44" s="692" customFormat="1" ht="25.5">
      <c r="A5" s="1322"/>
      <c r="B5" s="687" t="s">
        <v>2312</v>
      </c>
      <c r="C5" s="688" t="str">
        <f t="shared" ref="C5:L5" si="0">C6&amp;"(含)"&amp;"-"&amp;D6</f>
        <v>0(含)-60</v>
      </c>
      <c r="D5" s="689" t="str">
        <f t="shared" si="0"/>
        <v>60(含)-90</v>
      </c>
      <c r="E5" s="689" t="str">
        <f t="shared" si="0"/>
        <v>90(含)-120</v>
      </c>
      <c r="F5" s="689" t="str">
        <f t="shared" si="0"/>
        <v>120(含)-150</v>
      </c>
      <c r="G5" s="689" t="str">
        <f t="shared" si="0"/>
        <v>150(含)-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0</v>
      </c>
      <c r="D6" s="695">
        <v>60</v>
      </c>
      <c r="E6" s="695">
        <v>90</v>
      </c>
      <c r="F6" s="695">
        <v>120</v>
      </c>
      <c r="G6" s="695">
        <v>150</v>
      </c>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v>0</v>
      </c>
      <c r="D7" s="1165">
        <v>98</v>
      </c>
      <c r="E7" s="1165">
        <v>96</v>
      </c>
      <c r="F7" s="1165">
        <v>94</v>
      </c>
      <c r="G7" s="1165">
        <v>92</v>
      </c>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5"/>
      <c r="B8" s="2749" t="s">
        <v>2894</v>
      </c>
      <c r="C8" s="2750" t="s">
        <v>2895</v>
      </c>
      <c r="D8" s="2751" t="s">
        <v>2896</v>
      </c>
      <c r="E8" s="2751" t="s">
        <v>2897</v>
      </c>
      <c r="F8" s="2751" t="s">
        <v>2898</v>
      </c>
      <c r="G8" s="1169"/>
      <c r="H8" s="1169"/>
      <c r="I8" s="1169"/>
      <c r="J8" s="1169"/>
      <c r="K8" s="1169"/>
      <c r="L8" s="1170"/>
      <c r="M8" s="1171"/>
      <c r="N8" s="1171"/>
      <c r="O8" s="1169"/>
      <c r="P8" s="1169"/>
      <c r="Q8" s="1169"/>
      <c r="R8" s="1169"/>
      <c r="S8" s="1201"/>
      <c r="T8" s="1172">
        <v>4</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96</v>
      </c>
      <c r="E9" s="1160">
        <f t="shared" si="7"/>
        <v>92</v>
      </c>
      <c r="F9" s="1160">
        <f t="shared" si="7"/>
        <v>88</v>
      </c>
      <c r="G9" s="1160">
        <f t="shared" si="7"/>
        <v>84</v>
      </c>
      <c r="H9" s="1160">
        <f t="shared" si="7"/>
        <v>80</v>
      </c>
      <c r="I9" s="1160">
        <f t="shared" si="7"/>
        <v>76</v>
      </c>
      <c r="J9" s="1160">
        <f t="shared" si="7"/>
        <v>72</v>
      </c>
      <c r="K9" s="1160">
        <f t="shared" si="7"/>
        <v>68</v>
      </c>
      <c r="L9" s="1160">
        <f t="shared" si="7"/>
        <v>64</v>
      </c>
      <c r="M9" s="1161">
        <f t="shared" si="7"/>
        <v>60</v>
      </c>
      <c r="N9" s="1161">
        <f t="shared" si="7"/>
        <v>56</v>
      </c>
      <c r="O9" s="1160">
        <f t="shared" si="7"/>
        <v>52</v>
      </c>
      <c r="P9" s="1160">
        <f t="shared" si="7"/>
        <v>48</v>
      </c>
      <c r="Q9" s="1160">
        <f t="shared" si="7"/>
        <v>44</v>
      </c>
      <c r="R9" s="1160">
        <f t="shared" si="7"/>
        <v>40</v>
      </c>
      <c r="S9" s="1202">
        <f t="shared" si="7"/>
        <v>36</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2753" t="s">
        <v>2900</v>
      </c>
      <c r="C10" s="1153" t="str">
        <f>'比较法-租金'!C88</f>
        <v>南北</v>
      </c>
      <c r="D10" s="1153" t="str">
        <f>'比较法-租金'!D88</f>
        <v>东南</v>
      </c>
      <c r="E10" s="1153" t="str">
        <f>'比较法-租金'!E88</f>
        <v>西南</v>
      </c>
      <c r="F10" s="1153" t="str">
        <f>'比较法-租金'!F88</f>
        <v>南</v>
      </c>
      <c r="G10" s="1153" t="str">
        <f>'比较法-租金'!G88</f>
        <v>东西</v>
      </c>
      <c r="H10" s="1153" t="str">
        <f>'比较法-租金'!H88</f>
        <v>东</v>
      </c>
      <c r="I10" s="1153" t="str">
        <f>'比较法-租金'!I88</f>
        <v>东北</v>
      </c>
      <c r="J10" s="1153" t="str">
        <f>'比较法-租金'!J88</f>
        <v>西</v>
      </c>
      <c r="K10" s="1153" t="str">
        <f>'比较法-租金'!K88</f>
        <v>西北</v>
      </c>
      <c r="L10" s="1153" t="str">
        <f>'比较法-租金'!L88</f>
        <v>北</v>
      </c>
      <c r="M10" s="1156"/>
      <c r="N10" s="1147"/>
      <c r="O10" s="1149"/>
      <c r="P10" s="1150"/>
      <c r="Q10" s="1151"/>
      <c r="R10" s="1152"/>
      <c r="S10" s="1203"/>
      <c r="T10" s="700">
        <v>0.5</v>
      </c>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99.5</v>
      </c>
      <c r="E11" s="1160">
        <f t="shared" si="8"/>
        <v>99</v>
      </c>
      <c r="F11" s="1160">
        <f t="shared" si="8"/>
        <v>98.5</v>
      </c>
      <c r="G11" s="1160">
        <f t="shared" si="8"/>
        <v>98</v>
      </c>
      <c r="H11" s="1160">
        <f t="shared" si="8"/>
        <v>97.5</v>
      </c>
      <c r="I11" s="1160">
        <f t="shared" si="8"/>
        <v>97</v>
      </c>
      <c r="J11" s="1160">
        <f t="shared" si="8"/>
        <v>96.5</v>
      </c>
      <c r="K11" s="1160">
        <f t="shared" si="8"/>
        <v>96</v>
      </c>
      <c r="L11" s="1160">
        <f t="shared" si="8"/>
        <v>95.5</v>
      </c>
      <c r="M11" s="1161">
        <f t="shared" si="8"/>
        <v>95</v>
      </c>
      <c r="N11" s="1161">
        <f t="shared" ref="N11:S11" si="9">M11-$T$10</f>
        <v>94.5</v>
      </c>
      <c r="O11" s="1160">
        <f t="shared" si="9"/>
        <v>94</v>
      </c>
      <c r="P11" s="1160">
        <f t="shared" si="9"/>
        <v>93.5</v>
      </c>
      <c r="Q11" s="1160">
        <f t="shared" si="9"/>
        <v>93</v>
      </c>
      <c r="R11" s="1160">
        <f t="shared" si="9"/>
        <v>92.5</v>
      </c>
      <c r="S11" s="1202">
        <f t="shared" si="9"/>
        <v>92</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2316</v>
      </c>
      <c r="B20" s="2368" t="s">
        <v>2317</v>
      </c>
      <c r="C20" s="2747" t="s">
        <v>2891</v>
      </c>
      <c r="D20" s="2748" t="s">
        <v>2892</v>
      </c>
      <c r="E20" s="2748" t="s">
        <v>2893</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102</v>
      </c>
      <c r="E21" s="1338">
        <v>104</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 ca="1">IF(F23="——",IF(C23="万元",T25,S25),IF(C23="万元",T25-H23,S25-H23))</f>
        <v>2409197</v>
      </c>
      <c r="C23" s="2370" t="str">
        <f>'数据-取费表'!B3</f>
        <v>元</v>
      </c>
      <c r="D23" s="84"/>
      <c r="E23" s="84"/>
      <c r="F23" s="2371" t="s">
        <v>1255</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2320</v>
      </c>
      <c r="B24" s="308">
        <f ca="1">R25</f>
        <v>9491</v>
      </c>
      <c r="C24" s="1144"/>
      <c r="D24" s="84"/>
      <c r="E24" s="84"/>
      <c r="F24" s="84"/>
      <c r="G24" s="84"/>
      <c r="H24" s="84"/>
      <c r="I24" s="84"/>
      <c r="J24" s="84"/>
      <c r="K24" s="84"/>
      <c r="L24" s="84"/>
      <c r="M24" s="84"/>
      <c r="N24" s="84"/>
      <c r="O24" s="84"/>
      <c r="P24" s="84"/>
      <c r="Q24" s="84"/>
      <c r="R24" s="769"/>
      <c r="S24" s="14" t="s">
        <v>2321</v>
      </c>
      <c r="T24" s="1897" t="s">
        <v>2322</v>
      </c>
      <c r="U24" s="2373" t="s">
        <v>2323</v>
      </c>
      <c r="V24" s="1341"/>
      <c r="W24" s="2374" t="s">
        <v>2324</v>
      </c>
      <c r="X24" s="2373" t="s">
        <v>2325</v>
      </c>
      <c r="Y24" s="1341"/>
      <c r="Z24" s="2375" t="s">
        <v>2324</v>
      </c>
    </row>
    <row r="25" spans="1:45">
      <c r="A25" s="334" t="s">
        <v>2326</v>
      </c>
      <c r="B25" s="14">
        <f>SUM(B27:B10000)</f>
        <v>253.83999999999997</v>
      </c>
      <c r="C25" s="3008" t="s">
        <v>45</v>
      </c>
      <c r="D25" s="3009"/>
      <c r="E25" s="3009"/>
      <c r="F25" s="3009"/>
      <c r="G25" s="3009"/>
      <c r="H25" s="3009"/>
      <c r="I25" s="3009"/>
      <c r="J25" s="3009"/>
      <c r="K25" s="3009"/>
      <c r="L25" s="3009"/>
      <c r="M25" s="3009"/>
      <c r="N25" s="3009"/>
      <c r="O25" s="3009"/>
      <c r="P25" s="3009"/>
      <c r="Q25" s="3010"/>
      <c r="R25" s="703">
        <f ca="1">IF(C23="万元",ROUND(T25*10000/B25,0),ROUND(S25/B25,0))</f>
        <v>9491</v>
      </c>
      <c r="S25" s="14">
        <f ca="1">SUM(S27:S10000)</f>
        <v>2409197</v>
      </c>
      <c r="T25" s="14">
        <f ca="1">SUM(T27:T10000)</f>
        <v>241</v>
      </c>
      <c r="U25" s="19">
        <f>SUM(U27:U10000)</f>
        <v>0</v>
      </c>
      <c r="V25" s="19">
        <f>SUM(V27:V10000)</f>
        <v>0</v>
      </c>
      <c r="W25" s="14"/>
      <c r="X25" s="19">
        <f>SUM(X27:X10000)</f>
        <v>0</v>
      </c>
      <c r="Y25" s="19">
        <f>SUM(Y27:Y10000)</f>
        <v>0</v>
      </c>
      <c r="Z25" s="2376"/>
    </row>
    <row r="26" spans="1:45" s="11" customFormat="1" ht="24">
      <c r="A26" s="10" t="s">
        <v>2327</v>
      </c>
      <c r="B26" s="10" t="s">
        <v>2328</v>
      </c>
      <c r="C26" s="10" t="s">
        <v>2329</v>
      </c>
      <c r="D26" s="10" t="str">
        <f>B8</f>
        <v>内部装修</v>
      </c>
      <c r="E26" s="10" t="s">
        <v>2329</v>
      </c>
      <c r="F26" s="10" t="str">
        <f>B10</f>
        <v>朝向</v>
      </c>
      <c r="G26" s="10" t="s">
        <v>2329</v>
      </c>
      <c r="H26" s="10">
        <f>B12</f>
        <v>0</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7" t="s">
        <v>2333</v>
      </c>
      <c r="W26" s="2378" t="s">
        <v>2334</v>
      </c>
      <c r="X26" s="1883" t="s">
        <v>2332</v>
      </c>
      <c r="Y26" s="2377" t="s">
        <v>2333</v>
      </c>
      <c r="Z26" s="2378"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1204</v>
      </c>
      <c r="B27" s="706">
        <f>'数据-取费表'!E5</f>
        <v>142.82</v>
      </c>
      <c r="C27" s="706">
        <v>1</v>
      </c>
      <c r="D27" s="707" t="s">
        <v>2869</v>
      </c>
      <c r="E27" s="706">
        <v>1</v>
      </c>
      <c r="F27" s="707" t="s">
        <v>2851</v>
      </c>
      <c r="G27" s="706">
        <v>1</v>
      </c>
      <c r="H27" s="707"/>
      <c r="I27" s="706">
        <v>1</v>
      </c>
      <c r="J27" s="707"/>
      <c r="K27" s="706">
        <v>1</v>
      </c>
      <c r="L27" s="707"/>
      <c r="M27" s="706">
        <v>1</v>
      </c>
      <c r="N27" s="707"/>
      <c r="O27" s="706">
        <v>1</v>
      </c>
      <c r="P27" s="707" t="s">
        <v>2840</v>
      </c>
      <c r="Q27" s="706">
        <v>1</v>
      </c>
      <c r="R27" s="1192">
        <f ca="1">结果表!G20</f>
        <v>9306</v>
      </c>
      <c r="S27" s="706">
        <f ca="1">ROUND(R27*B27,0)</f>
        <v>1329083</v>
      </c>
      <c r="T27" s="706">
        <f ca="1">ROUND(R27*B27/10000,0)</f>
        <v>133</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1208</v>
      </c>
      <c r="B28" s="24">
        <v>111.02</v>
      </c>
      <c r="C28" s="14">
        <f t="shared" ref="C28:C91" si="14">IF(B28="",1,(LOOKUP(B28,$6:$6,$7:$7)-LOOKUP($B$27,$6:$6,$7:$7)+100)/100)</f>
        <v>1.02</v>
      </c>
      <c r="D28" s="707" t="s">
        <v>2869</v>
      </c>
      <c r="E28" s="14">
        <f t="shared" ref="E28:E91" si="15">(SUMIF($8:$8,D28,$9:$9)-SUMIF($8:$8,$D$27,$9:$9)+100)/100</f>
        <v>1</v>
      </c>
      <c r="F28" s="707" t="s">
        <v>2901</v>
      </c>
      <c r="G28" s="14">
        <f t="shared" ref="G28:G91" si="16">(SUMIF($10:$10,F28,$11:$11)-SUMIF($10:$10,$F$27,$11:$11)+100)/100</f>
        <v>1.0249999999999999</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2840</v>
      </c>
      <c r="Q28" s="14">
        <f t="shared" ref="Q28:Q91" si="21">(SUMIF($20:$20,P28,$21:$21)-SUMIF($20:$20,$P$27,$21:$21)+100)/100</f>
        <v>1</v>
      </c>
      <c r="R28" s="703">
        <f ca="1">IF(B28="",0,ROUND($R$27*C28*E28*G28*I28*K28*M28*O28*Q28,0))</f>
        <v>9729</v>
      </c>
      <c r="S28" s="334">
        <f ca="1">ROUND(R28*B28,0)</f>
        <v>1080114</v>
      </c>
      <c r="T28" s="1182">
        <f ca="1">ROUND(R28*B28/10000,0)</f>
        <v>108</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0.04</v>
      </c>
      <c r="F29" s="707"/>
      <c r="G29" s="14">
        <f t="shared" si="16"/>
        <v>0.03</v>
      </c>
      <c r="H29" s="707"/>
      <c r="I29" s="14">
        <f t="shared" si="17"/>
        <v>1</v>
      </c>
      <c r="J29" s="707"/>
      <c r="K29" s="14">
        <f t="shared" si="18"/>
        <v>1</v>
      </c>
      <c r="L29" s="707"/>
      <c r="M29" s="14">
        <f t="shared" si="19"/>
        <v>1</v>
      </c>
      <c r="N29" s="707"/>
      <c r="O29" s="14">
        <f t="shared" si="20"/>
        <v>1</v>
      </c>
      <c r="P29" s="707"/>
      <c r="Q29" s="14">
        <f t="shared" si="21"/>
        <v>-0.02</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0.04</v>
      </c>
      <c r="F30" s="707"/>
      <c r="G30" s="14">
        <f t="shared" si="16"/>
        <v>0.03</v>
      </c>
      <c r="H30" s="707"/>
      <c r="I30" s="14">
        <f t="shared" si="17"/>
        <v>1</v>
      </c>
      <c r="J30" s="707"/>
      <c r="K30" s="14">
        <f t="shared" si="18"/>
        <v>1</v>
      </c>
      <c r="L30" s="707"/>
      <c r="M30" s="14">
        <f t="shared" si="19"/>
        <v>1</v>
      </c>
      <c r="N30" s="707"/>
      <c r="O30" s="14">
        <f t="shared" si="20"/>
        <v>1</v>
      </c>
      <c r="P30" s="707"/>
      <c r="Q30" s="14">
        <f t="shared" si="21"/>
        <v>-0.02</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0.04</v>
      </c>
      <c r="F31" s="707"/>
      <c r="G31" s="14">
        <f t="shared" si="16"/>
        <v>0.03</v>
      </c>
      <c r="H31" s="707"/>
      <c r="I31" s="14">
        <f t="shared" si="17"/>
        <v>1</v>
      </c>
      <c r="J31" s="707"/>
      <c r="K31" s="14">
        <f t="shared" si="18"/>
        <v>1</v>
      </c>
      <c r="L31" s="707"/>
      <c r="M31" s="14">
        <f t="shared" si="19"/>
        <v>1</v>
      </c>
      <c r="N31" s="707"/>
      <c r="O31" s="14">
        <f t="shared" si="20"/>
        <v>1</v>
      </c>
      <c r="P31" s="707"/>
      <c r="Q31" s="14">
        <f t="shared" si="21"/>
        <v>-0.02</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0.04</v>
      </c>
      <c r="F32" s="707"/>
      <c r="G32" s="14">
        <f t="shared" si="16"/>
        <v>0.03</v>
      </c>
      <c r="H32" s="707"/>
      <c r="I32" s="14">
        <f t="shared" si="17"/>
        <v>1</v>
      </c>
      <c r="J32" s="707"/>
      <c r="K32" s="14">
        <f t="shared" si="18"/>
        <v>1</v>
      </c>
      <c r="L32" s="707"/>
      <c r="M32" s="14">
        <f t="shared" si="19"/>
        <v>1</v>
      </c>
      <c r="N32" s="707"/>
      <c r="O32" s="14">
        <f t="shared" si="20"/>
        <v>1</v>
      </c>
      <c r="P32" s="707"/>
      <c r="Q32" s="14">
        <f t="shared" si="21"/>
        <v>-0.02</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0.04</v>
      </c>
      <c r="F33" s="707"/>
      <c r="G33" s="14">
        <f t="shared" si="16"/>
        <v>0.03</v>
      </c>
      <c r="H33" s="707"/>
      <c r="I33" s="14">
        <f t="shared" si="17"/>
        <v>1</v>
      </c>
      <c r="J33" s="707"/>
      <c r="K33" s="14">
        <f t="shared" si="18"/>
        <v>1</v>
      </c>
      <c r="L33" s="707"/>
      <c r="M33" s="14">
        <f t="shared" si="19"/>
        <v>1</v>
      </c>
      <c r="N33" s="707"/>
      <c r="O33" s="14">
        <f t="shared" si="20"/>
        <v>1</v>
      </c>
      <c r="P33" s="707"/>
      <c r="Q33" s="14">
        <f t="shared" si="21"/>
        <v>-0.02</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0.04</v>
      </c>
      <c r="F34" s="707"/>
      <c r="G34" s="14">
        <f t="shared" si="16"/>
        <v>0.03</v>
      </c>
      <c r="H34" s="707"/>
      <c r="I34" s="14">
        <f t="shared" si="17"/>
        <v>1</v>
      </c>
      <c r="J34" s="707"/>
      <c r="K34" s="14">
        <f t="shared" si="18"/>
        <v>1</v>
      </c>
      <c r="L34" s="707"/>
      <c r="M34" s="14">
        <f t="shared" si="19"/>
        <v>1</v>
      </c>
      <c r="N34" s="707"/>
      <c r="O34" s="14">
        <f t="shared" si="20"/>
        <v>1</v>
      </c>
      <c r="P34" s="707"/>
      <c r="Q34" s="14">
        <f t="shared" si="21"/>
        <v>-0.02</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0.04</v>
      </c>
      <c r="F35" s="707"/>
      <c r="G35" s="14">
        <f t="shared" si="16"/>
        <v>0.03</v>
      </c>
      <c r="H35" s="707"/>
      <c r="I35" s="14">
        <f t="shared" si="17"/>
        <v>1</v>
      </c>
      <c r="J35" s="707"/>
      <c r="K35" s="14">
        <f t="shared" si="18"/>
        <v>1</v>
      </c>
      <c r="L35" s="707"/>
      <c r="M35" s="14">
        <f t="shared" si="19"/>
        <v>1</v>
      </c>
      <c r="N35" s="707"/>
      <c r="O35" s="14">
        <f t="shared" si="20"/>
        <v>1</v>
      </c>
      <c r="P35" s="707"/>
      <c r="Q35" s="14">
        <f t="shared" si="21"/>
        <v>-0.02</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0.04</v>
      </c>
      <c r="F36" s="707"/>
      <c r="G36" s="14">
        <f t="shared" si="16"/>
        <v>0.03</v>
      </c>
      <c r="H36" s="707"/>
      <c r="I36" s="14">
        <f t="shared" si="17"/>
        <v>1</v>
      </c>
      <c r="J36" s="707"/>
      <c r="K36" s="14">
        <f t="shared" si="18"/>
        <v>1</v>
      </c>
      <c r="L36" s="707"/>
      <c r="M36" s="14">
        <f t="shared" si="19"/>
        <v>1</v>
      </c>
      <c r="N36" s="707"/>
      <c r="O36" s="14">
        <f t="shared" si="20"/>
        <v>1</v>
      </c>
      <c r="P36" s="707"/>
      <c r="Q36" s="14">
        <f t="shared" si="21"/>
        <v>-0.02</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0.04</v>
      </c>
      <c r="F37" s="707"/>
      <c r="G37" s="14">
        <f t="shared" si="16"/>
        <v>0.03</v>
      </c>
      <c r="H37" s="707"/>
      <c r="I37" s="14">
        <f t="shared" si="17"/>
        <v>1</v>
      </c>
      <c r="J37" s="707"/>
      <c r="K37" s="14">
        <f t="shared" si="18"/>
        <v>1</v>
      </c>
      <c r="L37" s="707"/>
      <c r="M37" s="14">
        <f t="shared" si="19"/>
        <v>1</v>
      </c>
      <c r="N37" s="707"/>
      <c r="O37" s="14">
        <f t="shared" si="20"/>
        <v>1</v>
      </c>
      <c r="P37" s="707"/>
      <c r="Q37" s="14">
        <f t="shared" si="21"/>
        <v>-0.02</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0.04</v>
      </c>
      <c r="F38" s="707"/>
      <c r="G38" s="14">
        <f t="shared" si="16"/>
        <v>0.03</v>
      </c>
      <c r="H38" s="707"/>
      <c r="I38" s="14">
        <f t="shared" si="17"/>
        <v>1</v>
      </c>
      <c r="J38" s="707"/>
      <c r="K38" s="14">
        <f t="shared" si="18"/>
        <v>1</v>
      </c>
      <c r="L38" s="707"/>
      <c r="M38" s="14">
        <f t="shared" si="19"/>
        <v>1</v>
      </c>
      <c r="N38" s="707"/>
      <c r="O38" s="14">
        <f t="shared" si="20"/>
        <v>1</v>
      </c>
      <c r="P38" s="707"/>
      <c r="Q38" s="14">
        <f t="shared" si="21"/>
        <v>-0.02</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0.04</v>
      </c>
      <c r="F39" s="707"/>
      <c r="G39" s="14">
        <f t="shared" si="16"/>
        <v>0.03</v>
      </c>
      <c r="H39" s="707"/>
      <c r="I39" s="14">
        <f t="shared" si="17"/>
        <v>1</v>
      </c>
      <c r="J39" s="707"/>
      <c r="K39" s="14">
        <f t="shared" si="18"/>
        <v>1</v>
      </c>
      <c r="L39" s="707"/>
      <c r="M39" s="14">
        <f t="shared" si="19"/>
        <v>1</v>
      </c>
      <c r="N39" s="707"/>
      <c r="O39" s="14">
        <f t="shared" si="20"/>
        <v>1</v>
      </c>
      <c r="P39" s="707"/>
      <c r="Q39" s="14">
        <f t="shared" si="21"/>
        <v>-0.02</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0.04</v>
      </c>
      <c r="F40" s="707"/>
      <c r="G40" s="14">
        <f t="shared" si="16"/>
        <v>0.03</v>
      </c>
      <c r="H40" s="707"/>
      <c r="I40" s="14">
        <f t="shared" si="17"/>
        <v>1</v>
      </c>
      <c r="J40" s="707"/>
      <c r="K40" s="14">
        <f t="shared" si="18"/>
        <v>1</v>
      </c>
      <c r="L40" s="707"/>
      <c r="M40" s="14">
        <f t="shared" si="19"/>
        <v>1</v>
      </c>
      <c r="N40" s="707"/>
      <c r="O40" s="14">
        <f t="shared" si="20"/>
        <v>1</v>
      </c>
      <c r="P40" s="707"/>
      <c r="Q40" s="14">
        <f t="shared" si="21"/>
        <v>-0.02</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0.04</v>
      </c>
      <c r="F41" s="707"/>
      <c r="G41" s="14">
        <f t="shared" si="16"/>
        <v>0.03</v>
      </c>
      <c r="H41" s="707"/>
      <c r="I41" s="14">
        <f t="shared" si="17"/>
        <v>1</v>
      </c>
      <c r="J41" s="707"/>
      <c r="K41" s="14">
        <f t="shared" si="18"/>
        <v>1</v>
      </c>
      <c r="L41" s="707"/>
      <c r="M41" s="14">
        <f t="shared" si="19"/>
        <v>1</v>
      </c>
      <c r="N41" s="707"/>
      <c r="O41" s="14">
        <f t="shared" si="20"/>
        <v>1</v>
      </c>
      <c r="P41" s="707"/>
      <c r="Q41" s="14">
        <f t="shared" si="21"/>
        <v>-0.02</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0.04</v>
      </c>
      <c r="F42" s="707"/>
      <c r="G42" s="14">
        <f t="shared" si="16"/>
        <v>0.03</v>
      </c>
      <c r="H42" s="707"/>
      <c r="I42" s="14">
        <f t="shared" si="17"/>
        <v>1</v>
      </c>
      <c r="J42" s="707"/>
      <c r="K42" s="14">
        <f t="shared" si="18"/>
        <v>1</v>
      </c>
      <c r="L42" s="707"/>
      <c r="M42" s="14">
        <f t="shared" si="19"/>
        <v>1</v>
      </c>
      <c r="N42" s="707"/>
      <c r="O42" s="14">
        <f t="shared" si="20"/>
        <v>1</v>
      </c>
      <c r="P42" s="707"/>
      <c r="Q42" s="14">
        <f t="shared" si="21"/>
        <v>-0.02</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0.04</v>
      </c>
      <c r="F43" s="707"/>
      <c r="G43" s="14">
        <f t="shared" si="16"/>
        <v>0.03</v>
      </c>
      <c r="H43" s="707"/>
      <c r="I43" s="14">
        <f t="shared" si="17"/>
        <v>1</v>
      </c>
      <c r="J43" s="707"/>
      <c r="K43" s="14">
        <f t="shared" si="18"/>
        <v>1</v>
      </c>
      <c r="L43" s="707"/>
      <c r="M43" s="14">
        <f t="shared" si="19"/>
        <v>1</v>
      </c>
      <c r="N43" s="707"/>
      <c r="O43" s="14">
        <f t="shared" si="20"/>
        <v>1</v>
      </c>
      <c r="P43" s="707"/>
      <c r="Q43" s="14">
        <f t="shared" si="21"/>
        <v>-0.02</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0.04</v>
      </c>
      <c r="F44" s="707"/>
      <c r="G44" s="14">
        <f t="shared" si="16"/>
        <v>0.03</v>
      </c>
      <c r="H44" s="707"/>
      <c r="I44" s="14">
        <f t="shared" si="17"/>
        <v>1</v>
      </c>
      <c r="J44" s="707"/>
      <c r="K44" s="14">
        <f t="shared" si="18"/>
        <v>1</v>
      </c>
      <c r="L44" s="707"/>
      <c r="M44" s="14">
        <f t="shared" si="19"/>
        <v>1</v>
      </c>
      <c r="N44" s="707"/>
      <c r="O44" s="14">
        <f t="shared" si="20"/>
        <v>1</v>
      </c>
      <c r="P44" s="707"/>
      <c r="Q44" s="14">
        <f t="shared" si="21"/>
        <v>-0.02</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0.04</v>
      </c>
      <c r="F45" s="707"/>
      <c r="G45" s="14">
        <f t="shared" si="16"/>
        <v>0.03</v>
      </c>
      <c r="H45" s="707"/>
      <c r="I45" s="14">
        <f t="shared" si="17"/>
        <v>1</v>
      </c>
      <c r="J45" s="707"/>
      <c r="K45" s="14">
        <f t="shared" si="18"/>
        <v>1</v>
      </c>
      <c r="L45" s="707"/>
      <c r="M45" s="14">
        <f t="shared" si="19"/>
        <v>1</v>
      </c>
      <c r="N45" s="707"/>
      <c r="O45" s="14">
        <f t="shared" si="20"/>
        <v>1</v>
      </c>
      <c r="P45" s="707"/>
      <c r="Q45" s="14">
        <f t="shared" si="21"/>
        <v>-0.02</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0.04</v>
      </c>
      <c r="F46" s="707"/>
      <c r="G46" s="14">
        <f t="shared" si="16"/>
        <v>0.03</v>
      </c>
      <c r="H46" s="707"/>
      <c r="I46" s="14">
        <f t="shared" si="17"/>
        <v>1</v>
      </c>
      <c r="J46" s="707"/>
      <c r="K46" s="14">
        <f t="shared" si="18"/>
        <v>1</v>
      </c>
      <c r="L46" s="707"/>
      <c r="M46" s="14">
        <f t="shared" si="19"/>
        <v>1</v>
      </c>
      <c r="N46" s="707"/>
      <c r="O46" s="14">
        <f t="shared" si="20"/>
        <v>1</v>
      </c>
      <c r="P46" s="707"/>
      <c r="Q46" s="14">
        <f t="shared" si="21"/>
        <v>-0.02</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0.04</v>
      </c>
      <c r="F47" s="707"/>
      <c r="G47" s="14">
        <f t="shared" si="16"/>
        <v>0.03</v>
      </c>
      <c r="H47" s="707"/>
      <c r="I47" s="14">
        <f t="shared" si="17"/>
        <v>1</v>
      </c>
      <c r="J47" s="707"/>
      <c r="K47" s="14">
        <f t="shared" si="18"/>
        <v>1</v>
      </c>
      <c r="L47" s="707"/>
      <c r="M47" s="14">
        <f t="shared" si="19"/>
        <v>1</v>
      </c>
      <c r="N47" s="707"/>
      <c r="O47" s="14">
        <f t="shared" si="20"/>
        <v>1</v>
      </c>
      <c r="P47" s="707"/>
      <c r="Q47" s="14">
        <f t="shared" si="21"/>
        <v>-0.02</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0.04</v>
      </c>
      <c r="F48" s="707"/>
      <c r="G48" s="14">
        <f t="shared" si="16"/>
        <v>0.03</v>
      </c>
      <c r="H48" s="707"/>
      <c r="I48" s="14">
        <f t="shared" si="17"/>
        <v>1</v>
      </c>
      <c r="J48" s="707"/>
      <c r="K48" s="14">
        <f t="shared" si="18"/>
        <v>1</v>
      </c>
      <c r="L48" s="707"/>
      <c r="M48" s="14">
        <f t="shared" si="19"/>
        <v>1</v>
      </c>
      <c r="N48" s="707"/>
      <c r="O48" s="14">
        <f t="shared" si="20"/>
        <v>1</v>
      </c>
      <c r="P48" s="707"/>
      <c r="Q48" s="14">
        <f t="shared" si="21"/>
        <v>-0.02</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0.04</v>
      </c>
      <c r="F49" s="707"/>
      <c r="G49" s="14">
        <f t="shared" si="16"/>
        <v>0.03</v>
      </c>
      <c r="H49" s="707"/>
      <c r="I49" s="14">
        <f t="shared" si="17"/>
        <v>1</v>
      </c>
      <c r="J49" s="707"/>
      <c r="K49" s="14">
        <f t="shared" si="18"/>
        <v>1</v>
      </c>
      <c r="L49" s="707"/>
      <c r="M49" s="14">
        <f t="shared" si="19"/>
        <v>1</v>
      </c>
      <c r="N49" s="707"/>
      <c r="O49" s="14">
        <f t="shared" si="20"/>
        <v>1</v>
      </c>
      <c r="P49" s="707"/>
      <c r="Q49" s="14">
        <f t="shared" si="21"/>
        <v>-0.02</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0.04</v>
      </c>
      <c r="F50" s="707"/>
      <c r="G50" s="14">
        <f t="shared" si="16"/>
        <v>0.03</v>
      </c>
      <c r="H50" s="707"/>
      <c r="I50" s="14">
        <f t="shared" si="17"/>
        <v>1</v>
      </c>
      <c r="J50" s="707"/>
      <c r="K50" s="14">
        <f t="shared" si="18"/>
        <v>1</v>
      </c>
      <c r="L50" s="707"/>
      <c r="M50" s="14">
        <f t="shared" si="19"/>
        <v>1</v>
      </c>
      <c r="N50" s="707"/>
      <c r="O50" s="14">
        <f t="shared" si="20"/>
        <v>1</v>
      </c>
      <c r="P50" s="707"/>
      <c r="Q50" s="14">
        <f t="shared" si="21"/>
        <v>-0.02</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0.04</v>
      </c>
      <c r="F51" s="707"/>
      <c r="G51" s="14">
        <f t="shared" si="16"/>
        <v>0.03</v>
      </c>
      <c r="H51" s="707"/>
      <c r="I51" s="14">
        <f t="shared" si="17"/>
        <v>1</v>
      </c>
      <c r="J51" s="707"/>
      <c r="K51" s="14">
        <f t="shared" si="18"/>
        <v>1</v>
      </c>
      <c r="L51" s="707"/>
      <c r="M51" s="14">
        <f t="shared" si="19"/>
        <v>1</v>
      </c>
      <c r="N51" s="707"/>
      <c r="O51" s="14">
        <f t="shared" si="20"/>
        <v>1</v>
      </c>
      <c r="P51" s="707"/>
      <c r="Q51" s="14">
        <f t="shared" si="21"/>
        <v>-0.02</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0.04</v>
      </c>
      <c r="F52" s="707"/>
      <c r="G52" s="14">
        <f t="shared" si="16"/>
        <v>0.03</v>
      </c>
      <c r="H52" s="707"/>
      <c r="I52" s="14">
        <f t="shared" si="17"/>
        <v>1</v>
      </c>
      <c r="J52" s="707"/>
      <c r="K52" s="14">
        <f t="shared" si="18"/>
        <v>1</v>
      </c>
      <c r="L52" s="707"/>
      <c r="M52" s="14">
        <f t="shared" si="19"/>
        <v>1</v>
      </c>
      <c r="N52" s="707"/>
      <c r="O52" s="14">
        <f t="shared" si="20"/>
        <v>1</v>
      </c>
      <c r="P52" s="707"/>
      <c r="Q52" s="14">
        <f t="shared" si="21"/>
        <v>-0.02</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0.04</v>
      </c>
      <c r="F53" s="707"/>
      <c r="G53" s="14">
        <f t="shared" si="16"/>
        <v>0.03</v>
      </c>
      <c r="H53" s="707"/>
      <c r="I53" s="14">
        <f t="shared" si="17"/>
        <v>1</v>
      </c>
      <c r="J53" s="707"/>
      <c r="K53" s="14">
        <f t="shared" si="18"/>
        <v>1</v>
      </c>
      <c r="L53" s="707"/>
      <c r="M53" s="14">
        <f t="shared" si="19"/>
        <v>1</v>
      </c>
      <c r="N53" s="707"/>
      <c r="O53" s="14">
        <f t="shared" si="20"/>
        <v>1</v>
      </c>
      <c r="P53" s="707"/>
      <c r="Q53" s="14">
        <f t="shared" si="21"/>
        <v>-0.02</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0.04</v>
      </c>
      <c r="F54" s="707"/>
      <c r="G54" s="14">
        <f t="shared" si="16"/>
        <v>0.03</v>
      </c>
      <c r="H54" s="707"/>
      <c r="I54" s="14">
        <f t="shared" si="17"/>
        <v>1</v>
      </c>
      <c r="J54" s="707"/>
      <c r="K54" s="14">
        <f t="shared" si="18"/>
        <v>1</v>
      </c>
      <c r="L54" s="707"/>
      <c r="M54" s="14">
        <f t="shared" si="19"/>
        <v>1</v>
      </c>
      <c r="N54" s="707"/>
      <c r="O54" s="14">
        <f t="shared" si="20"/>
        <v>1</v>
      </c>
      <c r="P54" s="707"/>
      <c r="Q54" s="14">
        <f t="shared" si="21"/>
        <v>-0.02</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0.04</v>
      </c>
      <c r="F55" s="707"/>
      <c r="G55" s="14">
        <f t="shared" si="16"/>
        <v>0.03</v>
      </c>
      <c r="H55" s="707"/>
      <c r="I55" s="14">
        <f t="shared" si="17"/>
        <v>1</v>
      </c>
      <c r="J55" s="707"/>
      <c r="K55" s="14">
        <f t="shared" si="18"/>
        <v>1</v>
      </c>
      <c r="L55" s="707"/>
      <c r="M55" s="14">
        <f t="shared" si="19"/>
        <v>1</v>
      </c>
      <c r="N55" s="707"/>
      <c r="O55" s="14">
        <f t="shared" si="20"/>
        <v>1</v>
      </c>
      <c r="P55" s="707"/>
      <c r="Q55" s="14">
        <f t="shared" si="21"/>
        <v>-0.02</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0.04</v>
      </c>
      <c r="F56" s="707"/>
      <c r="G56" s="14">
        <f t="shared" si="16"/>
        <v>0.03</v>
      </c>
      <c r="H56" s="707"/>
      <c r="I56" s="14">
        <f t="shared" si="17"/>
        <v>1</v>
      </c>
      <c r="J56" s="707"/>
      <c r="K56" s="14">
        <f t="shared" si="18"/>
        <v>1</v>
      </c>
      <c r="L56" s="707"/>
      <c r="M56" s="14">
        <f t="shared" si="19"/>
        <v>1</v>
      </c>
      <c r="N56" s="707"/>
      <c r="O56" s="14">
        <f t="shared" si="20"/>
        <v>1</v>
      </c>
      <c r="P56" s="707"/>
      <c r="Q56" s="14">
        <f t="shared" si="21"/>
        <v>-0.02</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0.04</v>
      </c>
      <c r="F57" s="707"/>
      <c r="G57" s="14">
        <f t="shared" si="16"/>
        <v>0.03</v>
      </c>
      <c r="H57" s="707"/>
      <c r="I57" s="14">
        <f t="shared" si="17"/>
        <v>1</v>
      </c>
      <c r="J57" s="707"/>
      <c r="K57" s="14">
        <f t="shared" si="18"/>
        <v>1</v>
      </c>
      <c r="L57" s="707"/>
      <c r="M57" s="14">
        <f t="shared" si="19"/>
        <v>1</v>
      </c>
      <c r="N57" s="707"/>
      <c r="O57" s="14">
        <f t="shared" si="20"/>
        <v>1</v>
      </c>
      <c r="P57" s="707"/>
      <c r="Q57" s="14">
        <f t="shared" si="21"/>
        <v>-0.02</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0.04</v>
      </c>
      <c r="F58" s="707"/>
      <c r="G58" s="14">
        <f t="shared" si="16"/>
        <v>0.03</v>
      </c>
      <c r="H58" s="707"/>
      <c r="I58" s="14">
        <f t="shared" si="17"/>
        <v>1</v>
      </c>
      <c r="J58" s="707"/>
      <c r="K58" s="14">
        <f t="shared" si="18"/>
        <v>1</v>
      </c>
      <c r="L58" s="707"/>
      <c r="M58" s="14">
        <f t="shared" si="19"/>
        <v>1</v>
      </c>
      <c r="N58" s="707"/>
      <c r="O58" s="14">
        <f t="shared" si="20"/>
        <v>1</v>
      </c>
      <c r="P58" s="707"/>
      <c r="Q58" s="14">
        <f t="shared" si="21"/>
        <v>-0.02</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0.04</v>
      </c>
      <c r="F59" s="707"/>
      <c r="G59" s="14">
        <f t="shared" si="16"/>
        <v>0.03</v>
      </c>
      <c r="H59" s="707"/>
      <c r="I59" s="14">
        <f t="shared" si="17"/>
        <v>1</v>
      </c>
      <c r="J59" s="707"/>
      <c r="K59" s="14">
        <f t="shared" si="18"/>
        <v>1</v>
      </c>
      <c r="L59" s="707"/>
      <c r="M59" s="14">
        <f t="shared" si="19"/>
        <v>1</v>
      </c>
      <c r="N59" s="707"/>
      <c r="O59" s="14">
        <f t="shared" si="20"/>
        <v>1</v>
      </c>
      <c r="P59" s="707"/>
      <c r="Q59" s="14">
        <f t="shared" si="21"/>
        <v>-0.02</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0.04</v>
      </c>
      <c r="F60" s="707"/>
      <c r="G60" s="14">
        <f t="shared" si="16"/>
        <v>0.03</v>
      </c>
      <c r="H60" s="707"/>
      <c r="I60" s="14">
        <f t="shared" si="17"/>
        <v>1</v>
      </c>
      <c r="J60" s="707"/>
      <c r="K60" s="14">
        <f t="shared" si="18"/>
        <v>1</v>
      </c>
      <c r="L60" s="707"/>
      <c r="M60" s="14">
        <f t="shared" si="19"/>
        <v>1</v>
      </c>
      <c r="N60" s="707"/>
      <c r="O60" s="14">
        <f t="shared" si="20"/>
        <v>1</v>
      </c>
      <c r="P60" s="707"/>
      <c r="Q60" s="14">
        <f t="shared" si="21"/>
        <v>-0.02</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0.04</v>
      </c>
      <c r="F61" s="707"/>
      <c r="G61" s="14">
        <f t="shared" si="16"/>
        <v>0.03</v>
      </c>
      <c r="H61" s="707"/>
      <c r="I61" s="14">
        <f t="shared" si="17"/>
        <v>1</v>
      </c>
      <c r="J61" s="707"/>
      <c r="K61" s="14">
        <f t="shared" si="18"/>
        <v>1</v>
      </c>
      <c r="L61" s="707"/>
      <c r="M61" s="14">
        <f t="shared" si="19"/>
        <v>1</v>
      </c>
      <c r="N61" s="707"/>
      <c r="O61" s="14">
        <f t="shared" si="20"/>
        <v>1</v>
      </c>
      <c r="P61" s="707"/>
      <c r="Q61" s="14">
        <f t="shared" si="21"/>
        <v>-0.02</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0.04</v>
      </c>
      <c r="F62" s="707"/>
      <c r="G62" s="14">
        <f t="shared" si="16"/>
        <v>0.03</v>
      </c>
      <c r="H62" s="707"/>
      <c r="I62" s="14">
        <f t="shared" si="17"/>
        <v>1</v>
      </c>
      <c r="J62" s="707"/>
      <c r="K62" s="14">
        <f t="shared" si="18"/>
        <v>1</v>
      </c>
      <c r="L62" s="707"/>
      <c r="M62" s="14">
        <f t="shared" si="19"/>
        <v>1</v>
      </c>
      <c r="N62" s="707"/>
      <c r="O62" s="14">
        <f t="shared" si="20"/>
        <v>1</v>
      </c>
      <c r="P62" s="707"/>
      <c r="Q62" s="14">
        <f t="shared" si="21"/>
        <v>-0.02</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0.04</v>
      </c>
      <c r="F63" s="707"/>
      <c r="G63" s="14">
        <f t="shared" si="16"/>
        <v>0.03</v>
      </c>
      <c r="H63" s="707"/>
      <c r="I63" s="14">
        <f t="shared" si="17"/>
        <v>1</v>
      </c>
      <c r="J63" s="707"/>
      <c r="K63" s="14">
        <f t="shared" si="18"/>
        <v>1</v>
      </c>
      <c r="L63" s="707"/>
      <c r="M63" s="14">
        <f t="shared" si="19"/>
        <v>1</v>
      </c>
      <c r="N63" s="707"/>
      <c r="O63" s="14">
        <f t="shared" si="20"/>
        <v>1</v>
      </c>
      <c r="P63" s="707"/>
      <c r="Q63" s="14">
        <f t="shared" si="21"/>
        <v>-0.02</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0.04</v>
      </c>
      <c r="F64" s="707"/>
      <c r="G64" s="14">
        <f t="shared" si="16"/>
        <v>0.03</v>
      </c>
      <c r="H64" s="707"/>
      <c r="I64" s="14">
        <f t="shared" si="17"/>
        <v>1</v>
      </c>
      <c r="J64" s="707"/>
      <c r="K64" s="14">
        <f t="shared" si="18"/>
        <v>1</v>
      </c>
      <c r="L64" s="707"/>
      <c r="M64" s="14">
        <f t="shared" si="19"/>
        <v>1</v>
      </c>
      <c r="N64" s="707"/>
      <c r="O64" s="14">
        <f t="shared" si="20"/>
        <v>1</v>
      </c>
      <c r="P64" s="707"/>
      <c r="Q64" s="14">
        <f t="shared" si="21"/>
        <v>-0.02</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0.04</v>
      </c>
      <c r="F65" s="707"/>
      <c r="G65" s="14">
        <f t="shared" si="16"/>
        <v>0.03</v>
      </c>
      <c r="H65" s="707"/>
      <c r="I65" s="14">
        <f t="shared" si="17"/>
        <v>1</v>
      </c>
      <c r="J65" s="707"/>
      <c r="K65" s="14">
        <f t="shared" si="18"/>
        <v>1</v>
      </c>
      <c r="L65" s="707"/>
      <c r="M65" s="14">
        <f t="shared" si="19"/>
        <v>1</v>
      </c>
      <c r="N65" s="707"/>
      <c r="O65" s="14">
        <f t="shared" si="20"/>
        <v>1</v>
      </c>
      <c r="P65" s="707"/>
      <c r="Q65" s="14">
        <f t="shared" si="21"/>
        <v>-0.02</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0.04</v>
      </c>
      <c r="F66" s="707"/>
      <c r="G66" s="14">
        <f t="shared" si="16"/>
        <v>0.03</v>
      </c>
      <c r="H66" s="707"/>
      <c r="I66" s="14">
        <f t="shared" si="17"/>
        <v>1</v>
      </c>
      <c r="J66" s="707"/>
      <c r="K66" s="14">
        <f t="shared" si="18"/>
        <v>1</v>
      </c>
      <c r="L66" s="707"/>
      <c r="M66" s="14">
        <f t="shared" si="19"/>
        <v>1</v>
      </c>
      <c r="N66" s="707"/>
      <c r="O66" s="14">
        <f t="shared" si="20"/>
        <v>1</v>
      </c>
      <c r="P66" s="707"/>
      <c r="Q66" s="14">
        <f t="shared" si="21"/>
        <v>-0.02</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0.04</v>
      </c>
      <c r="F67" s="707"/>
      <c r="G67" s="14">
        <f t="shared" si="16"/>
        <v>0.03</v>
      </c>
      <c r="H67" s="707"/>
      <c r="I67" s="14">
        <f t="shared" si="17"/>
        <v>1</v>
      </c>
      <c r="J67" s="707"/>
      <c r="K67" s="14">
        <f t="shared" si="18"/>
        <v>1</v>
      </c>
      <c r="L67" s="707"/>
      <c r="M67" s="14">
        <f t="shared" si="19"/>
        <v>1</v>
      </c>
      <c r="N67" s="707"/>
      <c r="O67" s="14">
        <f t="shared" si="20"/>
        <v>1</v>
      </c>
      <c r="P67" s="707"/>
      <c r="Q67" s="14">
        <f t="shared" si="21"/>
        <v>-0.02</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0.04</v>
      </c>
      <c r="F68" s="707"/>
      <c r="G68" s="14">
        <f t="shared" si="16"/>
        <v>0.03</v>
      </c>
      <c r="H68" s="707"/>
      <c r="I68" s="14">
        <f t="shared" si="17"/>
        <v>1</v>
      </c>
      <c r="J68" s="707"/>
      <c r="K68" s="14">
        <f t="shared" si="18"/>
        <v>1</v>
      </c>
      <c r="L68" s="707"/>
      <c r="M68" s="14">
        <f t="shared" si="19"/>
        <v>1</v>
      </c>
      <c r="N68" s="707"/>
      <c r="O68" s="14">
        <f t="shared" si="20"/>
        <v>1</v>
      </c>
      <c r="P68" s="707"/>
      <c r="Q68" s="14">
        <f t="shared" si="21"/>
        <v>-0.02</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0.04</v>
      </c>
      <c r="F69" s="707"/>
      <c r="G69" s="14">
        <f t="shared" si="16"/>
        <v>0.03</v>
      </c>
      <c r="H69" s="707"/>
      <c r="I69" s="14">
        <f t="shared" si="17"/>
        <v>1</v>
      </c>
      <c r="J69" s="707"/>
      <c r="K69" s="14">
        <f t="shared" si="18"/>
        <v>1</v>
      </c>
      <c r="L69" s="707"/>
      <c r="M69" s="14">
        <f t="shared" si="19"/>
        <v>1</v>
      </c>
      <c r="N69" s="707"/>
      <c r="O69" s="14">
        <f t="shared" si="20"/>
        <v>1</v>
      </c>
      <c r="P69" s="707"/>
      <c r="Q69" s="14">
        <f t="shared" si="21"/>
        <v>-0.02</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0.04</v>
      </c>
      <c r="F70" s="707"/>
      <c r="G70" s="14">
        <f t="shared" si="16"/>
        <v>0.03</v>
      </c>
      <c r="H70" s="707"/>
      <c r="I70" s="14">
        <f t="shared" si="17"/>
        <v>1</v>
      </c>
      <c r="J70" s="707"/>
      <c r="K70" s="14">
        <f t="shared" si="18"/>
        <v>1</v>
      </c>
      <c r="L70" s="707"/>
      <c r="M70" s="14">
        <f t="shared" si="19"/>
        <v>1</v>
      </c>
      <c r="N70" s="707"/>
      <c r="O70" s="14">
        <f t="shared" si="20"/>
        <v>1</v>
      </c>
      <c r="P70" s="707"/>
      <c r="Q70" s="14">
        <f t="shared" si="21"/>
        <v>-0.02</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0.04</v>
      </c>
      <c r="F71" s="707"/>
      <c r="G71" s="14">
        <f t="shared" si="16"/>
        <v>0.03</v>
      </c>
      <c r="H71" s="707"/>
      <c r="I71" s="14">
        <f t="shared" si="17"/>
        <v>1</v>
      </c>
      <c r="J71" s="707"/>
      <c r="K71" s="14">
        <f t="shared" si="18"/>
        <v>1</v>
      </c>
      <c r="L71" s="707"/>
      <c r="M71" s="14">
        <f t="shared" si="19"/>
        <v>1</v>
      </c>
      <c r="N71" s="707"/>
      <c r="O71" s="14">
        <f t="shared" si="20"/>
        <v>1</v>
      </c>
      <c r="P71" s="707"/>
      <c r="Q71" s="14">
        <f t="shared" si="21"/>
        <v>-0.02</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0.04</v>
      </c>
      <c r="F72" s="707"/>
      <c r="G72" s="14">
        <f t="shared" si="16"/>
        <v>0.03</v>
      </c>
      <c r="H72" s="707"/>
      <c r="I72" s="14">
        <f t="shared" si="17"/>
        <v>1</v>
      </c>
      <c r="J72" s="707"/>
      <c r="K72" s="14">
        <f t="shared" si="18"/>
        <v>1</v>
      </c>
      <c r="L72" s="707"/>
      <c r="M72" s="14">
        <f t="shared" si="19"/>
        <v>1</v>
      </c>
      <c r="N72" s="707"/>
      <c r="O72" s="14">
        <f t="shared" si="20"/>
        <v>1</v>
      </c>
      <c r="P72" s="707"/>
      <c r="Q72" s="14">
        <f t="shared" si="21"/>
        <v>-0.02</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0.04</v>
      </c>
      <c r="F73" s="707"/>
      <c r="G73" s="14">
        <f t="shared" si="16"/>
        <v>0.03</v>
      </c>
      <c r="H73" s="707"/>
      <c r="I73" s="14">
        <f t="shared" si="17"/>
        <v>1</v>
      </c>
      <c r="J73" s="707"/>
      <c r="K73" s="14">
        <f t="shared" si="18"/>
        <v>1</v>
      </c>
      <c r="L73" s="707"/>
      <c r="M73" s="14">
        <f t="shared" si="19"/>
        <v>1</v>
      </c>
      <c r="N73" s="707"/>
      <c r="O73" s="14">
        <f t="shared" si="20"/>
        <v>1</v>
      </c>
      <c r="P73" s="707"/>
      <c r="Q73" s="14">
        <f t="shared" si="21"/>
        <v>-0.02</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0.04</v>
      </c>
      <c r="F74" s="707"/>
      <c r="G74" s="14">
        <f t="shared" si="16"/>
        <v>0.03</v>
      </c>
      <c r="H74" s="707"/>
      <c r="I74" s="14">
        <f t="shared" si="17"/>
        <v>1</v>
      </c>
      <c r="J74" s="707"/>
      <c r="K74" s="14">
        <f t="shared" si="18"/>
        <v>1</v>
      </c>
      <c r="L74" s="707"/>
      <c r="M74" s="14">
        <f t="shared" si="19"/>
        <v>1</v>
      </c>
      <c r="N74" s="707"/>
      <c r="O74" s="14">
        <f t="shared" si="20"/>
        <v>1</v>
      </c>
      <c r="P74" s="707"/>
      <c r="Q74" s="14">
        <f t="shared" si="21"/>
        <v>-0.02</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0.04</v>
      </c>
      <c r="F75" s="707"/>
      <c r="G75" s="14">
        <f t="shared" si="16"/>
        <v>0.03</v>
      </c>
      <c r="H75" s="707"/>
      <c r="I75" s="14">
        <f t="shared" si="17"/>
        <v>1</v>
      </c>
      <c r="J75" s="707"/>
      <c r="K75" s="14">
        <f t="shared" si="18"/>
        <v>1</v>
      </c>
      <c r="L75" s="707"/>
      <c r="M75" s="14">
        <f t="shared" si="19"/>
        <v>1</v>
      </c>
      <c r="N75" s="707"/>
      <c r="O75" s="14">
        <f t="shared" si="20"/>
        <v>1</v>
      </c>
      <c r="P75" s="707"/>
      <c r="Q75" s="14">
        <f t="shared" si="21"/>
        <v>-0.02</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0.04</v>
      </c>
      <c r="F76" s="707"/>
      <c r="G76" s="14">
        <f t="shared" si="16"/>
        <v>0.03</v>
      </c>
      <c r="H76" s="707"/>
      <c r="I76" s="14">
        <f t="shared" si="17"/>
        <v>1</v>
      </c>
      <c r="J76" s="707"/>
      <c r="K76" s="14">
        <f t="shared" si="18"/>
        <v>1</v>
      </c>
      <c r="L76" s="707"/>
      <c r="M76" s="14">
        <f t="shared" si="19"/>
        <v>1</v>
      </c>
      <c r="N76" s="707"/>
      <c r="O76" s="14">
        <f t="shared" si="20"/>
        <v>1</v>
      </c>
      <c r="P76" s="707"/>
      <c r="Q76" s="14">
        <f t="shared" si="21"/>
        <v>-0.02</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0.04</v>
      </c>
      <c r="F77" s="707"/>
      <c r="G77" s="14">
        <f t="shared" si="16"/>
        <v>0.03</v>
      </c>
      <c r="H77" s="707"/>
      <c r="I77" s="14">
        <f t="shared" si="17"/>
        <v>1</v>
      </c>
      <c r="J77" s="707"/>
      <c r="K77" s="14">
        <f t="shared" si="18"/>
        <v>1</v>
      </c>
      <c r="L77" s="707"/>
      <c r="M77" s="14">
        <f t="shared" si="19"/>
        <v>1</v>
      </c>
      <c r="N77" s="707"/>
      <c r="O77" s="14">
        <f t="shared" si="20"/>
        <v>1</v>
      </c>
      <c r="P77" s="707"/>
      <c r="Q77" s="14">
        <f t="shared" si="21"/>
        <v>-0.02</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0.04</v>
      </c>
      <c r="F78" s="707"/>
      <c r="G78" s="14">
        <f t="shared" si="16"/>
        <v>0.03</v>
      </c>
      <c r="H78" s="707"/>
      <c r="I78" s="14">
        <f t="shared" si="17"/>
        <v>1</v>
      </c>
      <c r="J78" s="707"/>
      <c r="K78" s="14">
        <f t="shared" si="18"/>
        <v>1</v>
      </c>
      <c r="L78" s="707"/>
      <c r="M78" s="14">
        <f t="shared" si="19"/>
        <v>1</v>
      </c>
      <c r="N78" s="707"/>
      <c r="O78" s="14">
        <f t="shared" si="20"/>
        <v>1</v>
      </c>
      <c r="P78" s="707"/>
      <c r="Q78" s="14">
        <f t="shared" si="21"/>
        <v>-0.02</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0.04</v>
      </c>
      <c r="F79" s="707"/>
      <c r="G79" s="14">
        <f t="shared" si="16"/>
        <v>0.03</v>
      </c>
      <c r="H79" s="707"/>
      <c r="I79" s="14">
        <f t="shared" si="17"/>
        <v>1</v>
      </c>
      <c r="J79" s="707"/>
      <c r="K79" s="14">
        <f t="shared" si="18"/>
        <v>1</v>
      </c>
      <c r="L79" s="707"/>
      <c r="M79" s="14">
        <f t="shared" si="19"/>
        <v>1</v>
      </c>
      <c r="N79" s="707"/>
      <c r="O79" s="14">
        <f t="shared" si="20"/>
        <v>1</v>
      </c>
      <c r="P79" s="707"/>
      <c r="Q79" s="14">
        <f t="shared" si="21"/>
        <v>-0.02</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0.04</v>
      </c>
      <c r="F80" s="707"/>
      <c r="G80" s="14">
        <f t="shared" si="16"/>
        <v>0.03</v>
      </c>
      <c r="H80" s="707"/>
      <c r="I80" s="14">
        <f t="shared" si="17"/>
        <v>1</v>
      </c>
      <c r="J80" s="707"/>
      <c r="K80" s="14">
        <f t="shared" si="18"/>
        <v>1</v>
      </c>
      <c r="L80" s="707"/>
      <c r="M80" s="14">
        <f t="shared" si="19"/>
        <v>1</v>
      </c>
      <c r="N80" s="707"/>
      <c r="O80" s="14">
        <f t="shared" si="20"/>
        <v>1</v>
      </c>
      <c r="P80" s="707"/>
      <c r="Q80" s="14">
        <f t="shared" si="21"/>
        <v>-0.02</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0.04</v>
      </c>
      <c r="F81" s="707"/>
      <c r="G81" s="14">
        <f t="shared" si="16"/>
        <v>0.03</v>
      </c>
      <c r="H81" s="707"/>
      <c r="I81" s="14">
        <f t="shared" si="17"/>
        <v>1</v>
      </c>
      <c r="J81" s="707"/>
      <c r="K81" s="14">
        <f t="shared" si="18"/>
        <v>1</v>
      </c>
      <c r="L81" s="707"/>
      <c r="M81" s="14">
        <f t="shared" si="19"/>
        <v>1</v>
      </c>
      <c r="N81" s="707"/>
      <c r="O81" s="14">
        <f t="shared" si="20"/>
        <v>1</v>
      </c>
      <c r="P81" s="707"/>
      <c r="Q81" s="14">
        <f t="shared" si="21"/>
        <v>-0.02</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0.04</v>
      </c>
      <c r="F82" s="707"/>
      <c r="G82" s="14">
        <f t="shared" si="16"/>
        <v>0.03</v>
      </c>
      <c r="H82" s="707"/>
      <c r="I82" s="14">
        <f t="shared" si="17"/>
        <v>1</v>
      </c>
      <c r="J82" s="707"/>
      <c r="K82" s="14">
        <f t="shared" si="18"/>
        <v>1</v>
      </c>
      <c r="L82" s="707"/>
      <c r="M82" s="14">
        <f t="shared" si="19"/>
        <v>1</v>
      </c>
      <c r="N82" s="707"/>
      <c r="O82" s="14">
        <f t="shared" si="20"/>
        <v>1</v>
      </c>
      <c r="P82" s="707"/>
      <c r="Q82" s="14">
        <f t="shared" si="21"/>
        <v>-0.02</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0.04</v>
      </c>
      <c r="F83" s="707"/>
      <c r="G83" s="14">
        <f t="shared" si="16"/>
        <v>0.03</v>
      </c>
      <c r="H83" s="707"/>
      <c r="I83" s="14">
        <f t="shared" si="17"/>
        <v>1</v>
      </c>
      <c r="J83" s="707"/>
      <c r="K83" s="14">
        <f t="shared" si="18"/>
        <v>1</v>
      </c>
      <c r="L83" s="707"/>
      <c r="M83" s="14">
        <f t="shared" si="19"/>
        <v>1</v>
      </c>
      <c r="N83" s="707"/>
      <c r="O83" s="14">
        <f t="shared" si="20"/>
        <v>1</v>
      </c>
      <c r="P83" s="707"/>
      <c r="Q83" s="14">
        <f t="shared" si="21"/>
        <v>-0.02</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0.04</v>
      </c>
      <c r="F84" s="707"/>
      <c r="G84" s="14">
        <f t="shared" si="16"/>
        <v>0.03</v>
      </c>
      <c r="H84" s="707"/>
      <c r="I84" s="14">
        <f t="shared" si="17"/>
        <v>1</v>
      </c>
      <c r="J84" s="707"/>
      <c r="K84" s="14">
        <f t="shared" si="18"/>
        <v>1</v>
      </c>
      <c r="L84" s="707"/>
      <c r="M84" s="14">
        <f t="shared" si="19"/>
        <v>1</v>
      </c>
      <c r="N84" s="707"/>
      <c r="O84" s="14">
        <f t="shared" si="20"/>
        <v>1</v>
      </c>
      <c r="P84" s="707"/>
      <c r="Q84" s="14">
        <f t="shared" si="21"/>
        <v>-0.02</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0.04</v>
      </c>
      <c r="F85" s="707"/>
      <c r="G85" s="14">
        <f t="shared" si="16"/>
        <v>0.03</v>
      </c>
      <c r="H85" s="707"/>
      <c r="I85" s="14">
        <f t="shared" si="17"/>
        <v>1</v>
      </c>
      <c r="J85" s="707"/>
      <c r="K85" s="14">
        <f t="shared" si="18"/>
        <v>1</v>
      </c>
      <c r="L85" s="707"/>
      <c r="M85" s="14">
        <f t="shared" si="19"/>
        <v>1</v>
      </c>
      <c r="N85" s="707"/>
      <c r="O85" s="14">
        <f t="shared" si="20"/>
        <v>1</v>
      </c>
      <c r="P85" s="707"/>
      <c r="Q85" s="14">
        <f t="shared" si="21"/>
        <v>-0.02</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0.04</v>
      </c>
      <c r="F86" s="707"/>
      <c r="G86" s="14">
        <f t="shared" si="16"/>
        <v>0.03</v>
      </c>
      <c r="H86" s="707"/>
      <c r="I86" s="14">
        <f t="shared" si="17"/>
        <v>1</v>
      </c>
      <c r="J86" s="707"/>
      <c r="K86" s="14">
        <f t="shared" si="18"/>
        <v>1</v>
      </c>
      <c r="L86" s="707"/>
      <c r="M86" s="14">
        <f t="shared" si="19"/>
        <v>1</v>
      </c>
      <c r="N86" s="707"/>
      <c r="O86" s="14">
        <f t="shared" si="20"/>
        <v>1</v>
      </c>
      <c r="P86" s="707"/>
      <c r="Q86" s="14">
        <f t="shared" si="21"/>
        <v>-0.02</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0.04</v>
      </c>
      <c r="F87" s="707"/>
      <c r="G87" s="14">
        <f t="shared" si="16"/>
        <v>0.03</v>
      </c>
      <c r="H87" s="707"/>
      <c r="I87" s="14">
        <f t="shared" si="17"/>
        <v>1</v>
      </c>
      <c r="J87" s="707"/>
      <c r="K87" s="14">
        <f t="shared" si="18"/>
        <v>1</v>
      </c>
      <c r="L87" s="707"/>
      <c r="M87" s="14">
        <f t="shared" si="19"/>
        <v>1</v>
      </c>
      <c r="N87" s="707"/>
      <c r="O87" s="14">
        <f t="shared" si="20"/>
        <v>1</v>
      </c>
      <c r="P87" s="707"/>
      <c r="Q87" s="14">
        <f t="shared" si="21"/>
        <v>-0.02</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0.04</v>
      </c>
      <c r="F88" s="707"/>
      <c r="G88" s="14">
        <f t="shared" si="16"/>
        <v>0.03</v>
      </c>
      <c r="H88" s="707"/>
      <c r="I88" s="14">
        <f t="shared" si="17"/>
        <v>1</v>
      </c>
      <c r="J88" s="707"/>
      <c r="K88" s="14">
        <f t="shared" si="18"/>
        <v>1</v>
      </c>
      <c r="L88" s="707"/>
      <c r="M88" s="14">
        <f t="shared" si="19"/>
        <v>1</v>
      </c>
      <c r="N88" s="707"/>
      <c r="O88" s="14">
        <f t="shared" si="20"/>
        <v>1</v>
      </c>
      <c r="P88" s="707"/>
      <c r="Q88" s="14">
        <f t="shared" si="21"/>
        <v>-0.02</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0.04</v>
      </c>
      <c r="F89" s="707"/>
      <c r="G89" s="14">
        <f t="shared" si="16"/>
        <v>0.03</v>
      </c>
      <c r="H89" s="707"/>
      <c r="I89" s="14">
        <f t="shared" si="17"/>
        <v>1</v>
      </c>
      <c r="J89" s="707"/>
      <c r="K89" s="14">
        <f t="shared" si="18"/>
        <v>1</v>
      </c>
      <c r="L89" s="707"/>
      <c r="M89" s="14">
        <f t="shared" si="19"/>
        <v>1</v>
      </c>
      <c r="N89" s="707"/>
      <c r="O89" s="14">
        <f t="shared" si="20"/>
        <v>1</v>
      </c>
      <c r="P89" s="707"/>
      <c r="Q89" s="14">
        <f t="shared" si="21"/>
        <v>-0.02</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0.04</v>
      </c>
      <c r="F90" s="707"/>
      <c r="G90" s="14">
        <f t="shared" si="16"/>
        <v>0.03</v>
      </c>
      <c r="H90" s="707"/>
      <c r="I90" s="14">
        <f t="shared" si="17"/>
        <v>1</v>
      </c>
      <c r="J90" s="707"/>
      <c r="K90" s="14">
        <f t="shared" si="18"/>
        <v>1</v>
      </c>
      <c r="L90" s="707"/>
      <c r="M90" s="14">
        <f t="shared" si="19"/>
        <v>1</v>
      </c>
      <c r="N90" s="707"/>
      <c r="O90" s="14">
        <f t="shared" si="20"/>
        <v>1</v>
      </c>
      <c r="P90" s="707"/>
      <c r="Q90" s="14">
        <f t="shared" si="21"/>
        <v>-0.02</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0.04</v>
      </c>
      <c r="F91" s="707"/>
      <c r="G91" s="14">
        <f t="shared" si="16"/>
        <v>0.03</v>
      </c>
      <c r="H91" s="707"/>
      <c r="I91" s="14">
        <f t="shared" si="17"/>
        <v>1</v>
      </c>
      <c r="J91" s="707"/>
      <c r="K91" s="14">
        <f t="shared" si="18"/>
        <v>1</v>
      </c>
      <c r="L91" s="707"/>
      <c r="M91" s="14">
        <f t="shared" si="19"/>
        <v>1</v>
      </c>
      <c r="N91" s="707"/>
      <c r="O91" s="14">
        <f t="shared" si="20"/>
        <v>1</v>
      </c>
      <c r="P91" s="707"/>
      <c r="Q91" s="14">
        <f t="shared" si="21"/>
        <v>-0.02</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0.04</v>
      </c>
      <c r="F92" s="707"/>
      <c r="G92" s="14">
        <f t="shared" ref="G92:G155" si="31">(SUMIF($10:$10,F92,$11:$11)-SUMIF($10:$10,$F$27,$11:$11)+100)/100</f>
        <v>0.03</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-0.02</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0.04</v>
      </c>
      <c r="F93" s="707"/>
      <c r="G93" s="14">
        <f t="shared" si="31"/>
        <v>0.03</v>
      </c>
      <c r="H93" s="707"/>
      <c r="I93" s="14">
        <f t="shared" si="32"/>
        <v>1</v>
      </c>
      <c r="J93" s="707"/>
      <c r="K93" s="14">
        <f t="shared" si="33"/>
        <v>1</v>
      </c>
      <c r="L93" s="707"/>
      <c r="M93" s="14">
        <f t="shared" si="34"/>
        <v>1</v>
      </c>
      <c r="N93" s="707"/>
      <c r="O93" s="14">
        <f t="shared" si="35"/>
        <v>1</v>
      </c>
      <c r="P93" s="707"/>
      <c r="Q93" s="14">
        <f t="shared" si="36"/>
        <v>-0.02</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0.04</v>
      </c>
      <c r="F94" s="707"/>
      <c r="G94" s="14">
        <f t="shared" si="31"/>
        <v>0.03</v>
      </c>
      <c r="H94" s="707"/>
      <c r="I94" s="14">
        <f t="shared" si="32"/>
        <v>1</v>
      </c>
      <c r="J94" s="707"/>
      <c r="K94" s="14">
        <f t="shared" si="33"/>
        <v>1</v>
      </c>
      <c r="L94" s="707"/>
      <c r="M94" s="14">
        <f t="shared" si="34"/>
        <v>1</v>
      </c>
      <c r="N94" s="707"/>
      <c r="O94" s="14">
        <f t="shared" si="35"/>
        <v>1</v>
      </c>
      <c r="P94" s="707"/>
      <c r="Q94" s="14">
        <f t="shared" si="36"/>
        <v>-0.02</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0.04</v>
      </c>
      <c r="F95" s="707"/>
      <c r="G95" s="14">
        <f t="shared" si="31"/>
        <v>0.03</v>
      </c>
      <c r="H95" s="707"/>
      <c r="I95" s="14">
        <f t="shared" si="32"/>
        <v>1</v>
      </c>
      <c r="J95" s="707"/>
      <c r="K95" s="14">
        <f t="shared" si="33"/>
        <v>1</v>
      </c>
      <c r="L95" s="707"/>
      <c r="M95" s="14">
        <f t="shared" si="34"/>
        <v>1</v>
      </c>
      <c r="N95" s="707"/>
      <c r="O95" s="14">
        <f t="shared" si="35"/>
        <v>1</v>
      </c>
      <c r="P95" s="707"/>
      <c r="Q95" s="14">
        <f t="shared" si="36"/>
        <v>-0.02</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0.04</v>
      </c>
      <c r="F96" s="707"/>
      <c r="G96" s="14">
        <f t="shared" si="31"/>
        <v>0.03</v>
      </c>
      <c r="H96" s="707"/>
      <c r="I96" s="14">
        <f t="shared" si="32"/>
        <v>1</v>
      </c>
      <c r="J96" s="707"/>
      <c r="K96" s="14">
        <f t="shared" si="33"/>
        <v>1</v>
      </c>
      <c r="L96" s="707"/>
      <c r="M96" s="14">
        <f t="shared" si="34"/>
        <v>1</v>
      </c>
      <c r="N96" s="707"/>
      <c r="O96" s="14">
        <f t="shared" si="35"/>
        <v>1</v>
      </c>
      <c r="P96" s="707"/>
      <c r="Q96" s="14">
        <f t="shared" si="36"/>
        <v>-0.02</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0.04</v>
      </c>
      <c r="F97" s="707"/>
      <c r="G97" s="14">
        <f t="shared" si="31"/>
        <v>0.03</v>
      </c>
      <c r="H97" s="707"/>
      <c r="I97" s="14">
        <f t="shared" si="32"/>
        <v>1</v>
      </c>
      <c r="J97" s="707"/>
      <c r="K97" s="14">
        <f t="shared" si="33"/>
        <v>1</v>
      </c>
      <c r="L97" s="707"/>
      <c r="M97" s="14">
        <f t="shared" si="34"/>
        <v>1</v>
      </c>
      <c r="N97" s="707"/>
      <c r="O97" s="14">
        <f t="shared" si="35"/>
        <v>1</v>
      </c>
      <c r="P97" s="707"/>
      <c r="Q97" s="14">
        <f t="shared" si="36"/>
        <v>-0.02</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0.04</v>
      </c>
      <c r="F98" s="707"/>
      <c r="G98" s="14">
        <f t="shared" si="31"/>
        <v>0.03</v>
      </c>
      <c r="H98" s="707"/>
      <c r="I98" s="14">
        <f t="shared" si="32"/>
        <v>1</v>
      </c>
      <c r="J98" s="707"/>
      <c r="K98" s="14">
        <f t="shared" si="33"/>
        <v>1</v>
      </c>
      <c r="L98" s="707"/>
      <c r="M98" s="14">
        <f t="shared" si="34"/>
        <v>1</v>
      </c>
      <c r="N98" s="707"/>
      <c r="O98" s="14">
        <f t="shared" si="35"/>
        <v>1</v>
      </c>
      <c r="P98" s="707"/>
      <c r="Q98" s="14">
        <f t="shared" si="36"/>
        <v>-0.02</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0.04</v>
      </c>
      <c r="F99" s="707"/>
      <c r="G99" s="14">
        <f t="shared" si="31"/>
        <v>0.03</v>
      </c>
      <c r="H99" s="707"/>
      <c r="I99" s="14">
        <f t="shared" si="32"/>
        <v>1</v>
      </c>
      <c r="J99" s="707"/>
      <c r="K99" s="14">
        <f t="shared" si="33"/>
        <v>1</v>
      </c>
      <c r="L99" s="707"/>
      <c r="M99" s="14">
        <f t="shared" si="34"/>
        <v>1</v>
      </c>
      <c r="N99" s="707"/>
      <c r="O99" s="14">
        <f t="shared" si="35"/>
        <v>1</v>
      </c>
      <c r="P99" s="707"/>
      <c r="Q99" s="14">
        <f t="shared" si="36"/>
        <v>-0.02</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0.04</v>
      </c>
      <c r="F100" s="707"/>
      <c r="G100" s="14">
        <f t="shared" si="31"/>
        <v>0.03</v>
      </c>
      <c r="H100" s="707"/>
      <c r="I100" s="14">
        <f t="shared" si="32"/>
        <v>1</v>
      </c>
      <c r="J100" s="707"/>
      <c r="K100" s="14">
        <f t="shared" si="33"/>
        <v>1</v>
      </c>
      <c r="L100" s="707"/>
      <c r="M100" s="14">
        <f t="shared" si="34"/>
        <v>1</v>
      </c>
      <c r="N100" s="707"/>
      <c r="O100" s="14">
        <f t="shared" si="35"/>
        <v>1</v>
      </c>
      <c r="P100" s="707"/>
      <c r="Q100" s="14">
        <f t="shared" si="36"/>
        <v>-0.02</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0.04</v>
      </c>
      <c r="F101" s="707"/>
      <c r="G101" s="14">
        <f t="shared" si="31"/>
        <v>0.03</v>
      </c>
      <c r="H101" s="707"/>
      <c r="I101" s="14">
        <f t="shared" si="32"/>
        <v>1</v>
      </c>
      <c r="J101" s="707"/>
      <c r="K101" s="14">
        <f t="shared" si="33"/>
        <v>1</v>
      </c>
      <c r="L101" s="707"/>
      <c r="M101" s="14">
        <f t="shared" si="34"/>
        <v>1</v>
      </c>
      <c r="N101" s="707"/>
      <c r="O101" s="14">
        <f t="shared" si="35"/>
        <v>1</v>
      </c>
      <c r="P101" s="707"/>
      <c r="Q101" s="14">
        <f t="shared" si="36"/>
        <v>-0.02</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0.04</v>
      </c>
      <c r="F102" s="707"/>
      <c r="G102" s="14">
        <f t="shared" si="31"/>
        <v>0.03</v>
      </c>
      <c r="H102" s="707"/>
      <c r="I102" s="14">
        <f t="shared" si="32"/>
        <v>1</v>
      </c>
      <c r="J102" s="707"/>
      <c r="K102" s="14">
        <f t="shared" si="33"/>
        <v>1</v>
      </c>
      <c r="L102" s="707"/>
      <c r="M102" s="14">
        <f t="shared" si="34"/>
        <v>1</v>
      </c>
      <c r="N102" s="707"/>
      <c r="O102" s="14">
        <f t="shared" si="35"/>
        <v>1</v>
      </c>
      <c r="P102" s="707"/>
      <c r="Q102" s="14">
        <f t="shared" si="36"/>
        <v>-0.02</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0.04</v>
      </c>
      <c r="F103" s="707"/>
      <c r="G103" s="14">
        <f t="shared" si="31"/>
        <v>0.03</v>
      </c>
      <c r="H103" s="707"/>
      <c r="I103" s="14">
        <f t="shared" si="32"/>
        <v>1</v>
      </c>
      <c r="J103" s="707"/>
      <c r="K103" s="14">
        <f t="shared" si="33"/>
        <v>1</v>
      </c>
      <c r="L103" s="707"/>
      <c r="M103" s="14">
        <f t="shared" si="34"/>
        <v>1</v>
      </c>
      <c r="N103" s="707"/>
      <c r="O103" s="14">
        <f t="shared" si="35"/>
        <v>1</v>
      </c>
      <c r="P103" s="707"/>
      <c r="Q103" s="14">
        <f t="shared" si="36"/>
        <v>-0.02</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0.04</v>
      </c>
      <c r="F104" s="707"/>
      <c r="G104" s="14">
        <f t="shared" si="31"/>
        <v>0.03</v>
      </c>
      <c r="H104" s="707"/>
      <c r="I104" s="14">
        <f t="shared" si="32"/>
        <v>1</v>
      </c>
      <c r="J104" s="707"/>
      <c r="K104" s="14">
        <f t="shared" si="33"/>
        <v>1</v>
      </c>
      <c r="L104" s="707"/>
      <c r="M104" s="14">
        <f t="shared" si="34"/>
        <v>1</v>
      </c>
      <c r="N104" s="707"/>
      <c r="O104" s="14">
        <f t="shared" si="35"/>
        <v>1</v>
      </c>
      <c r="P104" s="707"/>
      <c r="Q104" s="14">
        <f t="shared" si="36"/>
        <v>-0.02</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0.04</v>
      </c>
      <c r="F105" s="707"/>
      <c r="G105" s="14">
        <f t="shared" si="31"/>
        <v>0.03</v>
      </c>
      <c r="H105" s="707"/>
      <c r="I105" s="14">
        <f t="shared" si="32"/>
        <v>1</v>
      </c>
      <c r="J105" s="707"/>
      <c r="K105" s="14">
        <f t="shared" si="33"/>
        <v>1</v>
      </c>
      <c r="L105" s="707"/>
      <c r="M105" s="14">
        <f t="shared" si="34"/>
        <v>1</v>
      </c>
      <c r="N105" s="707"/>
      <c r="O105" s="14">
        <f t="shared" si="35"/>
        <v>1</v>
      </c>
      <c r="P105" s="707"/>
      <c r="Q105" s="14">
        <f t="shared" si="36"/>
        <v>-0.02</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0.04</v>
      </c>
      <c r="F106" s="707"/>
      <c r="G106" s="14">
        <f t="shared" si="31"/>
        <v>0.03</v>
      </c>
      <c r="H106" s="707"/>
      <c r="I106" s="14">
        <f t="shared" si="32"/>
        <v>1</v>
      </c>
      <c r="J106" s="707"/>
      <c r="K106" s="14">
        <f t="shared" si="33"/>
        <v>1</v>
      </c>
      <c r="L106" s="707"/>
      <c r="M106" s="14">
        <f t="shared" si="34"/>
        <v>1</v>
      </c>
      <c r="N106" s="707"/>
      <c r="O106" s="14">
        <f t="shared" si="35"/>
        <v>1</v>
      </c>
      <c r="P106" s="707"/>
      <c r="Q106" s="14">
        <f t="shared" si="36"/>
        <v>-0.02</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0.04</v>
      </c>
      <c r="F107" s="707"/>
      <c r="G107" s="14">
        <f t="shared" si="31"/>
        <v>0.03</v>
      </c>
      <c r="H107" s="707"/>
      <c r="I107" s="14">
        <f t="shared" si="32"/>
        <v>1</v>
      </c>
      <c r="J107" s="707"/>
      <c r="K107" s="14">
        <f t="shared" si="33"/>
        <v>1</v>
      </c>
      <c r="L107" s="707"/>
      <c r="M107" s="14">
        <f t="shared" si="34"/>
        <v>1</v>
      </c>
      <c r="N107" s="707"/>
      <c r="O107" s="14">
        <f t="shared" si="35"/>
        <v>1</v>
      </c>
      <c r="P107" s="707"/>
      <c r="Q107" s="14">
        <f t="shared" si="36"/>
        <v>-0.02</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0.04</v>
      </c>
      <c r="F108" s="707"/>
      <c r="G108" s="14">
        <f t="shared" si="31"/>
        <v>0.03</v>
      </c>
      <c r="H108" s="707"/>
      <c r="I108" s="14">
        <f t="shared" si="32"/>
        <v>1</v>
      </c>
      <c r="J108" s="707"/>
      <c r="K108" s="14">
        <f t="shared" si="33"/>
        <v>1</v>
      </c>
      <c r="L108" s="707"/>
      <c r="M108" s="14">
        <f t="shared" si="34"/>
        <v>1</v>
      </c>
      <c r="N108" s="707"/>
      <c r="O108" s="14">
        <f t="shared" si="35"/>
        <v>1</v>
      </c>
      <c r="P108" s="707"/>
      <c r="Q108" s="14">
        <f t="shared" si="36"/>
        <v>-0.02</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0.04</v>
      </c>
      <c r="F109" s="707"/>
      <c r="G109" s="14">
        <f t="shared" si="31"/>
        <v>0.03</v>
      </c>
      <c r="H109" s="707"/>
      <c r="I109" s="14">
        <f t="shared" si="32"/>
        <v>1</v>
      </c>
      <c r="J109" s="707"/>
      <c r="K109" s="14">
        <f t="shared" si="33"/>
        <v>1</v>
      </c>
      <c r="L109" s="707"/>
      <c r="M109" s="14">
        <f t="shared" si="34"/>
        <v>1</v>
      </c>
      <c r="N109" s="707"/>
      <c r="O109" s="14">
        <f t="shared" si="35"/>
        <v>1</v>
      </c>
      <c r="P109" s="707"/>
      <c r="Q109" s="14">
        <f t="shared" si="36"/>
        <v>-0.02</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0.04</v>
      </c>
      <c r="F110" s="707"/>
      <c r="G110" s="14">
        <f t="shared" si="31"/>
        <v>0.03</v>
      </c>
      <c r="H110" s="707"/>
      <c r="I110" s="14">
        <f t="shared" si="32"/>
        <v>1</v>
      </c>
      <c r="J110" s="707"/>
      <c r="K110" s="14">
        <f t="shared" si="33"/>
        <v>1</v>
      </c>
      <c r="L110" s="707"/>
      <c r="M110" s="14">
        <f t="shared" si="34"/>
        <v>1</v>
      </c>
      <c r="N110" s="707"/>
      <c r="O110" s="14">
        <f t="shared" si="35"/>
        <v>1</v>
      </c>
      <c r="P110" s="707"/>
      <c r="Q110" s="14">
        <f t="shared" si="36"/>
        <v>-0.02</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0.04</v>
      </c>
      <c r="F111" s="707"/>
      <c r="G111" s="14">
        <f t="shared" si="31"/>
        <v>0.03</v>
      </c>
      <c r="H111" s="707"/>
      <c r="I111" s="14">
        <f t="shared" si="32"/>
        <v>1</v>
      </c>
      <c r="J111" s="707"/>
      <c r="K111" s="14">
        <f t="shared" si="33"/>
        <v>1</v>
      </c>
      <c r="L111" s="707"/>
      <c r="M111" s="14">
        <f t="shared" si="34"/>
        <v>1</v>
      </c>
      <c r="N111" s="707"/>
      <c r="O111" s="14">
        <f t="shared" si="35"/>
        <v>1</v>
      </c>
      <c r="P111" s="707"/>
      <c r="Q111" s="14">
        <f t="shared" si="36"/>
        <v>-0.02</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0.04</v>
      </c>
      <c r="F112" s="707"/>
      <c r="G112" s="14">
        <f t="shared" si="31"/>
        <v>0.03</v>
      </c>
      <c r="H112" s="707"/>
      <c r="I112" s="14">
        <f t="shared" si="32"/>
        <v>1</v>
      </c>
      <c r="J112" s="707"/>
      <c r="K112" s="14">
        <f t="shared" si="33"/>
        <v>1</v>
      </c>
      <c r="L112" s="707"/>
      <c r="M112" s="14">
        <f t="shared" si="34"/>
        <v>1</v>
      </c>
      <c r="N112" s="707"/>
      <c r="O112" s="14">
        <f t="shared" si="35"/>
        <v>1</v>
      </c>
      <c r="P112" s="707"/>
      <c r="Q112" s="14">
        <f t="shared" si="36"/>
        <v>-0.02</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0.04</v>
      </c>
      <c r="F113" s="707"/>
      <c r="G113" s="14">
        <f t="shared" si="31"/>
        <v>0.03</v>
      </c>
      <c r="H113" s="707"/>
      <c r="I113" s="14">
        <f t="shared" si="32"/>
        <v>1</v>
      </c>
      <c r="J113" s="707"/>
      <c r="K113" s="14">
        <f t="shared" si="33"/>
        <v>1</v>
      </c>
      <c r="L113" s="707"/>
      <c r="M113" s="14">
        <f t="shared" si="34"/>
        <v>1</v>
      </c>
      <c r="N113" s="707"/>
      <c r="O113" s="14">
        <f t="shared" si="35"/>
        <v>1</v>
      </c>
      <c r="P113" s="707"/>
      <c r="Q113" s="14">
        <f t="shared" si="36"/>
        <v>-0.02</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0.04</v>
      </c>
      <c r="F114" s="707"/>
      <c r="G114" s="14">
        <f t="shared" si="31"/>
        <v>0.03</v>
      </c>
      <c r="H114" s="707"/>
      <c r="I114" s="14">
        <f t="shared" si="32"/>
        <v>1</v>
      </c>
      <c r="J114" s="707"/>
      <c r="K114" s="14">
        <f t="shared" si="33"/>
        <v>1</v>
      </c>
      <c r="L114" s="707"/>
      <c r="M114" s="14">
        <f t="shared" si="34"/>
        <v>1</v>
      </c>
      <c r="N114" s="707"/>
      <c r="O114" s="14">
        <f t="shared" si="35"/>
        <v>1</v>
      </c>
      <c r="P114" s="707"/>
      <c r="Q114" s="14">
        <f t="shared" si="36"/>
        <v>-0.02</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0.04</v>
      </c>
      <c r="F115" s="707"/>
      <c r="G115" s="14">
        <f t="shared" si="31"/>
        <v>0.03</v>
      </c>
      <c r="H115" s="707"/>
      <c r="I115" s="14">
        <f t="shared" si="32"/>
        <v>1</v>
      </c>
      <c r="J115" s="707"/>
      <c r="K115" s="14">
        <f t="shared" si="33"/>
        <v>1</v>
      </c>
      <c r="L115" s="707"/>
      <c r="M115" s="14">
        <f t="shared" si="34"/>
        <v>1</v>
      </c>
      <c r="N115" s="707"/>
      <c r="O115" s="14">
        <f t="shared" si="35"/>
        <v>1</v>
      </c>
      <c r="P115" s="707"/>
      <c r="Q115" s="14">
        <f t="shared" si="36"/>
        <v>-0.02</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0.04</v>
      </c>
      <c r="F116" s="707"/>
      <c r="G116" s="14">
        <f t="shared" si="31"/>
        <v>0.03</v>
      </c>
      <c r="H116" s="707"/>
      <c r="I116" s="14">
        <f t="shared" si="32"/>
        <v>1</v>
      </c>
      <c r="J116" s="707"/>
      <c r="K116" s="14">
        <f t="shared" si="33"/>
        <v>1</v>
      </c>
      <c r="L116" s="707"/>
      <c r="M116" s="14">
        <f t="shared" si="34"/>
        <v>1</v>
      </c>
      <c r="N116" s="707"/>
      <c r="O116" s="14">
        <f t="shared" si="35"/>
        <v>1</v>
      </c>
      <c r="P116" s="707"/>
      <c r="Q116" s="14">
        <f t="shared" si="36"/>
        <v>-0.02</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0.04</v>
      </c>
      <c r="F117" s="707"/>
      <c r="G117" s="14">
        <f t="shared" si="31"/>
        <v>0.03</v>
      </c>
      <c r="H117" s="707"/>
      <c r="I117" s="14">
        <f t="shared" si="32"/>
        <v>1</v>
      </c>
      <c r="J117" s="707"/>
      <c r="K117" s="14">
        <f t="shared" si="33"/>
        <v>1</v>
      </c>
      <c r="L117" s="707"/>
      <c r="M117" s="14">
        <f t="shared" si="34"/>
        <v>1</v>
      </c>
      <c r="N117" s="707"/>
      <c r="O117" s="14">
        <f t="shared" si="35"/>
        <v>1</v>
      </c>
      <c r="P117" s="707"/>
      <c r="Q117" s="14">
        <f t="shared" si="36"/>
        <v>-0.02</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0.04</v>
      </c>
      <c r="F118" s="707"/>
      <c r="G118" s="14">
        <f t="shared" si="31"/>
        <v>0.03</v>
      </c>
      <c r="H118" s="707"/>
      <c r="I118" s="14">
        <f t="shared" si="32"/>
        <v>1</v>
      </c>
      <c r="J118" s="707"/>
      <c r="K118" s="14">
        <f t="shared" si="33"/>
        <v>1</v>
      </c>
      <c r="L118" s="707"/>
      <c r="M118" s="14">
        <f t="shared" si="34"/>
        <v>1</v>
      </c>
      <c r="N118" s="707"/>
      <c r="O118" s="14">
        <f t="shared" si="35"/>
        <v>1</v>
      </c>
      <c r="P118" s="707"/>
      <c r="Q118" s="14">
        <f t="shared" si="36"/>
        <v>-0.02</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0.04</v>
      </c>
      <c r="F119" s="707"/>
      <c r="G119" s="14">
        <f t="shared" si="31"/>
        <v>0.03</v>
      </c>
      <c r="H119" s="707"/>
      <c r="I119" s="14">
        <f t="shared" si="32"/>
        <v>1</v>
      </c>
      <c r="J119" s="707"/>
      <c r="K119" s="14">
        <f t="shared" si="33"/>
        <v>1</v>
      </c>
      <c r="L119" s="707"/>
      <c r="M119" s="14">
        <f t="shared" si="34"/>
        <v>1</v>
      </c>
      <c r="N119" s="707"/>
      <c r="O119" s="14">
        <f t="shared" si="35"/>
        <v>1</v>
      </c>
      <c r="P119" s="707"/>
      <c r="Q119" s="14">
        <f t="shared" si="36"/>
        <v>-0.02</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0.04</v>
      </c>
      <c r="F120" s="707"/>
      <c r="G120" s="14">
        <f t="shared" si="31"/>
        <v>0.03</v>
      </c>
      <c r="H120" s="707"/>
      <c r="I120" s="14">
        <f t="shared" si="32"/>
        <v>1</v>
      </c>
      <c r="J120" s="707"/>
      <c r="K120" s="14">
        <f t="shared" si="33"/>
        <v>1</v>
      </c>
      <c r="L120" s="707"/>
      <c r="M120" s="14">
        <f t="shared" si="34"/>
        <v>1</v>
      </c>
      <c r="N120" s="707"/>
      <c r="O120" s="14">
        <f t="shared" si="35"/>
        <v>1</v>
      </c>
      <c r="P120" s="707"/>
      <c r="Q120" s="14">
        <f t="shared" si="36"/>
        <v>-0.02</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0.04</v>
      </c>
      <c r="F121" s="707"/>
      <c r="G121" s="14">
        <f t="shared" si="31"/>
        <v>0.03</v>
      </c>
      <c r="H121" s="707"/>
      <c r="I121" s="14">
        <f t="shared" si="32"/>
        <v>1</v>
      </c>
      <c r="J121" s="707"/>
      <c r="K121" s="14">
        <f t="shared" si="33"/>
        <v>1</v>
      </c>
      <c r="L121" s="707"/>
      <c r="M121" s="14">
        <f t="shared" si="34"/>
        <v>1</v>
      </c>
      <c r="N121" s="707"/>
      <c r="O121" s="14">
        <f t="shared" si="35"/>
        <v>1</v>
      </c>
      <c r="P121" s="707"/>
      <c r="Q121" s="14">
        <f t="shared" si="36"/>
        <v>-0.02</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0.04</v>
      </c>
      <c r="F122" s="707"/>
      <c r="G122" s="14">
        <f t="shared" si="31"/>
        <v>0.03</v>
      </c>
      <c r="H122" s="707"/>
      <c r="I122" s="14">
        <f t="shared" si="32"/>
        <v>1</v>
      </c>
      <c r="J122" s="707"/>
      <c r="K122" s="14">
        <f t="shared" si="33"/>
        <v>1</v>
      </c>
      <c r="L122" s="707"/>
      <c r="M122" s="14">
        <f t="shared" si="34"/>
        <v>1</v>
      </c>
      <c r="N122" s="707"/>
      <c r="O122" s="14">
        <f t="shared" si="35"/>
        <v>1</v>
      </c>
      <c r="P122" s="707"/>
      <c r="Q122" s="14">
        <f t="shared" si="36"/>
        <v>-0.02</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0.04</v>
      </c>
      <c r="F123" s="707"/>
      <c r="G123" s="14">
        <f t="shared" si="31"/>
        <v>0.03</v>
      </c>
      <c r="H123" s="707"/>
      <c r="I123" s="14">
        <f t="shared" si="32"/>
        <v>1</v>
      </c>
      <c r="J123" s="707"/>
      <c r="K123" s="14">
        <f t="shared" si="33"/>
        <v>1</v>
      </c>
      <c r="L123" s="707"/>
      <c r="M123" s="14">
        <f t="shared" si="34"/>
        <v>1</v>
      </c>
      <c r="N123" s="707"/>
      <c r="O123" s="14">
        <f t="shared" si="35"/>
        <v>1</v>
      </c>
      <c r="P123" s="707"/>
      <c r="Q123" s="14">
        <f t="shared" si="36"/>
        <v>-0.02</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0.04</v>
      </c>
      <c r="F124" s="707"/>
      <c r="G124" s="14">
        <f t="shared" si="31"/>
        <v>0.03</v>
      </c>
      <c r="H124" s="707"/>
      <c r="I124" s="14">
        <f t="shared" si="32"/>
        <v>1</v>
      </c>
      <c r="J124" s="707"/>
      <c r="K124" s="14">
        <f t="shared" si="33"/>
        <v>1</v>
      </c>
      <c r="L124" s="707"/>
      <c r="M124" s="14">
        <f t="shared" si="34"/>
        <v>1</v>
      </c>
      <c r="N124" s="707"/>
      <c r="O124" s="14">
        <f t="shared" si="35"/>
        <v>1</v>
      </c>
      <c r="P124" s="707"/>
      <c r="Q124" s="14">
        <f t="shared" si="36"/>
        <v>-0.02</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0.04</v>
      </c>
      <c r="F125" s="707"/>
      <c r="G125" s="14">
        <f t="shared" si="31"/>
        <v>0.03</v>
      </c>
      <c r="H125" s="707"/>
      <c r="I125" s="14">
        <f t="shared" si="32"/>
        <v>1</v>
      </c>
      <c r="J125" s="707"/>
      <c r="K125" s="14">
        <f t="shared" si="33"/>
        <v>1</v>
      </c>
      <c r="L125" s="707"/>
      <c r="M125" s="14">
        <f t="shared" si="34"/>
        <v>1</v>
      </c>
      <c r="N125" s="707"/>
      <c r="O125" s="14">
        <f t="shared" si="35"/>
        <v>1</v>
      </c>
      <c r="P125" s="707"/>
      <c r="Q125" s="14">
        <f t="shared" si="36"/>
        <v>-0.02</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0.04</v>
      </c>
      <c r="F126" s="707"/>
      <c r="G126" s="14">
        <f t="shared" si="31"/>
        <v>0.03</v>
      </c>
      <c r="H126" s="707"/>
      <c r="I126" s="14">
        <f t="shared" si="32"/>
        <v>1</v>
      </c>
      <c r="J126" s="707"/>
      <c r="K126" s="14">
        <f t="shared" si="33"/>
        <v>1</v>
      </c>
      <c r="L126" s="707"/>
      <c r="M126" s="14">
        <f t="shared" si="34"/>
        <v>1</v>
      </c>
      <c r="N126" s="707"/>
      <c r="O126" s="14">
        <f t="shared" si="35"/>
        <v>1</v>
      </c>
      <c r="P126" s="707"/>
      <c r="Q126" s="14">
        <f t="shared" si="36"/>
        <v>-0.02</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0.04</v>
      </c>
      <c r="F127" s="707"/>
      <c r="G127" s="14">
        <f t="shared" si="31"/>
        <v>0.03</v>
      </c>
      <c r="H127" s="707"/>
      <c r="I127" s="14">
        <f t="shared" si="32"/>
        <v>1</v>
      </c>
      <c r="J127" s="707"/>
      <c r="K127" s="14">
        <f t="shared" si="33"/>
        <v>1</v>
      </c>
      <c r="L127" s="707"/>
      <c r="M127" s="14">
        <f t="shared" si="34"/>
        <v>1</v>
      </c>
      <c r="N127" s="707"/>
      <c r="O127" s="14">
        <f t="shared" si="35"/>
        <v>1</v>
      </c>
      <c r="P127" s="707"/>
      <c r="Q127" s="14">
        <f t="shared" si="36"/>
        <v>-0.02</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0.04</v>
      </c>
      <c r="F128" s="707"/>
      <c r="G128" s="14">
        <f t="shared" si="31"/>
        <v>0.03</v>
      </c>
      <c r="H128" s="707"/>
      <c r="I128" s="14">
        <f t="shared" si="32"/>
        <v>1</v>
      </c>
      <c r="J128" s="707"/>
      <c r="K128" s="14">
        <f t="shared" si="33"/>
        <v>1</v>
      </c>
      <c r="L128" s="707"/>
      <c r="M128" s="14">
        <f t="shared" si="34"/>
        <v>1</v>
      </c>
      <c r="N128" s="707"/>
      <c r="O128" s="14">
        <f t="shared" si="35"/>
        <v>1</v>
      </c>
      <c r="P128" s="707"/>
      <c r="Q128" s="14">
        <f t="shared" si="36"/>
        <v>-0.02</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0.04</v>
      </c>
      <c r="F129" s="707"/>
      <c r="G129" s="14">
        <f t="shared" si="31"/>
        <v>0.03</v>
      </c>
      <c r="H129" s="707"/>
      <c r="I129" s="14">
        <f t="shared" si="32"/>
        <v>1</v>
      </c>
      <c r="J129" s="707"/>
      <c r="K129" s="14">
        <f t="shared" si="33"/>
        <v>1</v>
      </c>
      <c r="L129" s="707"/>
      <c r="M129" s="14">
        <f t="shared" si="34"/>
        <v>1</v>
      </c>
      <c r="N129" s="707"/>
      <c r="O129" s="14">
        <f t="shared" si="35"/>
        <v>1</v>
      </c>
      <c r="P129" s="707"/>
      <c r="Q129" s="14">
        <f t="shared" si="36"/>
        <v>-0.02</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0.04</v>
      </c>
      <c r="F130" s="707"/>
      <c r="G130" s="14">
        <f t="shared" si="31"/>
        <v>0.03</v>
      </c>
      <c r="H130" s="707"/>
      <c r="I130" s="14">
        <f t="shared" si="32"/>
        <v>1</v>
      </c>
      <c r="J130" s="707"/>
      <c r="K130" s="14">
        <f t="shared" si="33"/>
        <v>1</v>
      </c>
      <c r="L130" s="707"/>
      <c r="M130" s="14">
        <f t="shared" si="34"/>
        <v>1</v>
      </c>
      <c r="N130" s="707"/>
      <c r="O130" s="14">
        <f t="shared" si="35"/>
        <v>1</v>
      </c>
      <c r="P130" s="707"/>
      <c r="Q130" s="14">
        <f t="shared" si="36"/>
        <v>-0.02</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0.04</v>
      </c>
      <c r="F131" s="707"/>
      <c r="G131" s="14">
        <f t="shared" si="31"/>
        <v>0.03</v>
      </c>
      <c r="H131" s="707"/>
      <c r="I131" s="14">
        <f t="shared" si="32"/>
        <v>1</v>
      </c>
      <c r="J131" s="707"/>
      <c r="K131" s="14">
        <f t="shared" si="33"/>
        <v>1</v>
      </c>
      <c r="L131" s="707"/>
      <c r="M131" s="14">
        <f t="shared" si="34"/>
        <v>1</v>
      </c>
      <c r="N131" s="707"/>
      <c r="O131" s="14">
        <f t="shared" si="35"/>
        <v>1</v>
      </c>
      <c r="P131" s="707"/>
      <c r="Q131" s="14">
        <f t="shared" si="36"/>
        <v>-0.02</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0.04</v>
      </c>
      <c r="F132" s="707"/>
      <c r="G132" s="14">
        <f t="shared" si="31"/>
        <v>0.03</v>
      </c>
      <c r="H132" s="707"/>
      <c r="I132" s="14">
        <f t="shared" si="32"/>
        <v>1</v>
      </c>
      <c r="J132" s="707"/>
      <c r="K132" s="14">
        <f t="shared" si="33"/>
        <v>1</v>
      </c>
      <c r="L132" s="707"/>
      <c r="M132" s="14">
        <f t="shared" si="34"/>
        <v>1</v>
      </c>
      <c r="N132" s="707"/>
      <c r="O132" s="14">
        <f t="shared" si="35"/>
        <v>1</v>
      </c>
      <c r="P132" s="707"/>
      <c r="Q132" s="14">
        <f t="shared" si="36"/>
        <v>-0.02</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0.04</v>
      </c>
      <c r="F133" s="707"/>
      <c r="G133" s="14">
        <f t="shared" si="31"/>
        <v>0.03</v>
      </c>
      <c r="H133" s="707"/>
      <c r="I133" s="14">
        <f t="shared" si="32"/>
        <v>1</v>
      </c>
      <c r="J133" s="707"/>
      <c r="K133" s="14">
        <f t="shared" si="33"/>
        <v>1</v>
      </c>
      <c r="L133" s="707"/>
      <c r="M133" s="14">
        <f t="shared" si="34"/>
        <v>1</v>
      </c>
      <c r="N133" s="707"/>
      <c r="O133" s="14">
        <f t="shared" si="35"/>
        <v>1</v>
      </c>
      <c r="P133" s="707"/>
      <c r="Q133" s="14">
        <f t="shared" si="36"/>
        <v>-0.02</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0.04</v>
      </c>
      <c r="F134" s="707"/>
      <c r="G134" s="14">
        <f t="shared" si="31"/>
        <v>0.03</v>
      </c>
      <c r="H134" s="707"/>
      <c r="I134" s="14">
        <f t="shared" si="32"/>
        <v>1</v>
      </c>
      <c r="J134" s="707"/>
      <c r="K134" s="14">
        <f t="shared" si="33"/>
        <v>1</v>
      </c>
      <c r="L134" s="707"/>
      <c r="M134" s="14">
        <f t="shared" si="34"/>
        <v>1</v>
      </c>
      <c r="N134" s="707"/>
      <c r="O134" s="14">
        <f t="shared" si="35"/>
        <v>1</v>
      </c>
      <c r="P134" s="707"/>
      <c r="Q134" s="14">
        <f t="shared" si="36"/>
        <v>-0.02</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0.04</v>
      </c>
      <c r="F135" s="707"/>
      <c r="G135" s="14">
        <f t="shared" si="31"/>
        <v>0.03</v>
      </c>
      <c r="H135" s="707"/>
      <c r="I135" s="14">
        <f t="shared" si="32"/>
        <v>1</v>
      </c>
      <c r="J135" s="707"/>
      <c r="K135" s="14">
        <f t="shared" si="33"/>
        <v>1</v>
      </c>
      <c r="L135" s="707"/>
      <c r="M135" s="14">
        <f t="shared" si="34"/>
        <v>1</v>
      </c>
      <c r="N135" s="707"/>
      <c r="O135" s="14">
        <f t="shared" si="35"/>
        <v>1</v>
      </c>
      <c r="P135" s="707"/>
      <c r="Q135" s="14">
        <f t="shared" si="36"/>
        <v>-0.02</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0.04</v>
      </c>
      <c r="F136" s="707"/>
      <c r="G136" s="14">
        <f t="shared" si="31"/>
        <v>0.03</v>
      </c>
      <c r="H136" s="707"/>
      <c r="I136" s="14">
        <f t="shared" si="32"/>
        <v>1</v>
      </c>
      <c r="J136" s="707"/>
      <c r="K136" s="14">
        <f t="shared" si="33"/>
        <v>1</v>
      </c>
      <c r="L136" s="707"/>
      <c r="M136" s="14">
        <f t="shared" si="34"/>
        <v>1</v>
      </c>
      <c r="N136" s="707"/>
      <c r="O136" s="14">
        <f t="shared" si="35"/>
        <v>1</v>
      </c>
      <c r="P136" s="707"/>
      <c r="Q136" s="14">
        <f t="shared" si="36"/>
        <v>-0.02</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0.04</v>
      </c>
      <c r="F137" s="707"/>
      <c r="G137" s="14">
        <f t="shared" si="31"/>
        <v>0.03</v>
      </c>
      <c r="H137" s="707"/>
      <c r="I137" s="14">
        <f t="shared" si="32"/>
        <v>1</v>
      </c>
      <c r="J137" s="707"/>
      <c r="K137" s="14">
        <f t="shared" si="33"/>
        <v>1</v>
      </c>
      <c r="L137" s="707"/>
      <c r="M137" s="14">
        <f t="shared" si="34"/>
        <v>1</v>
      </c>
      <c r="N137" s="707"/>
      <c r="O137" s="14">
        <f t="shared" si="35"/>
        <v>1</v>
      </c>
      <c r="P137" s="707"/>
      <c r="Q137" s="14">
        <f t="shared" si="36"/>
        <v>-0.02</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0.04</v>
      </c>
      <c r="F138" s="707"/>
      <c r="G138" s="14">
        <f t="shared" si="31"/>
        <v>0.03</v>
      </c>
      <c r="H138" s="707"/>
      <c r="I138" s="14">
        <f t="shared" si="32"/>
        <v>1</v>
      </c>
      <c r="J138" s="707"/>
      <c r="K138" s="14">
        <f t="shared" si="33"/>
        <v>1</v>
      </c>
      <c r="L138" s="707"/>
      <c r="M138" s="14">
        <f t="shared" si="34"/>
        <v>1</v>
      </c>
      <c r="N138" s="707"/>
      <c r="O138" s="14">
        <f t="shared" si="35"/>
        <v>1</v>
      </c>
      <c r="P138" s="707"/>
      <c r="Q138" s="14">
        <f t="shared" si="36"/>
        <v>-0.02</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0.04</v>
      </c>
      <c r="F139" s="707"/>
      <c r="G139" s="14">
        <f t="shared" si="31"/>
        <v>0.03</v>
      </c>
      <c r="H139" s="707"/>
      <c r="I139" s="14">
        <f t="shared" si="32"/>
        <v>1</v>
      </c>
      <c r="J139" s="707"/>
      <c r="K139" s="14">
        <f t="shared" si="33"/>
        <v>1</v>
      </c>
      <c r="L139" s="707"/>
      <c r="M139" s="14">
        <f t="shared" si="34"/>
        <v>1</v>
      </c>
      <c r="N139" s="707"/>
      <c r="O139" s="14">
        <f t="shared" si="35"/>
        <v>1</v>
      </c>
      <c r="P139" s="707"/>
      <c r="Q139" s="14">
        <f t="shared" si="36"/>
        <v>-0.02</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0.04</v>
      </c>
      <c r="F140" s="707"/>
      <c r="G140" s="14">
        <f t="shared" si="31"/>
        <v>0.03</v>
      </c>
      <c r="H140" s="707"/>
      <c r="I140" s="14">
        <f t="shared" si="32"/>
        <v>1</v>
      </c>
      <c r="J140" s="707"/>
      <c r="K140" s="14">
        <f t="shared" si="33"/>
        <v>1</v>
      </c>
      <c r="L140" s="707"/>
      <c r="M140" s="14">
        <f t="shared" si="34"/>
        <v>1</v>
      </c>
      <c r="N140" s="707"/>
      <c r="O140" s="14">
        <f t="shared" si="35"/>
        <v>1</v>
      </c>
      <c r="P140" s="707"/>
      <c r="Q140" s="14">
        <f t="shared" si="36"/>
        <v>-0.02</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0.04</v>
      </c>
      <c r="F141" s="707"/>
      <c r="G141" s="14">
        <f t="shared" si="31"/>
        <v>0.03</v>
      </c>
      <c r="H141" s="707"/>
      <c r="I141" s="14">
        <f t="shared" si="32"/>
        <v>1</v>
      </c>
      <c r="J141" s="707"/>
      <c r="K141" s="14">
        <f t="shared" si="33"/>
        <v>1</v>
      </c>
      <c r="L141" s="707"/>
      <c r="M141" s="14">
        <f t="shared" si="34"/>
        <v>1</v>
      </c>
      <c r="N141" s="707"/>
      <c r="O141" s="14">
        <f t="shared" si="35"/>
        <v>1</v>
      </c>
      <c r="P141" s="707"/>
      <c r="Q141" s="14">
        <f t="shared" si="36"/>
        <v>-0.02</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0.04</v>
      </c>
      <c r="F142" s="707"/>
      <c r="G142" s="14">
        <f t="shared" si="31"/>
        <v>0.03</v>
      </c>
      <c r="H142" s="707"/>
      <c r="I142" s="14">
        <f t="shared" si="32"/>
        <v>1</v>
      </c>
      <c r="J142" s="707"/>
      <c r="K142" s="14">
        <f t="shared" si="33"/>
        <v>1</v>
      </c>
      <c r="L142" s="707"/>
      <c r="M142" s="14">
        <f t="shared" si="34"/>
        <v>1</v>
      </c>
      <c r="N142" s="707"/>
      <c r="O142" s="14">
        <f t="shared" si="35"/>
        <v>1</v>
      </c>
      <c r="P142" s="707"/>
      <c r="Q142" s="14">
        <f t="shared" si="36"/>
        <v>-0.02</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0.04</v>
      </c>
      <c r="F143" s="707"/>
      <c r="G143" s="14">
        <f t="shared" si="31"/>
        <v>0.03</v>
      </c>
      <c r="H143" s="707"/>
      <c r="I143" s="14">
        <f t="shared" si="32"/>
        <v>1</v>
      </c>
      <c r="J143" s="707"/>
      <c r="K143" s="14">
        <f t="shared" si="33"/>
        <v>1</v>
      </c>
      <c r="L143" s="707"/>
      <c r="M143" s="14">
        <f t="shared" si="34"/>
        <v>1</v>
      </c>
      <c r="N143" s="707"/>
      <c r="O143" s="14">
        <f t="shared" si="35"/>
        <v>1</v>
      </c>
      <c r="P143" s="707"/>
      <c r="Q143" s="14">
        <f t="shared" si="36"/>
        <v>-0.02</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0.04</v>
      </c>
      <c r="F144" s="707"/>
      <c r="G144" s="14">
        <f t="shared" si="31"/>
        <v>0.03</v>
      </c>
      <c r="H144" s="707"/>
      <c r="I144" s="14">
        <f t="shared" si="32"/>
        <v>1</v>
      </c>
      <c r="J144" s="707"/>
      <c r="K144" s="14">
        <f t="shared" si="33"/>
        <v>1</v>
      </c>
      <c r="L144" s="707"/>
      <c r="M144" s="14">
        <f t="shared" si="34"/>
        <v>1</v>
      </c>
      <c r="N144" s="707"/>
      <c r="O144" s="14">
        <f t="shared" si="35"/>
        <v>1</v>
      </c>
      <c r="P144" s="707"/>
      <c r="Q144" s="14">
        <f t="shared" si="36"/>
        <v>-0.02</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0.04</v>
      </c>
      <c r="F145" s="707"/>
      <c r="G145" s="14">
        <f t="shared" si="31"/>
        <v>0.03</v>
      </c>
      <c r="H145" s="707"/>
      <c r="I145" s="14">
        <f t="shared" si="32"/>
        <v>1</v>
      </c>
      <c r="J145" s="707"/>
      <c r="K145" s="14">
        <f t="shared" si="33"/>
        <v>1</v>
      </c>
      <c r="L145" s="707"/>
      <c r="M145" s="14">
        <f t="shared" si="34"/>
        <v>1</v>
      </c>
      <c r="N145" s="707"/>
      <c r="O145" s="14">
        <f t="shared" si="35"/>
        <v>1</v>
      </c>
      <c r="P145" s="707"/>
      <c r="Q145" s="14">
        <f t="shared" si="36"/>
        <v>-0.02</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0.04</v>
      </c>
      <c r="F146" s="707"/>
      <c r="G146" s="14">
        <f t="shared" si="31"/>
        <v>0.03</v>
      </c>
      <c r="H146" s="707"/>
      <c r="I146" s="14">
        <f t="shared" si="32"/>
        <v>1</v>
      </c>
      <c r="J146" s="707"/>
      <c r="K146" s="14">
        <f t="shared" si="33"/>
        <v>1</v>
      </c>
      <c r="L146" s="707"/>
      <c r="M146" s="14">
        <f t="shared" si="34"/>
        <v>1</v>
      </c>
      <c r="N146" s="707"/>
      <c r="O146" s="14">
        <f t="shared" si="35"/>
        <v>1</v>
      </c>
      <c r="P146" s="707"/>
      <c r="Q146" s="14">
        <f t="shared" si="36"/>
        <v>-0.02</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0.04</v>
      </c>
      <c r="F147" s="707"/>
      <c r="G147" s="14">
        <f t="shared" si="31"/>
        <v>0.03</v>
      </c>
      <c r="H147" s="707"/>
      <c r="I147" s="14">
        <f t="shared" si="32"/>
        <v>1</v>
      </c>
      <c r="J147" s="707"/>
      <c r="K147" s="14">
        <f t="shared" si="33"/>
        <v>1</v>
      </c>
      <c r="L147" s="707"/>
      <c r="M147" s="14">
        <f t="shared" si="34"/>
        <v>1</v>
      </c>
      <c r="N147" s="707"/>
      <c r="O147" s="14">
        <f t="shared" si="35"/>
        <v>1</v>
      </c>
      <c r="P147" s="707"/>
      <c r="Q147" s="14">
        <f t="shared" si="36"/>
        <v>-0.02</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0.04</v>
      </c>
      <c r="F148" s="707"/>
      <c r="G148" s="14">
        <f t="shared" si="31"/>
        <v>0.03</v>
      </c>
      <c r="H148" s="707"/>
      <c r="I148" s="14">
        <f t="shared" si="32"/>
        <v>1</v>
      </c>
      <c r="J148" s="707"/>
      <c r="K148" s="14">
        <f t="shared" si="33"/>
        <v>1</v>
      </c>
      <c r="L148" s="707"/>
      <c r="M148" s="14">
        <f t="shared" si="34"/>
        <v>1</v>
      </c>
      <c r="N148" s="707"/>
      <c r="O148" s="14">
        <f t="shared" si="35"/>
        <v>1</v>
      </c>
      <c r="P148" s="707"/>
      <c r="Q148" s="14">
        <f t="shared" si="36"/>
        <v>-0.02</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0.04</v>
      </c>
      <c r="F149" s="707"/>
      <c r="G149" s="14">
        <f t="shared" si="31"/>
        <v>0.03</v>
      </c>
      <c r="H149" s="707"/>
      <c r="I149" s="14">
        <f t="shared" si="32"/>
        <v>1</v>
      </c>
      <c r="J149" s="707"/>
      <c r="K149" s="14">
        <f t="shared" si="33"/>
        <v>1</v>
      </c>
      <c r="L149" s="707"/>
      <c r="M149" s="14">
        <f t="shared" si="34"/>
        <v>1</v>
      </c>
      <c r="N149" s="707"/>
      <c r="O149" s="14">
        <f t="shared" si="35"/>
        <v>1</v>
      </c>
      <c r="P149" s="707"/>
      <c r="Q149" s="14">
        <f t="shared" si="36"/>
        <v>-0.02</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0.04</v>
      </c>
      <c r="F150" s="707"/>
      <c r="G150" s="14">
        <f t="shared" si="31"/>
        <v>0.03</v>
      </c>
      <c r="H150" s="707"/>
      <c r="I150" s="14">
        <f t="shared" si="32"/>
        <v>1</v>
      </c>
      <c r="J150" s="707"/>
      <c r="K150" s="14">
        <f t="shared" si="33"/>
        <v>1</v>
      </c>
      <c r="L150" s="707"/>
      <c r="M150" s="14">
        <f t="shared" si="34"/>
        <v>1</v>
      </c>
      <c r="N150" s="707"/>
      <c r="O150" s="14">
        <f t="shared" si="35"/>
        <v>1</v>
      </c>
      <c r="P150" s="707"/>
      <c r="Q150" s="14">
        <f t="shared" si="36"/>
        <v>-0.02</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0.04</v>
      </c>
      <c r="F151" s="707"/>
      <c r="G151" s="14">
        <f t="shared" si="31"/>
        <v>0.03</v>
      </c>
      <c r="H151" s="707"/>
      <c r="I151" s="14">
        <f t="shared" si="32"/>
        <v>1</v>
      </c>
      <c r="J151" s="707"/>
      <c r="K151" s="14">
        <f t="shared" si="33"/>
        <v>1</v>
      </c>
      <c r="L151" s="707"/>
      <c r="M151" s="14">
        <f t="shared" si="34"/>
        <v>1</v>
      </c>
      <c r="N151" s="707"/>
      <c r="O151" s="14">
        <f t="shared" si="35"/>
        <v>1</v>
      </c>
      <c r="P151" s="707"/>
      <c r="Q151" s="14">
        <f t="shared" si="36"/>
        <v>-0.02</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0.04</v>
      </c>
      <c r="F152" s="707"/>
      <c r="G152" s="14">
        <f t="shared" si="31"/>
        <v>0.03</v>
      </c>
      <c r="H152" s="707"/>
      <c r="I152" s="14">
        <f t="shared" si="32"/>
        <v>1</v>
      </c>
      <c r="J152" s="707"/>
      <c r="K152" s="14">
        <f t="shared" si="33"/>
        <v>1</v>
      </c>
      <c r="L152" s="707"/>
      <c r="M152" s="14">
        <f t="shared" si="34"/>
        <v>1</v>
      </c>
      <c r="N152" s="707"/>
      <c r="O152" s="14">
        <f t="shared" si="35"/>
        <v>1</v>
      </c>
      <c r="P152" s="707"/>
      <c r="Q152" s="14">
        <f t="shared" si="36"/>
        <v>-0.02</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0.04</v>
      </c>
      <c r="F153" s="707"/>
      <c r="G153" s="14">
        <f t="shared" si="31"/>
        <v>0.03</v>
      </c>
      <c r="H153" s="707"/>
      <c r="I153" s="14">
        <f t="shared" si="32"/>
        <v>1</v>
      </c>
      <c r="J153" s="707"/>
      <c r="K153" s="14">
        <f t="shared" si="33"/>
        <v>1</v>
      </c>
      <c r="L153" s="707"/>
      <c r="M153" s="14">
        <f t="shared" si="34"/>
        <v>1</v>
      </c>
      <c r="N153" s="707"/>
      <c r="O153" s="14">
        <f t="shared" si="35"/>
        <v>1</v>
      </c>
      <c r="P153" s="707"/>
      <c r="Q153" s="14">
        <f t="shared" si="36"/>
        <v>-0.02</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0.04</v>
      </c>
      <c r="F154" s="707"/>
      <c r="G154" s="14">
        <f t="shared" si="31"/>
        <v>0.03</v>
      </c>
      <c r="H154" s="707"/>
      <c r="I154" s="14">
        <f t="shared" si="32"/>
        <v>1</v>
      </c>
      <c r="J154" s="707"/>
      <c r="K154" s="14">
        <f t="shared" si="33"/>
        <v>1</v>
      </c>
      <c r="L154" s="707"/>
      <c r="M154" s="14">
        <f t="shared" si="34"/>
        <v>1</v>
      </c>
      <c r="N154" s="707"/>
      <c r="O154" s="14">
        <f t="shared" si="35"/>
        <v>1</v>
      </c>
      <c r="P154" s="707"/>
      <c r="Q154" s="14">
        <f t="shared" si="36"/>
        <v>-0.02</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0.04</v>
      </c>
      <c r="F155" s="707"/>
      <c r="G155" s="14">
        <f t="shared" si="31"/>
        <v>0.03</v>
      </c>
      <c r="H155" s="707"/>
      <c r="I155" s="14">
        <f t="shared" si="32"/>
        <v>1</v>
      </c>
      <c r="J155" s="707"/>
      <c r="K155" s="14">
        <f t="shared" si="33"/>
        <v>1</v>
      </c>
      <c r="L155" s="707"/>
      <c r="M155" s="14">
        <f t="shared" si="34"/>
        <v>1</v>
      </c>
      <c r="N155" s="707"/>
      <c r="O155" s="14">
        <f t="shared" si="35"/>
        <v>1</v>
      </c>
      <c r="P155" s="707"/>
      <c r="Q155" s="14">
        <f t="shared" si="36"/>
        <v>-0.02</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0.04</v>
      </c>
      <c r="F156" s="707"/>
      <c r="G156" s="14">
        <f t="shared" ref="G156:G219" si="46">(SUMIF($10:$10,F156,$11:$11)-SUMIF($10:$10,$F$27,$11:$11)+100)/100</f>
        <v>0.03</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-0.02</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0.04</v>
      </c>
      <c r="F157" s="707"/>
      <c r="G157" s="14">
        <f t="shared" si="46"/>
        <v>0.03</v>
      </c>
      <c r="H157" s="707"/>
      <c r="I157" s="14">
        <f t="shared" si="47"/>
        <v>1</v>
      </c>
      <c r="J157" s="707"/>
      <c r="K157" s="14">
        <f t="shared" si="48"/>
        <v>1</v>
      </c>
      <c r="L157" s="707"/>
      <c r="M157" s="14">
        <f t="shared" si="49"/>
        <v>1</v>
      </c>
      <c r="N157" s="707"/>
      <c r="O157" s="14">
        <f t="shared" si="50"/>
        <v>1</v>
      </c>
      <c r="P157" s="707"/>
      <c r="Q157" s="14">
        <f t="shared" si="51"/>
        <v>-0.02</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0.04</v>
      </c>
      <c r="F158" s="707"/>
      <c r="G158" s="14">
        <f t="shared" si="46"/>
        <v>0.03</v>
      </c>
      <c r="H158" s="707"/>
      <c r="I158" s="14">
        <f t="shared" si="47"/>
        <v>1</v>
      </c>
      <c r="J158" s="707"/>
      <c r="K158" s="14">
        <f t="shared" si="48"/>
        <v>1</v>
      </c>
      <c r="L158" s="707"/>
      <c r="M158" s="14">
        <f t="shared" si="49"/>
        <v>1</v>
      </c>
      <c r="N158" s="707"/>
      <c r="O158" s="14">
        <f t="shared" si="50"/>
        <v>1</v>
      </c>
      <c r="P158" s="707"/>
      <c r="Q158" s="14">
        <f t="shared" si="51"/>
        <v>-0.02</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0.04</v>
      </c>
      <c r="F159" s="707"/>
      <c r="G159" s="14">
        <f t="shared" si="46"/>
        <v>0.03</v>
      </c>
      <c r="H159" s="707"/>
      <c r="I159" s="14">
        <f t="shared" si="47"/>
        <v>1</v>
      </c>
      <c r="J159" s="707"/>
      <c r="K159" s="14">
        <f t="shared" si="48"/>
        <v>1</v>
      </c>
      <c r="L159" s="707"/>
      <c r="M159" s="14">
        <f t="shared" si="49"/>
        <v>1</v>
      </c>
      <c r="N159" s="707"/>
      <c r="O159" s="14">
        <f t="shared" si="50"/>
        <v>1</v>
      </c>
      <c r="P159" s="707"/>
      <c r="Q159" s="14">
        <f t="shared" si="51"/>
        <v>-0.02</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0.04</v>
      </c>
      <c r="F160" s="707"/>
      <c r="G160" s="14">
        <f t="shared" si="46"/>
        <v>0.03</v>
      </c>
      <c r="H160" s="707"/>
      <c r="I160" s="14">
        <f t="shared" si="47"/>
        <v>1</v>
      </c>
      <c r="J160" s="707"/>
      <c r="K160" s="14">
        <f t="shared" si="48"/>
        <v>1</v>
      </c>
      <c r="L160" s="707"/>
      <c r="M160" s="14">
        <f t="shared" si="49"/>
        <v>1</v>
      </c>
      <c r="N160" s="707"/>
      <c r="O160" s="14">
        <f t="shared" si="50"/>
        <v>1</v>
      </c>
      <c r="P160" s="707"/>
      <c r="Q160" s="14">
        <f t="shared" si="51"/>
        <v>-0.02</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0.04</v>
      </c>
      <c r="F161" s="707"/>
      <c r="G161" s="14">
        <f t="shared" si="46"/>
        <v>0.03</v>
      </c>
      <c r="H161" s="707"/>
      <c r="I161" s="14">
        <f t="shared" si="47"/>
        <v>1</v>
      </c>
      <c r="J161" s="707"/>
      <c r="K161" s="14">
        <f t="shared" si="48"/>
        <v>1</v>
      </c>
      <c r="L161" s="707"/>
      <c r="M161" s="14">
        <f t="shared" si="49"/>
        <v>1</v>
      </c>
      <c r="N161" s="707"/>
      <c r="O161" s="14">
        <f t="shared" si="50"/>
        <v>1</v>
      </c>
      <c r="P161" s="707"/>
      <c r="Q161" s="14">
        <f t="shared" si="51"/>
        <v>-0.02</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0.04</v>
      </c>
      <c r="F162" s="707"/>
      <c r="G162" s="14">
        <f t="shared" si="46"/>
        <v>0.03</v>
      </c>
      <c r="H162" s="707"/>
      <c r="I162" s="14">
        <f t="shared" si="47"/>
        <v>1</v>
      </c>
      <c r="J162" s="707"/>
      <c r="K162" s="14">
        <f t="shared" si="48"/>
        <v>1</v>
      </c>
      <c r="L162" s="707"/>
      <c r="M162" s="14">
        <f t="shared" si="49"/>
        <v>1</v>
      </c>
      <c r="N162" s="707"/>
      <c r="O162" s="14">
        <f t="shared" si="50"/>
        <v>1</v>
      </c>
      <c r="P162" s="707"/>
      <c r="Q162" s="14">
        <f t="shared" si="51"/>
        <v>-0.02</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0.04</v>
      </c>
      <c r="F163" s="707"/>
      <c r="G163" s="14">
        <f t="shared" si="46"/>
        <v>0.03</v>
      </c>
      <c r="H163" s="707"/>
      <c r="I163" s="14">
        <f t="shared" si="47"/>
        <v>1</v>
      </c>
      <c r="J163" s="707"/>
      <c r="K163" s="14">
        <f t="shared" si="48"/>
        <v>1</v>
      </c>
      <c r="L163" s="707"/>
      <c r="M163" s="14">
        <f t="shared" si="49"/>
        <v>1</v>
      </c>
      <c r="N163" s="707"/>
      <c r="O163" s="14">
        <f t="shared" si="50"/>
        <v>1</v>
      </c>
      <c r="P163" s="707"/>
      <c r="Q163" s="14">
        <f t="shared" si="51"/>
        <v>-0.02</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0.04</v>
      </c>
      <c r="F164" s="707"/>
      <c r="G164" s="14">
        <f t="shared" si="46"/>
        <v>0.03</v>
      </c>
      <c r="H164" s="707"/>
      <c r="I164" s="14">
        <f t="shared" si="47"/>
        <v>1</v>
      </c>
      <c r="J164" s="707"/>
      <c r="K164" s="14">
        <f t="shared" si="48"/>
        <v>1</v>
      </c>
      <c r="L164" s="707"/>
      <c r="M164" s="14">
        <f t="shared" si="49"/>
        <v>1</v>
      </c>
      <c r="N164" s="707"/>
      <c r="O164" s="14">
        <f t="shared" si="50"/>
        <v>1</v>
      </c>
      <c r="P164" s="707"/>
      <c r="Q164" s="14">
        <f t="shared" si="51"/>
        <v>-0.02</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0.04</v>
      </c>
      <c r="F165" s="707"/>
      <c r="G165" s="14">
        <f t="shared" si="46"/>
        <v>0.03</v>
      </c>
      <c r="H165" s="707"/>
      <c r="I165" s="14">
        <f t="shared" si="47"/>
        <v>1</v>
      </c>
      <c r="J165" s="707"/>
      <c r="K165" s="14">
        <f t="shared" si="48"/>
        <v>1</v>
      </c>
      <c r="L165" s="707"/>
      <c r="M165" s="14">
        <f t="shared" si="49"/>
        <v>1</v>
      </c>
      <c r="N165" s="707"/>
      <c r="O165" s="14">
        <f t="shared" si="50"/>
        <v>1</v>
      </c>
      <c r="P165" s="707"/>
      <c r="Q165" s="14">
        <f t="shared" si="51"/>
        <v>-0.02</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0.04</v>
      </c>
      <c r="F166" s="707"/>
      <c r="G166" s="14">
        <f t="shared" si="46"/>
        <v>0.03</v>
      </c>
      <c r="H166" s="707"/>
      <c r="I166" s="14">
        <f t="shared" si="47"/>
        <v>1</v>
      </c>
      <c r="J166" s="707"/>
      <c r="K166" s="14">
        <f t="shared" si="48"/>
        <v>1</v>
      </c>
      <c r="L166" s="707"/>
      <c r="M166" s="14">
        <f t="shared" si="49"/>
        <v>1</v>
      </c>
      <c r="N166" s="707"/>
      <c r="O166" s="14">
        <f t="shared" si="50"/>
        <v>1</v>
      </c>
      <c r="P166" s="707"/>
      <c r="Q166" s="14">
        <f t="shared" si="51"/>
        <v>-0.02</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0.04</v>
      </c>
      <c r="F167" s="707"/>
      <c r="G167" s="14">
        <f t="shared" si="46"/>
        <v>0.03</v>
      </c>
      <c r="H167" s="707"/>
      <c r="I167" s="14">
        <f t="shared" si="47"/>
        <v>1</v>
      </c>
      <c r="J167" s="707"/>
      <c r="K167" s="14">
        <f t="shared" si="48"/>
        <v>1</v>
      </c>
      <c r="L167" s="707"/>
      <c r="M167" s="14">
        <f t="shared" si="49"/>
        <v>1</v>
      </c>
      <c r="N167" s="707"/>
      <c r="O167" s="14">
        <f t="shared" si="50"/>
        <v>1</v>
      </c>
      <c r="P167" s="707"/>
      <c r="Q167" s="14">
        <f t="shared" si="51"/>
        <v>-0.02</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0.04</v>
      </c>
      <c r="F168" s="707"/>
      <c r="G168" s="14">
        <f t="shared" si="46"/>
        <v>0.03</v>
      </c>
      <c r="H168" s="707"/>
      <c r="I168" s="14">
        <f t="shared" si="47"/>
        <v>1</v>
      </c>
      <c r="J168" s="707"/>
      <c r="K168" s="14">
        <f t="shared" si="48"/>
        <v>1</v>
      </c>
      <c r="L168" s="707"/>
      <c r="M168" s="14">
        <f t="shared" si="49"/>
        <v>1</v>
      </c>
      <c r="N168" s="707"/>
      <c r="O168" s="14">
        <f t="shared" si="50"/>
        <v>1</v>
      </c>
      <c r="P168" s="707"/>
      <c r="Q168" s="14">
        <f t="shared" si="51"/>
        <v>-0.02</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0.04</v>
      </c>
      <c r="F169" s="707"/>
      <c r="G169" s="14">
        <f t="shared" si="46"/>
        <v>0.03</v>
      </c>
      <c r="H169" s="707"/>
      <c r="I169" s="14">
        <f t="shared" si="47"/>
        <v>1</v>
      </c>
      <c r="J169" s="707"/>
      <c r="K169" s="14">
        <f t="shared" si="48"/>
        <v>1</v>
      </c>
      <c r="L169" s="707"/>
      <c r="M169" s="14">
        <f t="shared" si="49"/>
        <v>1</v>
      </c>
      <c r="N169" s="707"/>
      <c r="O169" s="14">
        <f t="shared" si="50"/>
        <v>1</v>
      </c>
      <c r="P169" s="707"/>
      <c r="Q169" s="14">
        <f t="shared" si="51"/>
        <v>-0.02</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0.04</v>
      </c>
      <c r="F170" s="707"/>
      <c r="G170" s="14">
        <f t="shared" si="46"/>
        <v>0.03</v>
      </c>
      <c r="H170" s="707"/>
      <c r="I170" s="14">
        <f t="shared" si="47"/>
        <v>1</v>
      </c>
      <c r="J170" s="707"/>
      <c r="K170" s="14">
        <f t="shared" si="48"/>
        <v>1</v>
      </c>
      <c r="L170" s="707"/>
      <c r="M170" s="14">
        <f t="shared" si="49"/>
        <v>1</v>
      </c>
      <c r="N170" s="707"/>
      <c r="O170" s="14">
        <f t="shared" si="50"/>
        <v>1</v>
      </c>
      <c r="P170" s="707"/>
      <c r="Q170" s="14">
        <f t="shared" si="51"/>
        <v>-0.02</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0.04</v>
      </c>
      <c r="F171" s="707"/>
      <c r="G171" s="14">
        <f t="shared" si="46"/>
        <v>0.03</v>
      </c>
      <c r="H171" s="707"/>
      <c r="I171" s="14">
        <f t="shared" si="47"/>
        <v>1</v>
      </c>
      <c r="J171" s="707"/>
      <c r="K171" s="14">
        <f t="shared" si="48"/>
        <v>1</v>
      </c>
      <c r="L171" s="707"/>
      <c r="M171" s="14">
        <f t="shared" si="49"/>
        <v>1</v>
      </c>
      <c r="N171" s="707"/>
      <c r="O171" s="14">
        <f t="shared" si="50"/>
        <v>1</v>
      </c>
      <c r="P171" s="707"/>
      <c r="Q171" s="14">
        <f t="shared" si="51"/>
        <v>-0.02</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0.04</v>
      </c>
      <c r="F172" s="707"/>
      <c r="G172" s="14">
        <f t="shared" si="46"/>
        <v>0.03</v>
      </c>
      <c r="H172" s="707"/>
      <c r="I172" s="14">
        <f t="shared" si="47"/>
        <v>1</v>
      </c>
      <c r="J172" s="707"/>
      <c r="K172" s="14">
        <f t="shared" si="48"/>
        <v>1</v>
      </c>
      <c r="L172" s="707"/>
      <c r="M172" s="14">
        <f t="shared" si="49"/>
        <v>1</v>
      </c>
      <c r="N172" s="707"/>
      <c r="O172" s="14">
        <f t="shared" si="50"/>
        <v>1</v>
      </c>
      <c r="P172" s="707"/>
      <c r="Q172" s="14">
        <f t="shared" si="51"/>
        <v>-0.02</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0.04</v>
      </c>
      <c r="F173" s="707"/>
      <c r="G173" s="14">
        <f t="shared" si="46"/>
        <v>0.03</v>
      </c>
      <c r="H173" s="707"/>
      <c r="I173" s="14">
        <f t="shared" si="47"/>
        <v>1</v>
      </c>
      <c r="J173" s="707"/>
      <c r="K173" s="14">
        <f t="shared" si="48"/>
        <v>1</v>
      </c>
      <c r="L173" s="707"/>
      <c r="M173" s="14">
        <f t="shared" si="49"/>
        <v>1</v>
      </c>
      <c r="N173" s="707"/>
      <c r="O173" s="14">
        <f t="shared" si="50"/>
        <v>1</v>
      </c>
      <c r="P173" s="707"/>
      <c r="Q173" s="14">
        <f t="shared" si="51"/>
        <v>-0.02</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0.04</v>
      </c>
      <c r="F174" s="707"/>
      <c r="G174" s="14">
        <f t="shared" si="46"/>
        <v>0.03</v>
      </c>
      <c r="H174" s="707"/>
      <c r="I174" s="14">
        <f t="shared" si="47"/>
        <v>1</v>
      </c>
      <c r="J174" s="707"/>
      <c r="K174" s="14">
        <f t="shared" si="48"/>
        <v>1</v>
      </c>
      <c r="L174" s="707"/>
      <c r="M174" s="14">
        <f t="shared" si="49"/>
        <v>1</v>
      </c>
      <c r="N174" s="707"/>
      <c r="O174" s="14">
        <f t="shared" si="50"/>
        <v>1</v>
      </c>
      <c r="P174" s="707"/>
      <c r="Q174" s="14">
        <f t="shared" si="51"/>
        <v>-0.02</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0.04</v>
      </c>
      <c r="F175" s="707"/>
      <c r="G175" s="14">
        <f t="shared" si="46"/>
        <v>0.03</v>
      </c>
      <c r="H175" s="707"/>
      <c r="I175" s="14">
        <f t="shared" si="47"/>
        <v>1</v>
      </c>
      <c r="J175" s="707"/>
      <c r="K175" s="14">
        <f t="shared" si="48"/>
        <v>1</v>
      </c>
      <c r="L175" s="707"/>
      <c r="M175" s="14">
        <f t="shared" si="49"/>
        <v>1</v>
      </c>
      <c r="N175" s="707"/>
      <c r="O175" s="14">
        <f t="shared" si="50"/>
        <v>1</v>
      </c>
      <c r="P175" s="707"/>
      <c r="Q175" s="14">
        <f t="shared" si="51"/>
        <v>-0.02</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0.04</v>
      </c>
      <c r="F176" s="707"/>
      <c r="G176" s="14">
        <f t="shared" si="46"/>
        <v>0.03</v>
      </c>
      <c r="H176" s="707"/>
      <c r="I176" s="14">
        <f t="shared" si="47"/>
        <v>1</v>
      </c>
      <c r="J176" s="707"/>
      <c r="K176" s="14">
        <f t="shared" si="48"/>
        <v>1</v>
      </c>
      <c r="L176" s="707"/>
      <c r="M176" s="14">
        <f t="shared" si="49"/>
        <v>1</v>
      </c>
      <c r="N176" s="707"/>
      <c r="O176" s="14">
        <f t="shared" si="50"/>
        <v>1</v>
      </c>
      <c r="P176" s="707"/>
      <c r="Q176" s="14">
        <f t="shared" si="51"/>
        <v>-0.02</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0.04</v>
      </c>
      <c r="F177" s="707"/>
      <c r="G177" s="14">
        <f t="shared" si="46"/>
        <v>0.03</v>
      </c>
      <c r="H177" s="707"/>
      <c r="I177" s="14">
        <f t="shared" si="47"/>
        <v>1</v>
      </c>
      <c r="J177" s="707"/>
      <c r="K177" s="14">
        <f t="shared" si="48"/>
        <v>1</v>
      </c>
      <c r="L177" s="707"/>
      <c r="M177" s="14">
        <f t="shared" si="49"/>
        <v>1</v>
      </c>
      <c r="N177" s="707"/>
      <c r="O177" s="14">
        <f t="shared" si="50"/>
        <v>1</v>
      </c>
      <c r="P177" s="707"/>
      <c r="Q177" s="14">
        <f t="shared" si="51"/>
        <v>-0.02</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0.04</v>
      </c>
      <c r="F178" s="707"/>
      <c r="G178" s="14">
        <f t="shared" si="46"/>
        <v>0.03</v>
      </c>
      <c r="H178" s="707"/>
      <c r="I178" s="14">
        <f t="shared" si="47"/>
        <v>1</v>
      </c>
      <c r="J178" s="707"/>
      <c r="K178" s="14">
        <f t="shared" si="48"/>
        <v>1</v>
      </c>
      <c r="L178" s="707"/>
      <c r="M178" s="14">
        <f t="shared" si="49"/>
        <v>1</v>
      </c>
      <c r="N178" s="707"/>
      <c r="O178" s="14">
        <f t="shared" si="50"/>
        <v>1</v>
      </c>
      <c r="P178" s="707"/>
      <c r="Q178" s="14">
        <f t="shared" si="51"/>
        <v>-0.02</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0.04</v>
      </c>
      <c r="F179" s="707"/>
      <c r="G179" s="14">
        <f t="shared" si="46"/>
        <v>0.03</v>
      </c>
      <c r="H179" s="707"/>
      <c r="I179" s="14">
        <f t="shared" si="47"/>
        <v>1</v>
      </c>
      <c r="J179" s="707"/>
      <c r="K179" s="14">
        <f t="shared" si="48"/>
        <v>1</v>
      </c>
      <c r="L179" s="707"/>
      <c r="M179" s="14">
        <f t="shared" si="49"/>
        <v>1</v>
      </c>
      <c r="N179" s="707"/>
      <c r="O179" s="14">
        <f t="shared" si="50"/>
        <v>1</v>
      </c>
      <c r="P179" s="707"/>
      <c r="Q179" s="14">
        <f t="shared" si="51"/>
        <v>-0.02</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0.04</v>
      </c>
      <c r="F180" s="707"/>
      <c r="G180" s="14">
        <f t="shared" si="46"/>
        <v>0.03</v>
      </c>
      <c r="H180" s="707"/>
      <c r="I180" s="14">
        <f t="shared" si="47"/>
        <v>1</v>
      </c>
      <c r="J180" s="707"/>
      <c r="K180" s="14">
        <f t="shared" si="48"/>
        <v>1</v>
      </c>
      <c r="L180" s="707"/>
      <c r="M180" s="14">
        <f t="shared" si="49"/>
        <v>1</v>
      </c>
      <c r="N180" s="707"/>
      <c r="O180" s="14">
        <f t="shared" si="50"/>
        <v>1</v>
      </c>
      <c r="P180" s="707"/>
      <c r="Q180" s="14">
        <f t="shared" si="51"/>
        <v>-0.02</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0.04</v>
      </c>
      <c r="F181" s="707"/>
      <c r="G181" s="14">
        <f t="shared" si="46"/>
        <v>0.03</v>
      </c>
      <c r="H181" s="707"/>
      <c r="I181" s="14">
        <f t="shared" si="47"/>
        <v>1</v>
      </c>
      <c r="J181" s="707"/>
      <c r="K181" s="14">
        <f t="shared" si="48"/>
        <v>1</v>
      </c>
      <c r="L181" s="707"/>
      <c r="M181" s="14">
        <f t="shared" si="49"/>
        <v>1</v>
      </c>
      <c r="N181" s="707"/>
      <c r="O181" s="14">
        <f t="shared" si="50"/>
        <v>1</v>
      </c>
      <c r="P181" s="707"/>
      <c r="Q181" s="14">
        <f t="shared" si="51"/>
        <v>-0.02</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0.04</v>
      </c>
      <c r="F182" s="707"/>
      <c r="G182" s="14">
        <f t="shared" si="46"/>
        <v>0.03</v>
      </c>
      <c r="H182" s="707"/>
      <c r="I182" s="14">
        <f t="shared" si="47"/>
        <v>1</v>
      </c>
      <c r="J182" s="707"/>
      <c r="K182" s="14">
        <f t="shared" si="48"/>
        <v>1</v>
      </c>
      <c r="L182" s="707"/>
      <c r="M182" s="14">
        <f t="shared" si="49"/>
        <v>1</v>
      </c>
      <c r="N182" s="707"/>
      <c r="O182" s="14">
        <f t="shared" si="50"/>
        <v>1</v>
      </c>
      <c r="P182" s="707"/>
      <c r="Q182" s="14">
        <f t="shared" si="51"/>
        <v>-0.02</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0.04</v>
      </c>
      <c r="F183" s="707"/>
      <c r="G183" s="14">
        <f t="shared" si="46"/>
        <v>0.03</v>
      </c>
      <c r="H183" s="707"/>
      <c r="I183" s="14">
        <f t="shared" si="47"/>
        <v>1</v>
      </c>
      <c r="J183" s="707"/>
      <c r="K183" s="14">
        <f t="shared" si="48"/>
        <v>1</v>
      </c>
      <c r="L183" s="707"/>
      <c r="M183" s="14">
        <f t="shared" si="49"/>
        <v>1</v>
      </c>
      <c r="N183" s="707"/>
      <c r="O183" s="14">
        <f t="shared" si="50"/>
        <v>1</v>
      </c>
      <c r="P183" s="707"/>
      <c r="Q183" s="14">
        <f t="shared" si="51"/>
        <v>-0.02</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0.04</v>
      </c>
      <c r="F184" s="707"/>
      <c r="G184" s="14">
        <f t="shared" si="46"/>
        <v>0.03</v>
      </c>
      <c r="H184" s="707"/>
      <c r="I184" s="14">
        <f t="shared" si="47"/>
        <v>1</v>
      </c>
      <c r="J184" s="707"/>
      <c r="K184" s="14">
        <f t="shared" si="48"/>
        <v>1</v>
      </c>
      <c r="L184" s="707"/>
      <c r="M184" s="14">
        <f t="shared" si="49"/>
        <v>1</v>
      </c>
      <c r="N184" s="707"/>
      <c r="O184" s="14">
        <f t="shared" si="50"/>
        <v>1</v>
      </c>
      <c r="P184" s="707"/>
      <c r="Q184" s="14">
        <f t="shared" si="51"/>
        <v>-0.02</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0.04</v>
      </c>
      <c r="F185" s="707"/>
      <c r="G185" s="14">
        <f t="shared" si="46"/>
        <v>0.03</v>
      </c>
      <c r="H185" s="707"/>
      <c r="I185" s="14">
        <f t="shared" si="47"/>
        <v>1</v>
      </c>
      <c r="J185" s="707"/>
      <c r="K185" s="14">
        <f t="shared" si="48"/>
        <v>1</v>
      </c>
      <c r="L185" s="707"/>
      <c r="M185" s="14">
        <f t="shared" si="49"/>
        <v>1</v>
      </c>
      <c r="N185" s="707"/>
      <c r="O185" s="14">
        <f t="shared" si="50"/>
        <v>1</v>
      </c>
      <c r="P185" s="707"/>
      <c r="Q185" s="14">
        <f t="shared" si="51"/>
        <v>-0.02</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0.04</v>
      </c>
      <c r="F186" s="707"/>
      <c r="G186" s="14">
        <f t="shared" si="46"/>
        <v>0.03</v>
      </c>
      <c r="H186" s="707"/>
      <c r="I186" s="14">
        <f t="shared" si="47"/>
        <v>1</v>
      </c>
      <c r="J186" s="707"/>
      <c r="K186" s="14">
        <f t="shared" si="48"/>
        <v>1</v>
      </c>
      <c r="L186" s="707"/>
      <c r="M186" s="14">
        <f t="shared" si="49"/>
        <v>1</v>
      </c>
      <c r="N186" s="707"/>
      <c r="O186" s="14">
        <f t="shared" si="50"/>
        <v>1</v>
      </c>
      <c r="P186" s="707"/>
      <c r="Q186" s="14">
        <f t="shared" si="51"/>
        <v>-0.02</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0.04</v>
      </c>
      <c r="F187" s="707"/>
      <c r="G187" s="14">
        <f t="shared" si="46"/>
        <v>0.03</v>
      </c>
      <c r="H187" s="707"/>
      <c r="I187" s="14">
        <f t="shared" si="47"/>
        <v>1</v>
      </c>
      <c r="J187" s="707"/>
      <c r="K187" s="14">
        <f t="shared" si="48"/>
        <v>1</v>
      </c>
      <c r="L187" s="707"/>
      <c r="M187" s="14">
        <f t="shared" si="49"/>
        <v>1</v>
      </c>
      <c r="N187" s="707"/>
      <c r="O187" s="14">
        <f t="shared" si="50"/>
        <v>1</v>
      </c>
      <c r="P187" s="707"/>
      <c r="Q187" s="14">
        <f t="shared" si="51"/>
        <v>-0.02</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0.04</v>
      </c>
      <c r="F188" s="707"/>
      <c r="G188" s="14">
        <f t="shared" si="46"/>
        <v>0.03</v>
      </c>
      <c r="H188" s="707"/>
      <c r="I188" s="14">
        <f t="shared" si="47"/>
        <v>1</v>
      </c>
      <c r="J188" s="707"/>
      <c r="K188" s="14">
        <f t="shared" si="48"/>
        <v>1</v>
      </c>
      <c r="L188" s="707"/>
      <c r="M188" s="14">
        <f t="shared" si="49"/>
        <v>1</v>
      </c>
      <c r="N188" s="707"/>
      <c r="O188" s="14">
        <f t="shared" si="50"/>
        <v>1</v>
      </c>
      <c r="P188" s="707"/>
      <c r="Q188" s="14">
        <f t="shared" si="51"/>
        <v>-0.02</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0.04</v>
      </c>
      <c r="F189" s="707"/>
      <c r="G189" s="14">
        <f t="shared" si="46"/>
        <v>0.03</v>
      </c>
      <c r="H189" s="707"/>
      <c r="I189" s="14">
        <f t="shared" si="47"/>
        <v>1</v>
      </c>
      <c r="J189" s="707"/>
      <c r="K189" s="14">
        <f t="shared" si="48"/>
        <v>1</v>
      </c>
      <c r="L189" s="707"/>
      <c r="M189" s="14">
        <f t="shared" si="49"/>
        <v>1</v>
      </c>
      <c r="N189" s="707"/>
      <c r="O189" s="14">
        <f t="shared" si="50"/>
        <v>1</v>
      </c>
      <c r="P189" s="707"/>
      <c r="Q189" s="14">
        <f t="shared" si="51"/>
        <v>-0.02</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0.04</v>
      </c>
      <c r="F190" s="707"/>
      <c r="G190" s="14">
        <f t="shared" si="46"/>
        <v>0.03</v>
      </c>
      <c r="H190" s="707"/>
      <c r="I190" s="14">
        <f t="shared" si="47"/>
        <v>1</v>
      </c>
      <c r="J190" s="707"/>
      <c r="K190" s="14">
        <f t="shared" si="48"/>
        <v>1</v>
      </c>
      <c r="L190" s="707"/>
      <c r="M190" s="14">
        <f t="shared" si="49"/>
        <v>1</v>
      </c>
      <c r="N190" s="707"/>
      <c r="O190" s="14">
        <f t="shared" si="50"/>
        <v>1</v>
      </c>
      <c r="P190" s="707"/>
      <c r="Q190" s="14">
        <f t="shared" si="51"/>
        <v>-0.02</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0.04</v>
      </c>
      <c r="F191" s="707"/>
      <c r="G191" s="14">
        <f t="shared" si="46"/>
        <v>0.03</v>
      </c>
      <c r="H191" s="707"/>
      <c r="I191" s="14">
        <f t="shared" si="47"/>
        <v>1</v>
      </c>
      <c r="J191" s="707"/>
      <c r="K191" s="14">
        <f t="shared" si="48"/>
        <v>1</v>
      </c>
      <c r="L191" s="707"/>
      <c r="M191" s="14">
        <f t="shared" si="49"/>
        <v>1</v>
      </c>
      <c r="N191" s="707"/>
      <c r="O191" s="14">
        <f t="shared" si="50"/>
        <v>1</v>
      </c>
      <c r="P191" s="707"/>
      <c r="Q191" s="14">
        <f t="shared" si="51"/>
        <v>-0.02</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0.04</v>
      </c>
      <c r="F192" s="707"/>
      <c r="G192" s="14">
        <f t="shared" si="46"/>
        <v>0.03</v>
      </c>
      <c r="H192" s="707"/>
      <c r="I192" s="14">
        <f t="shared" si="47"/>
        <v>1</v>
      </c>
      <c r="J192" s="707"/>
      <c r="K192" s="14">
        <f t="shared" si="48"/>
        <v>1</v>
      </c>
      <c r="L192" s="707"/>
      <c r="M192" s="14">
        <f t="shared" si="49"/>
        <v>1</v>
      </c>
      <c r="N192" s="707"/>
      <c r="O192" s="14">
        <f t="shared" si="50"/>
        <v>1</v>
      </c>
      <c r="P192" s="707"/>
      <c r="Q192" s="14">
        <f t="shared" si="51"/>
        <v>-0.02</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0.04</v>
      </c>
      <c r="F193" s="707"/>
      <c r="G193" s="14">
        <f t="shared" si="46"/>
        <v>0.03</v>
      </c>
      <c r="H193" s="707"/>
      <c r="I193" s="14">
        <f t="shared" si="47"/>
        <v>1</v>
      </c>
      <c r="J193" s="707"/>
      <c r="K193" s="14">
        <f t="shared" si="48"/>
        <v>1</v>
      </c>
      <c r="L193" s="707"/>
      <c r="M193" s="14">
        <f t="shared" si="49"/>
        <v>1</v>
      </c>
      <c r="N193" s="707"/>
      <c r="O193" s="14">
        <f t="shared" si="50"/>
        <v>1</v>
      </c>
      <c r="P193" s="707"/>
      <c r="Q193" s="14">
        <f t="shared" si="51"/>
        <v>-0.02</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0.04</v>
      </c>
      <c r="F194" s="707"/>
      <c r="G194" s="14">
        <f t="shared" si="46"/>
        <v>0.03</v>
      </c>
      <c r="H194" s="707"/>
      <c r="I194" s="14">
        <f t="shared" si="47"/>
        <v>1</v>
      </c>
      <c r="J194" s="707"/>
      <c r="K194" s="14">
        <f t="shared" si="48"/>
        <v>1</v>
      </c>
      <c r="L194" s="707"/>
      <c r="M194" s="14">
        <f t="shared" si="49"/>
        <v>1</v>
      </c>
      <c r="N194" s="707"/>
      <c r="O194" s="14">
        <f t="shared" si="50"/>
        <v>1</v>
      </c>
      <c r="P194" s="707"/>
      <c r="Q194" s="14">
        <f t="shared" si="51"/>
        <v>-0.02</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0.04</v>
      </c>
      <c r="F195" s="707"/>
      <c r="G195" s="14">
        <f t="shared" si="46"/>
        <v>0.03</v>
      </c>
      <c r="H195" s="707"/>
      <c r="I195" s="14">
        <f t="shared" si="47"/>
        <v>1</v>
      </c>
      <c r="J195" s="707"/>
      <c r="K195" s="14">
        <f t="shared" si="48"/>
        <v>1</v>
      </c>
      <c r="L195" s="707"/>
      <c r="M195" s="14">
        <f t="shared" si="49"/>
        <v>1</v>
      </c>
      <c r="N195" s="707"/>
      <c r="O195" s="14">
        <f t="shared" si="50"/>
        <v>1</v>
      </c>
      <c r="P195" s="707"/>
      <c r="Q195" s="14">
        <f t="shared" si="51"/>
        <v>-0.02</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0.04</v>
      </c>
      <c r="F196" s="707"/>
      <c r="G196" s="14">
        <f t="shared" si="46"/>
        <v>0.03</v>
      </c>
      <c r="H196" s="707"/>
      <c r="I196" s="14">
        <f t="shared" si="47"/>
        <v>1</v>
      </c>
      <c r="J196" s="707"/>
      <c r="K196" s="14">
        <f t="shared" si="48"/>
        <v>1</v>
      </c>
      <c r="L196" s="707"/>
      <c r="M196" s="14">
        <f t="shared" si="49"/>
        <v>1</v>
      </c>
      <c r="N196" s="707"/>
      <c r="O196" s="14">
        <f t="shared" si="50"/>
        <v>1</v>
      </c>
      <c r="P196" s="707"/>
      <c r="Q196" s="14">
        <f t="shared" si="51"/>
        <v>-0.02</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0.04</v>
      </c>
      <c r="F197" s="707"/>
      <c r="G197" s="14">
        <f t="shared" si="46"/>
        <v>0.03</v>
      </c>
      <c r="H197" s="707"/>
      <c r="I197" s="14">
        <f t="shared" si="47"/>
        <v>1</v>
      </c>
      <c r="J197" s="707"/>
      <c r="K197" s="14">
        <f t="shared" si="48"/>
        <v>1</v>
      </c>
      <c r="L197" s="707"/>
      <c r="M197" s="14">
        <f t="shared" si="49"/>
        <v>1</v>
      </c>
      <c r="N197" s="707"/>
      <c r="O197" s="14">
        <f t="shared" si="50"/>
        <v>1</v>
      </c>
      <c r="P197" s="707"/>
      <c r="Q197" s="14">
        <f t="shared" si="51"/>
        <v>-0.02</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0.04</v>
      </c>
      <c r="F198" s="707"/>
      <c r="G198" s="14">
        <f t="shared" si="46"/>
        <v>0.03</v>
      </c>
      <c r="H198" s="707"/>
      <c r="I198" s="14">
        <f t="shared" si="47"/>
        <v>1</v>
      </c>
      <c r="J198" s="707"/>
      <c r="K198" s="14">
        <f t="shared" si="48"/>
        <v>1</v>
      </c>
      <c r="L198" s="707"/>
      <c r="M198" s="14">
        <f t="shared" si="49"/>
        <v>1</v>
      </c>
      <c r="N198" s="707"/>
      <c r="O198" s="14">
        <f t="shared" si="50"/>
        <v>1</v>
      </c>
      <c r="P198" s="707"/>
      <c r="Q198" s="14">
        <f t="shared" si="51"/>
        <v>-0.02</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0.04</v>
      </c>
      <c r="F199" s="707"/>
      <c r="G199" s="14">
        <f t="shared" si="46"/>
        <v>0.03</v>
      </c>
      <c r="H199" s="707"/>
      <c r="I199" s="14">
        <f t="shared" si="47"/>
        <v>1</v>
      </c>
      <c r="J199" s="707"/>
      <c r="K199" s="14">
        <f t="shared" si="48"/>
        <v>1</v>
      </c>
      <c r="L199" s="707"/>
      <c r="M199" s="14">
        <f t="shared" si="49"/>
        <v>1</v>
      </c>
      <c r="N199" s="707"/>
      <c r="O199" s="14">
        <f t="shared" si="50"/>
        <v>1</v>
      </c>
      <c r="P199" s="707"/>
      <c r="Q199" s="14">
        <f t="shared" si="51"/>
        <v>-0.02</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0.04</v>
      </c>
      <c r="F200" s="707"/>
      <c r="G200" s="14">
        <f t="shared" si="46"/>
        <v>0.03</v>
      </c>
      <c r="H200" s="707"/>
      <c r="I200" s="14">
        <f t="shared" si="47"/>
        <v>1</v>
      </c>
      <c r="J200" s="707"/>
      <c r="K200" s="14">
        <f t="shared" si="48"/>
        <v>1</v>
      </c>
      <c r="L200" s="707"/>
      <c r="M200" s="14">
        <f t="shared" si="49"/>
        <v>1</v>
      </c>
      <c r="N200" s="707"/>
      <c r="O200" s="14">
        <f t="shared" si="50"/>
        <v>1</v>
      </c>
      <c r="P200" s="707"/>
      <c r="Q200" s="14">
        <f t="shared" si="51"/>
        <v>-0.02</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0.04</v>
      </c>
      <c r="F201" s="707"/>
      <c r="G201" s="14">
        <f t="shared" si="46"/>
        <v>0.03</v>
      </c>
      <c r="H201" s="707"/>
      <c r="I201" s="14">
        <f t="shared" si="47"/>
        <v>1</v>
      </c>
      <c r="J201" s="707"/>
      <c r="K201" s="14">
        <f t="shared" si="48"/>
        <v>1</v>
      </c>
      <c r="L201" s="707"/>
      <c r="M201" s="14">
        <f t="shared" si="49"/>
        <v>1</v>
      </c>
      <c r="N201" s="707"/>
      <c r="O201" s="14">
        <f t="shared" si="50"/>
        <v>1</v>
      </c>
      <c r="P201" s="707"/>
      <c r="Q201" s="14">
        <f t="shared" si="51"/>
        <v>-0.02</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0.04</v>
      </c>
      <c r="F202" s="707"/>
      <c r="G202" s="14">
        <f t="shared" si="46"/>
        <v>0.03</v>
      </c>
      <c r="H202" s="707"/>
      <c r="I202" s="14">
        <f t="shared" si="47"/>
        <v>1</v>
      </c>
      <c r="J202" s="707"/>
      <c r="K202" s="14">
        <f t="shared" si="48"/>
        <v>1</v>
      </c>
      <c r="L202" s="707"/>
      <c r="M202" s="14">
        <f t="shared" si="49"/>
        <v>1</v>
      </c>
      <c r="N202" s="707"/>
      <c r="O202" s="14">
        <f t="shared" si="50"/>
        <v>1</v>
      </c>
      <c r="P202" s="707"/>
      <c r="Q202" s="14">
        <f t="shared" si="51"/>
        <v>-0.02</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0.04</v>
      </c>
      <c r="F203" s="707"/>
      <c r="G203" s="14">
        <f t="shared" si="46"/>
        <v>0.03</v>
      </c>
      <c r="H203" s="707"/>
      <c r="I203" s="14">
        <f t="shared" si="47"/>
        <v>1</v>
      </c>
      <c r="J203" s="707"/>
      <c r="K203" s="14">
        <f t="shared" si="48"/>
        <v>1</v>
      </c>
      <c r="L203" s="707"/>
      <c r="M203" s="14">
        <f t="shared" si="49"/>
        <v>1</v>
      </c>
      <c r="N203" s="707"/>
      <c r="O203" s="14">
        <f t="shared" si="50"/>
        <v>1</v>
      </c>
      <c r="P203" s="707"/>
      <c r="Q203" s="14">
        <f t="shared" si="51"/>
        <v>-0.02</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0.04</v>
      </c>
      <c r="F204" s="707"/>
      <c r="G204" s="14">
        <f t="shared" si="46"/>
        <v>0.03</v>
      </c>
      <c r="H204" s="707"/>
      <c r="I204" s="14">
        <f t="shared" si="47"/>
        <v>1</v>
      </c>
      <c r="J204" s="707"/>
      <c r="K204" s="14">
        <f t="shared" si="48"/>
        <v>1</v>
      </c>
      <c r="L204" s="707"/>
      <c r="M204" s="14">
        <f t="shared" si="49"/>
        <v>1</v>
      </c>
      <c r="N204" s="707"/>
      <c r="O204" s="14">
        <f t="shared" si="50"/>
        <v>1</v>
      </c>
      <c r="P204" s="707"/>
      <c r="Q204" s="14">
        <f t="shared" si="51"/>
        <v>-0.02</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0.04</v>
      </c>
      <c r="F205" s="707"/>
      <c r="G205" s="14">
        <f t="shared" si="46"/>
        <v>0.03</v>
      </c>
      <c r="H205" s="707"/>
      <c r="I205" s="14">
        <f t="shared" si="47"/>
        <v>1</v>
      </c>
      <c r="J205" s="707"/>
      <c r="K205" s="14">
        <f t="shared" si="48"/>
        <v>1</v>
      </c>
      <c r="L205" s="707"/>
      <c r="M205" s="14">
        <f t="shared" si="49"/>
        <v>1</v>
      </c>
      <c r="N205" s="707"/>
      <c r="O205" s="14">
        <f t="shared" si="50"/>
        <v>1</v>
      </c>
      <c r="P205" s="707"/>
      <c r="Q205" s="14">
        <f t="shared" si="51"/>
        <v>-0.02</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0.04</v>
      </c>
      <c r="F206" s="707"/>
      <c r="G206" s="14">
        <f t="shared" si="46"/>
        <v>0.03</v>
      </c>
      <c r="H206" s="707"/>
      <c r="I206" s="14">
        <f t="shared" si="47"/>
        <v>1</v>
      </c>
      <c r="J206" s="707"/>
      <c r="K206" s="14">
        <f t="shared" si="48"/>
        <v>1</v>
      </c>
      <c r="L206" s="707"/>
      <c r="M206" s="14">
        <f t="shared" si="49"/>
        <v>1</v>
      </c>
      <c r="N206" s="707"/>
      <c r="O206" s="14">
        <f t="shared" si="50"/>
        <v>1</v>
      </c>
      <c r="P206" s="707"/>
      <c r="Q206" s="14">
        <f t="shared" si="51"/>
        <v>-0.02</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0.04</v>
      </c>
      <c r="F207" s="707"/>
      <c r="G207" s="14">
        <f t="shared" si="46"/>
        <v>0.03</v>
      </c>
      <c r="H207" s="707"/>
      <c r="I207" s="14">
        <f t="shared" si="47"/>
        <v>1</v>
      </c>
      <c r="J207" s="707"/>
      <c r="K207" s="14">
        <f t="shared" si="48"/>
        <v>1</v>
      </c>
      <c r="L207" s="707"/>
      <c r="M207" s="14">
        <f t="shared" si="49"/>
        <v>1</v>
      </c>
      <c r="N207" s="707"/>
      <c r="O207" s="14">
        <f t="shared" si="50"/>
        <v>1</v>
      </c>
      <c r="P207" s="707"/>
      <c r="Q207" s="14">
        <f t="shared" si="51"/>
        <v>-0.02</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0.04</v>
      </c>
      <c r="F208" s="707"/>
      <c r="G208" s="14">
        <f t="shared" si="46"/>
        <v>0.03</v>
      </c>
      <c r="H208" s="707"/>
      <c r="I208" s="14">
        <f t="shared" si="47"/>
        <v>1</v>
      </c>
      <c r="J208" s="707"/>
      <c r="K208" s="14">
        <f t="shared" si="48"/>
        <v>1</v>
      </c>
      <c r="L208" s="707"/>
      <c r="M208" s="14">
        <f t="shared" si="49"/>
        <v>1</v>
      </c>
      <c r="N208" s="707"/>
      <c r="O208" s="14">
        <f t="shared" si="50"/>
        <v>1</v>
      </c>
      <c r="P208" s="707"/>
      <c r="Q208" s="14">
        <f t="shared" si="51"/>
        <v>-0.02</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0.04</v>
      </c>
      <c r="F209" s="707"/>
      <c r="G209" s="14">
        <f t="shared" si="46"/>
        <v>0.03</v>
      </c>
      <c r="H209" s="707"/>
      <c r="I209" s="14">
        <f t="shared" si="47"/>
        <v>1</v>
      </c>
      <c r="J209" s="707"/>
      <c r="K209" s="14">
        <f t="shared" si="48"/>
        <v>1</v>
      </c>
      <c r="L209" s="707"/>
      <c r="M209" s="14">
        <f t="shared" si="49"/>
        <v>1</v>
      </c>
      <c r="N209" s="707"/>
      <c r="O209" s="14">
        <f t="shared" si="50"/>
        <v>1</v>
      </c>
      <c r="P209" s="707"/>
      <c r="Q209" s="14">
        <f t="shared" si="51"/>
        <v>-0.02</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0.04</v>
      </c>
      <c r="F210" s="707"/>
      <c r="G210" s="14">
        <f t="shared" si="46"/>
        <v>0.03</v>
      </c>
      <c r="H210" s="707"/>
      <c r="I210" s="14">
        <f t="shared" si="47"/>
        <v>1</v>
      </c>
      <c r="J210" s="707"/>
      <c r="K210" s="14">
        <f t="shared" si="48"/>
        <v>1</v>
      </c>
      <c r="L210" s="707"/>
      <c r="M210" s="14">
        <f t="shared" si="49"/>
        <v>1</v>
      </c>
      <c r="N210" s="707"/>
      <c r="O210" s="14">
        <f t="shared" si="50"/>
        <v>1</v>
      </c>
      <c r="P210" s="707"/>
      <c r="Q210" s="14">
        <f t="shared" si="51"/>
        <v>-0.02</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0.04</v>
      </c>
      <c r="F211" s="707"/>
      <c r="G211" s="14">
        <f t="shared" si="46"/>
        <v>0.03</v>
      </c>
      <c r="H211" s="707"/>
      <c r="I211" s="14">
        <f t="shared" si="47"/>
        <v>1</v>
      </c>
      <c r="J211" s="707"/>
      <c r="K211" s="14">
        <f t="shared" si="48"/>
        <v>1</v>
      </c>
      <c r="L211" s="707"/>
      <c r="M211" s="14">
        <f t="shared" si="49"/>
        <v>1</v>
      </c>
      <c r="N211" s="707"/>
      <c r="O211" s="14">
        <f t="shared" si="50"/>
        <v>1</v>
      </c>
      <c r="P211" s="707"/>
      <c r="Q211" s="14">
        <f t="shared" si="51"/>
        <v>-0.02</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0.04</v>
      </c>
      <c r="F212" s="707"/>
      <c r="G212" s="14">
        <f t="shared" si="46"/>
        <v>0.03</v>
      </c>
      <c r="H212" s="707"/>
      <c r="I212" s="14">
        <f t="shared" si="47"/>
        <v>1</v>
      </c>
      <c r="J212" s="707"/>
      <c r="K212" s="14">
        <f t="shared" si="48"/>
        <v>1</v>
      </c>
      <c r="L212" s="707"/>
      <c r="M212" s="14">
        <f t="shared" si="49"/>
        <v>1</v>
      </c>
      <c r="N212" s="707"/>
      <c r="O212" s="14">
        <f t="shared" si="50"/>
        <v>1</v>
      </c>
      <c r="P212" s="707"/>
      <c r="Q212" s="14">
        <f t="shared" si="51"/>
        <v>-0.02</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0.04</v>
      </c>
      <c r="F213" s="707"/>
      <c r="G213" s="14">
        <f t="shared" si="46"/>
        <v>0.03</v>
      </c>
      <c r="H213" s="707"/>
      <c r="I213" s="14">
        <f t="shared" si="47"/>
        <v>1</v>
      </c>
      <c r="J213" s="707"/>
      <c r="K213" s="14">
        <f t="shared" si="48"/>
        <v>1</v>
      </c>
      <c r="L213" s="707"/>
      <c r="M213" s="14">
        <f t="shared" si="49"/>
        <v>1</v>
      </c>
      <c r="N213" s="707"/>
      <c r="O213" s="14">
        <f t="shared" si="50"/>
        <v>1</v>
      </c>
      <c r="P213" s="707"/>
      <c r="Q213" s="14">
        <f t="shared" si="51"/>
        <v>-0.02</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0.04</v>
      </c>
      <c r="F214" s="707"/>
      <c r="G214" s="14">
        <f t="shared" si="46"/>
        <v>0.03</v>
      </c>
      <c r="H214" s="707"/>
      <c r="I214" s="14">
        <f t="shared" si="47"/>
        <v>1</v>
      </c>
      <c r="J214" s="707"/>
      <c r="K214" s="14">
        <f t="shared" si="48"/>
        <v>1</v>
      </c>
      <c r="L214" s="707"/>
      <c r="M214" s="14">
        <f t="shared" si="49"/>
        <v>1</v>
      </c>
      <c r="N214" s="707"/>
      <c r="O214" s="14">
        <f t="shared" si="50"/>
        <v>1</v>
      </c>
      <c r="P214" s="707"/>
      <c r="Q214" s="14">
        <f t="shared" si="51"/>
        <v>-0.02</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0.04</v>
      </c>
      <c r="F215" s="707"/>
      <c r="G215" s="14">
        <f t="shared" si="46"/>
        <v>0.03</v>
      </c>
      <c r="H215" s="707"/>
      <c r="I215" s="14">
        <f t="shared" si="47"/>
        <v>1</v>
      </c>
      <c r="J215" s="707"/>
      <c r="K215" s="14">
        <f t="shared" si="48"/>
        <v>1</v>
      </c>
      <c r="L215" s="707"/>
      <c r="M215" s="14">
        <f t="shared" si="49"/>
        <v>1</v>
      </c>
      <c r="N215" s="707"/>
      <c r="O215" s="14">
        <f t="shared" si="50"/>
        <v>1</v>
      </c>
      <c r="P215" s="707"/>
      <c r="Q215" s="14">
        <f t="shared" si="51"/>
        <v>-0.02</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0.04</v>
      </c>
      <c r="F216" s="707"/>
      <c r="G216" s="14">
        <f t="shared" si="46"/>
        <v>0.03</v>
      </c>
      <c r="H216" s="707"/>
      <c r="I216" s="14">
        <f t="shared" si="47"/>
        <v>1</v>
      </c>
      <c r="J216" s="707"/>
      <c r="K216" s="14">
        <f t="shared" si="48"/>
        <v>1</v>
      </c>
      <c r="L216" s="707"/>
      <c r="M216" s="14">
        <f t="shared" si="49"/>
        <v>1</v>
      </c>
      <c r="N216" s="707"/>
      <c r="O216" s="14">
        <f t="shared" si="50"/>
        <v>1</v>
      </c>
      <c r="P216" s="707"/>
      <c r="Q216" s="14">
        <f t="shared" si="51"/>
        <v>-0.02</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0.04</v>
      </c>
      <c r="F217" s="707"/>
      <c r="G217" s="14">
        <f t="shared" si="46"/>
        <v>0.03</v>
      </c>
      <c r="H217" s="707"/>
      <c r="I217" s="14">
        <f t="shared" si="47"/>
        <v>1</v>
      </c>
      <c r="J217" s="707"/>
      <c r="K217" s="14">
        <f t="shared" si="48"/>
        <v>1</v>
      </c>
      <c r="L217" s="707"/>
      <c r="M217" s="14">
        <f t="shared" si="49"/>
        <v>1</v>
      </c>
      <c r="N217" s="707"/>
      <c r="O217" s="14">
        <f t="shared" si="50"/>
        <v>1</v>
      </c>
      <c r="P217" s="707"/>
      <c r="Q217" s="14">
        <f t="shared" si="51"/>
        <v>-0.02</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0.04</v>
      </c>
      <c r="F218" s="707"/>
      <c r="G218" s="14">
        <f t="shared" si="46"/>
        <v>0.03</v>
      </c>
      <c r="H218" s="707"/>
      <c r="I218" s="14">
        <f t="shared" si="47"/>
        <v>1</v>
      </c>
      <c r="J218" s="707"/>
      <c r="K218" s="14">
        <f t="shared" si="48"/>
        <v>1</v>
      </c>
      <c r="L218" s="707"/>
      <c r="M218" s="14">
        <f t="shared" si="49"/>
        <v>1</v>
      </c>
      <c r="N218" s="707"/>
      <c r="O218" s="14">
        <f t="shared" si="50"/>
        <v>1</v>
      </c>
      <c r="P218" s="707"/>
      <c r="Q218" s="14">
        <f t="shared" si="51"/>
        <v>-0.02</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0.04</v>
      </c>
      <c r="F219" s="707"/>
      <c r="G219" s="14">
        <f t="shared" si="46"/>
        <v>0.03</v>
      </c>
      <c r="H219" s="707"/>
      <c r="I219" s="14">
        <f t="shared" si="47"/>
        <v>1</v>
      </c>
      <c r="J219" s="707"/>
      <c r="K219" s="14">
        <f t="shared" si="48"/>
        <v>1</v>
      </c>
      <c r="L219" s="707"/>
      <c r="M219" s="14">
        <f t="shared" si="49"/>
        <v>1</v>
      </c>
      <c r="N219" s="707"/>
      <c r="O219" s="14">
        <f t="shared" si="50"/>
        <v>1</v>
      </c>
      <c r="P219" s="707"/>
      <c r="Q219" s="14">
        <f t="shared" si="51"/>
        <v>-0.02</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0.04</v>
      </c>
      <c r="F220" s="707"/>
      <c r="G220" s="14">
        <f t="shared" ref="G220:G283" si="61">(SUMIF($10:$10,F220,$11:$11)-SUMIF($10:$10,$F$27,$11:$11)+100)/100</f>
        <v>0.03</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-0.02</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0.04</v>
      </c>
      <c r="F221" s="707"/>
      <c r="G221" s="14">
        <f t="shared" si="61"/>
        <v>0.03</v>
      </c>
      <c r="H221" s="707"/>
      <c r="I221" s="14">
        <f t="shared" si="62"/>
        <v>1</v>
      </c>
      <c r="J221" s="707"/>
      <c r="K221" s="14">
        <f t="shared" si="63"/>
        <v>1</v>
      </c>
      <c r="L221" s="707"/>
      <c r="M221" s="14">
        <f t="shared" si="64"/>
        <v>1</v>
      </c>
      <c r="N221" s="707"/>
      <c r="O221" s="14">
        <f t="shared" si="65"/>
        <v>1</v>
      </c>
      <c r="P221" s="707"/>
      <c r="Q221" s="14">
        <f t="shared" si="66"/>
        <v>-0.02</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0.04</v>
      </c>
      <c r="F222" s="707"/>
      <c r="G222" s="14">
        <f t="shared" si="61"/>
        <v>0.03</v>
      </c>
      <c r="H222" s="707"/>
      <c r="I222" s="14">
        <f t="shared" si="62"/>
        <v>1</v>
      </c>
      <c r="J222" s="707"/>
      <c r="K222" s="14">
        <f t="shared" si="63"/>
        <v>1</v>
      </c>
      <c r="L222" s="707"/>
      <c r="M222" s="14">
        <f t="shared" si="64"/>
        <v>1</v>
      </c>
      <c r="N222" s="707"/>
      <c r="O222" s="14">
        <f t="shared" si="65"/>
        <v>1</v>
      </c>
      <c r="P222" s="707"/>
      <c r="Q222" s="14">
        <f t="shared" si="66"/>
        <v>-0.02</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0.04</v>
      </c>
      <c r="F223" s="707"/>
      <c r="G223" s="14">
        <f t="shared" si="61"/>
        <v>0.03</v>
      </c>
      <c r="H223" s="707"/>
      <c r="I223" s="14">
        <f t="shared" si="62"/>
        <v>1</v>
      </c>
      <c r="J223" s="707"/>
      <c r="K223" s="14">
        <f t="shared" si="63"/>
        <v>1</v>
      </c>
      <c r="L223" s="707"/>
      <c r="M223" s="14">
        <f t="shared" si="64"/>
        <v>1</v>
      </c>
      <c r="N223" s="707"/>
      <c r="O223" s="14">
        <f t="shared" si="65"/>
        <v>1</v>
      </c>
      <c r="P223" s="707"/>
      <c r="Q223" s="14">
        <f t="shared" si="66"/>
        <v>-0.02</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0.04</v>
      </c>
      <c r="F224" s="707"/>
      <c r="G224" s="14">
        <f t="shared" si="61"/>
        <v>0.03</v>
      </c>
      <c r="H224" s="707"/>
      <c r="I224" s="14">
        <f t="shared" si="62"/>
        <v>1</v>
      </c>
      <c r="J224" s="707"/>
      <c r="K224" s="14">
        <f t="shared" si="63"/>
        <v>1</v>
      </c>
      <c r="L224" s="707"/>
      <c r="M224" s="14">
        <f t="shared" si="64"/>
        <v>1</v>
      </c>
      <c r="N224" s="707"/>
      <c r="O224" s="14">
        <f t="shared" si="65"/>
        <v>1</v>
      </c>
      <c r="P224" s="707"/>
      <c r="Q224" s="14">
        <f t="shared" si="66"/>
        <v>-0.02</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0.04</v>
      </c>
      <c r="F225" s="707"/>
      <c r="G225" s="14">
        <f t="shared" si="61"/>
        <v>0.03</v>
      </c>
      <c r="H225" s="707"/>
      <c r="I225" s="14">
        <f t="shared" si="62"/>
        <v>1</v>
      </c>
      <c r="J225" s="707"/>
      <c r="K225" s="14">
        <f t="shared" si="63"/>
        <v>1</v>
      </c>
      <c r="L225" s="707"/>
      <c r="M225" s="14">
        <f t="shared" si="64"/>
        <v>1</v>
      </c>
      <c r="N225" s="707"/>
      <c r="O225" s="14">
        <f t="shared" si="65"/>
        <v>1</v>
      </c>
      <c r="P225" s="707"/>
      <c r="Q225" s="14">
        <f t="shared" si="66"/>
        <v>-0.02</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0.04</v>
      </c>
      <c r="F226" s="707"/>
      <c r="G226" s="14">
        <f t="shared" si="61"/>
        <v>0.03</v>
      </c>
      <c r="H226" s="707"/>
      <c r="I226" s="14">
        <f t="shared" si="62"/>
        <v>1</v>
      </c>
      <c r="J226" s="707"/>
      <c r="K226" s="14">
        <f t="shared" si="63"/>
        <v>1</v>
      </c>
      <c r="L226" s="707"/>
      <c r="M226" s="14">
        <f t="shared" si="64"/>
        <v>1</v>
      </c>
      <c r="N226" s="707"/>
      <c r="O226" s="14">
        <f t="shared" si="65"/>
        <v>1</v>
      </c>
      <c r="P226" s="707"/>
      <c r="Q226" s="14">
        <f t="shared" si="66"/>
        <v>-0.02</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0.04</v>
      </c>
      <c r="F227" s="707"/>
      <c r="G227" s="14">
        <f t="shared" si="61"/>
        <v>0.03</v>
      </c>
      <c r="H227" s="707"/>
      <c r="I227" s="14">
        <f t="shared" si="62"/>
        <v>1</v>
      </c>
      <c r="J227" s="707"/>
      <c r="K227" s="14">
        <f t="shared" si="63"/>
        <v>1</v>
      </c>
      <c r="L227" s="707"/>
      <c r="M227" s="14">
        <f t="shared" si="64"/>
        <v>1</v>
      </c>
      <c r="N227" s="707"/>
      <c r="O227" s="14">
        <f t="shared" si="65"/>
        <v>1</v>
      </c>
      <c r="P227" s="707"/>
      <c r="Q227" s="14">
        <f t="shared" si="66"/>
        <v>-0.02</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0.04</v>
      </c>
      <c r="F228" s="707"/>
      <c r="G228" s="14">
        <f t="shared" si="61"/>
        <v>0.03</v>
      </c>
      <c r="H228" s="707"/>
      <c r="I228" s="14">
        <f t="shared" si="62"/>
        <v>1</v>
      </c>
      <c r="J228" s="707"/>
      <c r="K228" s="14">
        <f t="shared" si="63"/>
        <v>1</v>
      </c>
      <c r="L228" s="707"/>
      <c r="M228" s="14">
        <f t="shared" si="64"/>
        <v>1</v>
      </c>
      <c r="N228" s="707"/>
      <c r="O228" s="14">
        <f t="shared" si="65"/>
        <v>1</v>
      </c>
      <c r="P228" s="707"/>
      <c r="Q228" s="14">
        <f t="shared" si="66"/>
        <v>-0.02</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0.04</v>
      </c>
      <c r="F229" s="707"/>
      <c r="G229" s="14">
        <f t="shared" si="61"/>
        <v>0.03</v>
      </c>
      <c r="H229" s="707"/>
      <c r="I229" s="14">
        <f t="shared" si="62"/>
        <v>1</v>
      </c>
      <c r="J229" s="707"/>
      <c r="K229" s="14">
        <f t="shared" si="63"/>
        <v>1</v>
      </c>
      <c r="L229" s="707"/>
      <c r="M229" s="14">
        <f t="shared" si="64"/>
        <v>1</v>
      </c>
      <c r="N229" s="707"/>
      <c r="O229" s="14">
        <f t="shared" si="65"/>
        <v>1</v>
      </c>
      <c r="P229" s="707"/>
      <c r="Q229" s="14">
        <f t="shared" si="66"/>
        <v>-0.02</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0.04</v>
      </c>
      <c r="F230" s="707"/>
      <c r="G230" s="14">
        <f t="shared" si="61"/>
        <v>0.03</v>
      </c>
      <c r="H230" s="707"/>
      <c r="I230" s="14">
        <f t="shared" si="62"/>
        <v>1</v>
      </c>
      <c r="J230" s="707"/>
      <c r="K230" s="14">
        <f t="shared" si="63"/>
        <v>1</v>
      </c>
      <c r="L230" s="707"/>
      <c r="M230" s="14">
        <f t="shared" si="64"/>
        <v>1</v>
      </c>
      <c r="N230" s="707"/>
      <c r="O230" s="14">
        <f t="shared" si="65"/>
        <v>1</v>
      </c>
      <c r="P230" s="707"/>
      <c r="Q230" s="14">
        <f t="shared" si="66"/>
        <v>-0.02</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0.04</v>
      </c>
      <c r="F231" s="707"/>
      <c r="G231" s="14">
        <f t="shared" si="61"/>
        <v>0.03</v>
      </c>
      <c r="H231" s="707"/>
      <c r="I231" s="14">
        <f t="shared" si="62"/>
        <v>1</v>
      </c>
      <c r="J231" s="707"/>
      <c r="K231" s="14">
        <f t="shared" si="63"/>
        <v>1</v>
      </c>
      <c r="L231" s="707"/>
      <c r="M231" s="14">
        <f t="shared" si="64"/>
        <v>1</v>
      </c>
      <c r="N231" s="707"/>
      <c r="O231" s="14">
        <f t="shared" si="65"/>
        <v>1</v>
      </c>
      <c r="P231" s="707"/>
      <c r="Q231" s="14">
        <f t="shared" si="66"/>
        <v>-0.02</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0.04</v>
      </c>
      <c r="F232" s="707"/>
      <c r="G232" s="14">
        <f t="shared" si="61"/>
        <v>0.03</v>
      </c>
      <c r="H232" s="707"/>
      <c r="I232" s="14">
        <f t="shared" si="62"/>
        <v>1</v>
      </c>
      <c r="J232" s="707"/>
      <c r="K232" s="14">
        <f t="shared" si="63"/>
        <v>1</v>
      </c>
      <c r="L232" s="707"/>
      <c r="M232" s="14">
        <f t="shared" si="64"/>
        <v>1</v>
      </c>
      <c r="N232" s="707"/>
      <c r="O232" s="14">
        <f t="shared" si="65"/>
        <v>1</v>
      </c>
      <c r="P232" s="707"/>
      <c r="Q232" s="14">
        <f t="shared" si="66"/>
        <v>-0.02</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0.04</v>
      </c>
      <c r="F233" s="707"/>
      <c r="G233" s="14">
        <f t="shared" si="61"/>
        <v>0.03</v>
      </c>
      <c r="H233" s="707"/>
      <c r="I233" s="14">
        <f t="shared" si="62"/>
        <v>1</v>
      </c>
      <c r="J233" s="707"/>
      <c r="K233" s="14">
        <f t="shared" si="63"/>
        <v>1</v>
      </c>
      <c r="L233" s="707"/>
      <c r="M233" s="14">
        <f t="shared" si="64"/>
        <v>1</v>
      </c>
      <c r="N233" s="707"/>
      <c r="O233" s="14">
        <f t="shared" si="65"/>
        <v>1</v>
      </c>
      <c r="P233" s="707"/>
      <c r="Q233" s="14">
        <f t="shared" si="66"/>
        <v>-0.02</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0.04</v>
      </c>
      <c r="F234" s="707"/>
      <c r="G234" s="14">
        <f t="shared" si="61"/>
        <v>0.03</v>
      </c>
      <c r="H234" s="707"/>
      <c r="I234" s="14">
        <f t="shared" si="62"/>
        <v>1</v>
      </c>
      <c r="J234" s="707"/>
      <c r="K234" s="14">
        <f t="shared" si="63"/>
        <v>1</v>
      </c>
      <c r="L234" s="707"/>
      <c r="M234" s="14">
        <f t="shared" si="64"/>
        <v>1</v>
      </c>
      <c r="N234" s="707"/>
      <c r="O234" s="14">
        <f t="shared" si="65"/>
        <v>1</v>
      </c>
      <c r="P234" s="707"/>
      <c r="Q234" s="14">
        <f t="shared" si="66"/>
        <v>-0.02</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0.04</v>
      </c>
      <c r="F235" s="707"/>
      <c r="G235" s="14">
        <f t="shared" si="61"/>
        <v>0.03</v>
      </c>
      <c r="H235" s="707"/>
      <c r="I235" s="14">
        <f t="shared" si="62"/>
        <v>1</v>
      </c>
      <c r="J235" s="707"/>
      <c r="K235" s="14">
        <f t="shared" si="63"/>
        <v>1</v>
      </c>
      <c r="L235" s="707"/>
      <c r="M235" s="14">
        <f t="shared" si="64"/>
        <v>1</v>
      </c>
      <c r="N235" s="707"/>
      <c r="O235" s="14">
        <f t="shared" si="65"/>
        <v>1</v>
      </c>
      <c r="P235" s="707"/>
      <c r="Q235" s="14">
        <f t="shared" si="66"/>
        <v>-0.02</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0.04</v>
      </c>
      <c r="F236" s="707"/>
      <c r="G236" s="14">
        <f t="shared" si="61"/>
        <v>0.03</v>
      </c>
      <c r="H236" s="707"/>
      <c r="I236" s="14">
        <f t="shared" si="62"/>
        <v>1</v>
      </c>
      <c r="J236" s="707"/>
      <c r="K236" s="14">
        <f t="shared" si="63"/>
        <v>1</v>
      </c>
      <c r="L236" s="707"/>
      <c r="M236" s="14">
        <f t="shared" si="64"/>
        <v>1</v>
      </c>
      <c r="N236" s="707"/>
      <c r="O236" s="14">
        <f t="shared" si="65"/>
        <v>1</v>
      </c>
      <c r="P236" s="707"/>
      <c r="Q236" s="14">
        <f t="shared" si="66"/>
        <v>-0.02</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0.04</v>
      </c>
      <c r="F237" s="707"/>
      <c r="G237" s="14">
        <f t="shared" si="61"/>
        <v>0.03</v>
      </c>
      <c r="H237" s="707"/>
      <c r="I237" s="14">
        <f t="shared" si="62"/>
        <v>1</v>
      </c>
      <c r="J237" s="707"/>
      <c r="K237" s="14">
        <f t="shared" si="63"/>
        <v>1</v>
      </c>
      <c r="L237" s="707"/>
      <c r="M237" s="14">
        <f t="shared" si="64"/>
        <v>1</v>
      </c>
      <c r="N237" s="707"/>
      <c r="O237" s="14">
        <f t="shared" si="65"/>
        <v>1</v>
      </c>
      <c r="P237" s="707"/>
      <c r="Q237" s="14">
        <f t="shared" si="66"/>
        <v>-0.02</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0.04</v>
      </c>
      <c r="F238" s="707"/>
      <c r="G238" s="14">
        <f t="shared" si="61"/>
        <v>0.03</v>
      </c>
      <c r="H238" s="707"/>
      <c r="I238" s="14">
        <f t="shared" si="62"/>
        <v>1</v>
      </c>
      <c r="J238" s="707"/>
      <c r="K238" s="14">
        <f t="shared" si="63"/>
        <v>1</v>
      </c>
      <c r="L238" s="707"/>
      <c r="M238" s="14">
        <f t="shared" si="64"/>
        <v>1</v>
      </c>
      <c r="N238" s="707"/>
      <c r="O238" s="14">
        <f t="shared" si="65"/>
        <v>1</v>
      </c>
      <c r="P238" s="707"/>
      <c r="Q238" s="14">
        <f t="shared" si="66"/>
        <v>-0.02</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0.04</v>
      </c>
      <c r="F239" s="707"/>
      <c r="G239" s="14">
        <f t="shared" si="61"/>
        <v>0.03</v>
      </c>
      <c r="H239" s="707"/>
      <c r="I239" s="14">
        <f t="shared" si="62"/>
        <v>1</v>
      </c>
      <c r="J239" s="707"/>
      <c r="K239" s="14">
        <f t="shared" si="63"/>
        <v>1</v>
      </c>
      <c r="L239" s="707"/>
      <c r="M239" s="14">
        <f t="shared" si="64"/>
        <v>1</v>
      </c>
      <c r="N239" s="707"/>
      <c r="O239" s="14">
        <f t="shared" si="65"/>
        <v>1</v>
      </c>
      <c r="P239" s="707"/>
      <c r="Q239" s="14">
        <f t="shared" si="66"/>
        <v>-0.02</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0.04</v>
      </c>
      <c r="F240" s="707"/>
      <c r="G240" s="14">
        <f t="shared" si="61"/>
        <v>0.03</v>
      </c>
      <c r="H240" s="707"/>
      <c r="I240" s="14">
        <f t="shared" si="62"/>
        <v>1</v>
      </c>
      <c r="J240" s="707"/>
      <c r="K240" s="14">
        <f t="shared" si="63"/>
        <v>1</v>
      </c>
      <c r="L240" s="707"/>
      <c r="M240" s="14">
        <f t="shared" si="64"/>
        <v>1</v>
      </c>
      <c r="N240" s="707"/>
      <c r="O240" s="14">
        <f t="shared" si="65"/>
        <v>1</v>
      </c>
      <c r="P240" s="707"/>
      <c r="Q240" s="14">
        <f t="shared" si="66"/>
        <v>-0.02</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0.04</v>
      </c>
      <c r="F241" s="707"/>
      <c r="G241" s="14">
        <f t="shared" si="61"/>
        <v>0.03</v>
      </c>
      <c r="H241" s="707"/>
      <c r="I241" s="14">
        <f t="shared" si="62"/>
        <v>1</v>
      </c>
      <c r="J241" s="707"/>
      <c r="K241" s="14">
        <f t="shared" si="63"/>
        <v>1</v>
      </c>
      <c r="L241" s="707"/>
      <c r="M241" s="14">
        <f t="shared" si="64"/>
        <v>1</v>
      </c>
      <c r="N241" s="707"/>
      <c r="O241" s="14">
        <f t="shared" si="65"/>
        <v>1</v>
      </c>
      <c r="P241" s="707"/>
      <c r="Q241" s="14">
        <f t="shared" si="66"/>
        <v>-0.02</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0.04</v>
      </c>
      <c r="F242" s="707"/>
      <c r="G242" s="14">
        <f t="shared" si="61"/>
        <v>0.03</v>
      </c>
      <c r="H242" s="707"/>
      <c r="I242" s="14">
        <f t="shared" si="62"/>
        <v>1</v>
      </c>
      <c r="J242" s="707"/>
      <c r="K242" s="14">
        <f t="shared" si="63"/>
        <v>1</v>
      </c>
      <c r="L242" s="707"/>
      <c r="M242" s="14">
        <f t="shared" si="64"/>
        <v>1</v>
      </c>
      <c r="N242" s="707"/>
      <c r="O242" s="14">
        <f t="shared" si="65"/>
        <v>1</v>
      </c>
      <c r="P242" s="707"/>
      <c r="Q242" s="14">
        <f t="shared" si="66"/>
        <v>-0.02</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0.04</v>
      </c>
      <c r="F243" s="707"/>
      <c r="G243" s="14">
        <f t="shared" si="61"/>
        <v>0.03</v>
      </c>
      <c r="H243" s="707"/>
      <c r="I243" s="14">
        <f t="shared" si="62"/>
        <v>1</v>
      </c>
      <c r="J243" s="707"/>
      <c r="K243" s="14">
        <f t="shared" si="63"/>
        <v>1</v>
      </c>
      <c r="L243" s="707"/>
      <c r="M243" s="14">
        <f t="shared" si="64"/>
        <v>1</v>
      </c>
      <c r="N243" s="707"/>
      <c r="O243" s="14">
        <f t="shared" si="65"/>
        <v>1</v>
      </c>
      <c r="P243" s="707"/>
      <c r="Q243" s="14">
        <f t="shared" si="66"/>
        <v>-0.02</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0.04</v>
      </c>
      <c r="F244" s="707"/>
      <c r="G244" s="14">
        <f t="shared" si="61"/>
        <v>0.03</v>
      </c>
      <c r="H244" s="707"/>
      <c r="I244" s="14">
        <f t="shared" si="62"/>
        <v>1</v>
      </c>
      <c r="J244" s="707"/>
      <c r="K244" s="14">
        <f t="shared" si="63"/>
        <v>1</v>
      </c>
      <c r="L244" s="707"/>
      <c r="M244" s="14">
        <f t="shared" si="64"/>
        <v>1</v>
      </c>
      <c r="N244" s="707"/>
      <c r="O244" s="14">
        <f t="shared" si="65"/>
        <v>1</v>
      </c>
      <c r="P244" s="707"/>
      <c r="Q244" s="14">
        <f t="shared" si="66"/>
        <v>-0.02</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0.04</v>
      </c>
      <c r="F245" s="707"/>
      <c r="G245" s="14">
        <f t="shared" si="61"/>
        <v>0.03</v>
      </c>
      <c r="H245" s="707"/>
      <c r="I245" s="14">
        <f t="shared" si="62"/>
        <v>1</v>
      </c>
      <c r="J245" s="707"/>
      <c r="K245" s="14">
        <f t="shared" si="63"/>
        <v>1</v>
      </c>
      <c r="L245" s="707"/>
      <c r="M245" s="14">
        <f t="shared" si="64"/>
        <v>1</v>
      </c>
      <c r="N245" s="707"/>
      <c r="O245" s="14">
        <f t="shared" si="65"/>
        <v>1</v>
      </c>
      <c r="P245" s="707"/>
      <c r="Q245" s="14">
        <f t="shared" si="66"/>
        <v>-0.02</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0.04</v>
      </c>
      <c r="F246" s="707"/>
      <c r="G246" s="14">
        <f t="shared" si="61"/>
        <v>0.03</v>
      </c>
      <c r="H246" s="707"/>
      <c r="I246" s="14">
        <f t="shared" si="62"/>
        <v>1</v>
      </c>
      <c r="J246" s="707"/>
      <c r="K246" s="14">
        <f t="shared" si="63"/>
        <v>1</v>
      </c>
      <c r="L246" s="707"/>
      <c r="M246" s="14">
        <f t="shared" si="64"/>
        <v>1</v>
      </c>
      <c r="N246" s="707"/>
      <c r="O246" s="14">
        <f t="shared" si="65"/>
        <v>1</v>
      </c>
      <c r="P246" s="707"/>
      <c r="Q246" s="14">
        <f t="shared" si="66"/>
        <v>-0.02</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0.04</v>
      </c>
      <c r="F247" s="707"/>
      <c r="G247" s="14">
        <f t="shared" si="61"/>
        <v>0.03</v>
      </c>
      <c r="H247" s="707"/>
      <c r="I247" s="14">
        <f t="shared" si="62"/>
        <v>1</v>
      </c>
      <c r="J247" s="707"/>
      <c r="K247" s="14">
        <f t="shared" si="63"/>
        <v>1</v>
      </c>
      <c r="L247" s="707"/>
      <c r="M247" s="14">
        <f t="shared" si="64"/>
        <v>1</v>
      </c>
      <c r="N247" s="707"/>
      <c r="O247" s="14">
        <f t="shared" si="65"/>
        <v>1</v>
      </c>
      <c r="P247" s="707"/>
      <c r="Q247" s="14">
        <f t="shared" si="66"/>
        <v>-0.02</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0.04</v>
      </c>
      <c r="F248" s="707"/>
      <c r="G248" s="14">
        <f t="shared" si="61"/>
        <v>0.03</v>
      </c>
      <c r="H248" s="707"/>
      <c r="I248" s="14">
        <f t="shared" si="62"/>
        <v>1</v>
      </c>
      <c r="J248" s="707"/>
      <c r="K248" s="14">
        <f t="shared" si="63"/>
        <v>1</v>
      </c>
      <c r="L248" s="707"/>
      <c r="M248" s="14">
        <f t="shared" si="64"/>
        <v>1</v>
      </c>
      <c r="N248" s="707"/>
      <c r="O248" s="14">
        <f t="shared" si="65"/>
        <v>1</v>
      </c>
      <c r="P248" s="707"/>
      <c r="Q248" s="14">
        <f t="shared" si="66"/>
        <v>-0.02</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0.04</v>
      </c>
      <c r="F249" s="707"/>
      <c r="G249" s="14">
        <f t="shared" si="61"/>
        <v>0.03</v>
      </c>
      <c r="H249" s="707"/>
      <c r="I249" s="14">
        <f t="shared" si="62"/>
        <v>1</v>
      </c>
      <c r="J249" s="707"/>
      <c r="K249" s="14">
        <f t="shared" si="63"/>
        <v>1</v>
      </c>
      <c r="L249" s="707"/>
      <c r="M249" s="14">
        <f t="shared" si="64"/>
        <v>1</v>
      </c>
      <c r="N249" s="707"/>
      <c r="O249" s="14">
        <f t="shared" si="65"/>
        <v>1</v>
      </c>
      <c r="P249" s="707"/>
      <c r="Q249" s="14">
        <f t="shared" si="66"/>
        <v>-0.02</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0.04</v>
      </c>
      <c r="F250" s="707"/>
      <c r="G250" s="14">
        <f t="shared" si="61"/>
        <v>0.03</v>
      </c>
      <c r="H250" s="707"/>
      <c r="I250" s="14">
        <f t="shared" si="62"/>
        <v>1</v>
      </c>
      <c r="J250" s="707"/>
      <c r="K250" s="14">
        <f t="shared" si="63"/>
        <v>1</v>
      </c>
      <c r="L250" s="707"/>
      <c r="M250" s="14">
        <f t="shared" si="64"/>
        <v>1</v>
      </c>
      <c r="N250" s="707"/>
      <c r="O250" s="14">
        <f t="shared" si="65"/>
        <v>1</v>
      </c>
      <c r="P250" s="707"/>
      <c r="Q250" s="14">
        <f t="shared" si="66"/>
        <v>-0.02</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0.04</v>
      </c>
      <c r="F251" s="707"/>
      <c r="G251" s="14">
        <f t="shared" si="61"/>
        <v>0.03</v>
      </c>
      <c r="H251" s="707"/>
      <c r="I251" s="14">
        <f t="shared" si="62"/>
        <v>1</v>
      </c>
      <c r="J251" s="707"/>
      <c r="K251" s="14">
        <f t="shared" si="63"/>
        <v>1</v>
      </c>
      <c r="L251" s="707"/>
      <c r="M251" s="14">
        <f t="shared" si="64"/>
        <v>1</v>
      </c>
      <c r="N251" s="707"/>
      <c r="O251" s="14">
        <f t="shared" si="65"/>
        <v>1</v>
      </c>
      <c r="P251" s="707"/>
      <c r="Q251" s="14">
        <f t="shared" si="66"/>
        <v>-0.02</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0.04</v>
      </c>
      <c r="F252" s="707"/>
      <c r="G252" s="14">
        <f t="shared" si="61"/>
        <v>0.03</v>
      </c>
      <c r="H252" s="707"/>
      <c r="I252" s="14">
        <f t="shared" si="62"/>
        <v>1</v>
      </c>
      <c r="J252" s="707"/>
      <c r="K252" s="14">
        <f t="shared" si="63"/>
        <v>1</v>
      </c>
      <c r="L252" s="707"/>
      <c r="M252" s="14">
        <f t="shared" si="64"/>
        <v>1</v>
      </c>
      <c r="N252" s="707"/>
      <c r="O252" s="14">
        <f t="shared" si="65"/>
        <v>1</v>
      </c>
      <c r="P252" s="707"/>
      <c r="Q252" s="14">
        <f t="shared" si="66"/>
        <v>-0.02</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0.04</v>
      </c>
      <c r="F253" s="707"/>
      <c r="G253" s="14">
        <f t="shared" si="61"/>
        <v>0.03</v>
      </c>
      <c r="H253" s="707"/>
      <c r="I253" s="14">
        <f t="shared" si="62"/>
        <v>1</v>
      </c>
      <c r="J253" s="707"/>
      <c r="K253" s="14">
        <f t="shared" si="63"/>
        <v>1</v>
      </c>
      <c r="L253" s="707"/>
      <c r="M253" s="14">
        <f t="shared" si="64"/>
        <v>1</v>
      </c>
      <c r="N253" s="707"/>
      <c r="O253" s="14">
        <f t="shared" si="65"/>
        <v>1</v>
      </c>
      <c r="P253" s="707"/>
      <c r="Q253" s="14">
        <f t="shared" si="66"/>
        <v>-0.02</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0.04</v>
      </c>
      <c r="F254" s="707"/>
      <c r="G254" s="14">
        <f t="shared" si="61"/>
        <v>0.03</v>
      </c>
      <c r="H254" s="707"/>
      <c r="I254" s="14">
        <f t="shared" si="62"/>
        <v>1</v>
      </c>
      <c r="J254" s="707"/>
      <c r="K254" s="14">
        <f t="shared" si="63"/>
        <v>1</v>
      </c>
      <c r="L254" s="707"/>
      <c r="M254" s="14">
        <f t="shared" si="64"/>
        <v>1</v>
      </c>
      <c r="N254" s="707"/>
      <c r="O254" s="14">
        <f t="shared" si="65"/>
        <v>1</v>
      </c>
      <c r="P254" s="707"/>
      <c r="Q254" s="14">
        <f t="shared" si="66"/>
        <v>-0.02</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0.04</v>
      </c>
      <c r="F255" s="707"/>
      <c r="G255" s="14">
        <f t="shared" si="61"/>
        <v>0.03</v>
      </c>
      <c r="H255" s="707"/>
      <c r="I255" s="14">
        <f t="shared" si="62"/>
        <v>1</v>
      </c>
      <c r="J255" s="707"/>
      <c r="K255" s="14">
        <f t="shared" si="63"/>
        <v>1</v>
      </c>
      <c r="L255" s="707"/>
      <c r="M255" s="14">
        <f t="shared" si="64"/>
        <v>1</v>
      </c>
      <c r="N255" s="707"/>
      <c r="O255" s="14">
        <f t="shared" si="65"/>
        <v>1</v>
      </c>
      <c r="P255" s="707"/>
      <c r="Q255" s="14">
        <f t="shared" si="66"/>
        <v>-0.02</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0.04</v>
      </c>
      <c r="F256" s="707"/>
      <c r="G256" s="14">
        <f t="shared" si="61"/>
        <v>0.03</v>
      </c>
      <c r="H256" s="707"/>
      <c r="I256" s="14">
        <f t="shared" si="62"/>
        <v>1</v>
      </c>
      <c r="J256" s="707"/>
      <c r="K256" s="14">
        <f t="shared" si="63"/>
        <v>1</v>
      </c>
      <c r="L256" s="707"/>
      <c r="M256" s="14">
        <f t="shared" si="64"/>
        <v>1</v>
      </c>
      <c r="N256" s="707"/>
      <c r="O256" s="14">
        <f t="shared" si="65"/>
        <v>1</v>
      </c>
      <c r="P256" s="707"/>
      <c r="Q256" s="14">
        <f t="shared" si="66"/>
        <v>-0.02</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0.04</v>
      </c>
      <c r="F257" s="707"/>
      <c r="G257" s="14">
        <f t="shared" si="61"/>
        <v>0.03</v>
      </c>
      <c r="H257" s="707"/>
      <c r="I257" s="14">
        <f t="shared" si="62"/>
        <v>1</v>
      </c>
      <c r="J257" s="707"/>
      <c r="K257" s="14">
        <f t="shared" si="63"/>
        <v>1</v>
      </c>
      <c r="L257" s="707"/>
      <c r="M257" s="14">
        <f t="shared" si="64"/>
        <v>1</v>
      </c>
      <c r="N257" s="707"/>
      <c r="O257" s="14">
        <f t="shared" si="65"/>
        <v>1</v>
      </c>
      <c r="P257" s="707"/>
      <c r="Q257" s="14">
        <f t="shared" si="66"/>
        <v>-0.02</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0.04</v>
      </c>
      <c r="F258" s="707"/>
      <c r="G258" s="14">
        <f t="shared" si="61"/>
        <v>0.03</v>
      </c>
      <c r="H258" s="707"/>
      <c r="I258" s="14">
        <f t="shared" si="62"/>
        <v>1</v>
      </c>
      <c r="J258" s="707"/>
      <c r="K258" s="14">
        <f t="shared" si="63"/>
        <v>1</v>
      </c>
      <c r="L258" s="707"/>
      <c r="M258" s="14">
        <f t="shared" si="64"/>
        <v>1</v>
      </c>
      <c r="N258" s="707"/>
      <c r="O258" s="14">
        <f t="shared" si="65"/>
        <v>1</v>
      </c>
      <c r="P258" s="707"/>
      <c r="Q258" s="14">
        <f t="shared" si="66"/>
        <v>-0.02</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0.04</v>
      </c>
      <c r="F259" s="707"/>
      <c r="G259" s="14">
        <f t="shared" si="61"/>
        <v>0.03</v>
      </c>
      <c r="H259" s="707"/>
      <c r="I259" s="14">
        <f t="shared" si="62"/>
        <v>1</v>
      </c>
      <c r="J259" s="707"/>
      <c r="K259" s="14">
        <f t="shared" si="63"/>
        <v>1</v>
      </c>
      <c r="L259" s="707"/>
      <c r="M259" s="14">
        <f t="shared" si="64"/>
        <v>1</v>
      </c>
      <c r="N259" s="707"/>
      <c r="O259" s="14">
        <f t="shared" si="65"/>
        <v>1</v>
      </c>
      <c r="P259" s="707"/>
      <c r="Q259" s="14">
        <f t="shared" si="66"/>
        <v>-0.02</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0.04</v>
      </c>
      <c r="F260" s="707"/>
      <c r="G260" s="14">
        <f t="shared" si="61"/>
        <v>0.03</v>
      </c>
      <c r="H260" s="707"/>
      <c r="I260" s="14">
        <f t="shared" si="62"/>
        <v>1</v>
      </c>
      <c r="J260" s="707"/>
      <c r="K260" s="14">
        <f t="shared" si="63"/>
        <v>1</v>
      </c>
      <c r="L260" s="707"/>
      <c r="M260" s="14">
        <f t="shared" si="64"/>
        <v>1</v>
      </c>
      <c r="N260" s="707"/>
      <c r="O260" s="14">
        <f t="shared" si="65"/>
        <v>1</v>
      </c>
      <c r="P260" s="707"/>
      <c r="Q260" s="14">
        <f t="shared" si="66"/>
        <v>-0.02</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0.04</v>
      </c>
      <c r="F261" s="707"/>
      <c r="G261" s="14">
        <f t="shared" si="61"/>
        <v>0.03</v>
      </c>
      <c r="H261" s="707"/>
      <c r="I261" s="14">
        <f t="shared" si="62"/>
        <v>1</v>
      </c>
      <c r="J261" s="707"/>
      <c r="K261" s="14">
        <f t="shared" si="63"/>
        <v>1</v>
      </c>
      <c r="L261" s="707"/>
      <c r="M261" s="14">
        <f t="shared" si="64"/>
        <v>1</v>
      </c>
      <c r="N261" s="707"/>
      <c r="O261" s="14">
        <f t="shared" si="65"/>
        <v>1</v>
      </c>
      <c r="P261" s="707"/>
      <c r="Q261" s="14">
        <f t="shared" si="66"/>
        <v>-0.02</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0.04</v>
      </c>
      <c r="F262" s="707"/>
      <c r="G262" s="14">
        <f t="shared" si="61"/>
        <v>0.03</v>
      </c>
      <c r="H262" s="707"/>
      <c r="I262" s="14">
        <f t="shared" si="62"/>
        <v>1</v>
      </c>
      <c r="J262" s="707"/>
      <c r="K262" s="14">
        <f t="shared" si="63"/>
        <v>1</v>
      </c>
      <c r="L262" s="707"/>
      <c r="M262" s="14">
        <f t="shared" si="64"/>
        <v>1</v>
      </c>
      <c r="N262" s="707"/>
      <c r="O262" s="14">
        <f t="shared" si="65"/>
        <v>1</v>
      </c>
      <c r="P262" s="707"/>
      <c r="Q262" s="14">
        <f t="shared" si="66"/>
        <v>-0.02</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0.04</v>
      </c>
      <c r="F263" s="707"/>
      <c r="G263" s="14">
        <f t="shared" si="61"/>
        <v>0.03</v>
      </c>
      <c r="H263" s="707"/>
      <c r="I263" s="14">
        <f t="shared" si="62"/>
        <v>1</v>
      </c>
      <c r="J263" s="707"/>
      <c r="K263" s="14">
        <f t="shared" si="63"/>
        <v>1</v>
      </c>
      <c r="L263" s="707"/>
      <c r="M263" s="14">
        <f t="shared" si="64"/>
        <v>1</v>
      </c>
      <c r="N263" s="707"/>
      <c r="O263" s="14">
        <f t="shared" si="65"/>
        <v>1</v>
      </c>
      <c r="P263" s="707"/>
      <c r="Q263" s="14">
        <f t="shared" si="66"/>
        <v>-0.02</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0.04</v>
      </c>
      <c r="F264" s="707"/>
      <c r="G264" s="14">
        <f t="shared" si="61"/>
        <v>0.03</v>
      </c>
      <c r="H264" s="707"/>
      <c r="I264" s="14">
        <f t="shared" si="62"/>
        <v>1</v>
      </c>
      <c r="J264" s="707"/>
      <c r="K264" s="14">
        <f t="shared" si="63"/>
        <v>1</v>
      </c>
      <c r="L264" s="707"/>
      <c r="M264" s="14">
        <f t="shared" si="64"/>
        <v>1</v>
      </c>
      <c r="N264" s="707"/>
      <c r="O264" s="14">
        <f t="shared" si="65"/>
        <v>1</v>
      </c>
      <c r="P264" s="707"/>
      <c r="Q264" s="14">
        <f t="shared" si="66"/>
        <v>-0.02</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0.04</v>
      </c>
      <c r="F265" s="707"/>
      <c r="G265" s="14">
        <f t="shared" si="61"/>
        <v>0.03</v>
      </c>
      <c r="H265" s="707"/>
      <c r="I265" s="14">
        <f t="shared" si="62"/>
        <v>1</v>
      </c>
      <c r="J265" s="707"/>
      <c r="K265" s="14">
        <f t="shared" si="63"/>
        <v>1</v>
      </c>
      <c r="L265" s="707"/>
      <c r="M265" s="14">
        <f t="shared" si="64"/>
        <v>1</v>
      </c>
      <c r="N265" s="707"/>
      <c r="O265" s="14">
        <f t="shared" si="65"/>
        <v>1</v>
      </c>
      <c r="P265" s="707"/>
      <c r="Q265" s="14">
        <f t="shared" si="66"/>
        <v>-0.02</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0.04</v>
      </c>
      <c r="F266" s="707"/>
      <c r="G266" s="14">
        <f t="shared" si="61"/>
        <v>0.03</v>
      </c>
      <c r="H266" s="707"/>
      <c r="I266" s="14">
        <f t="shared" si="62"/>
        <v>1</v>
      </c>
      <c r="J266" s="707"/>
      <c r="K266" s="14">
        <f t="shared" si="63"/>
        <v>1</v>
      </c>
      <c r="L266" s="707"/>
      <c r="M266" s="14">
        <f t="shared" si="64"/>
        <v>1</v>
      </c>
      <c r="N266" s="707"/>
      <c r="O266" s="14">
        <f t="shared" si="65"/>
        <v>1</v>
      </c>
      <c r="P266" s="707"/>
      <c r="Q266" s="14">
        <f t="shared" si="66"/>
        <v>-0.02</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0.04</v>
      </c>
      <c r="F267" s="707"/>
      <c r="G267" s="14">
        <f t="shared" si="61"/>
        <v>0.03</v>
      </c>
      <c r="H267" s="707"/>
      <c r="I267" s="14">
        <f t="shared" si="62"/>
        <v>1</v>
      </c>
      <c r="J267" s="707"/>
      <c r="K267" s="14">
        <f t="shared" si="63"/>
        <v>1</v>
      </c>
      <c r="L267" s="707"/>
      <c r="M267" s="14">
        <f t="shared" si="64"/>
        <v>1</v>
      </c>
      <c r="N267" s="707"/>
      <c r="O267" s="14">
        <f t="shared" si="65"/>
        <v>1</v>
      </c>
      <c r="P267" s="707"/>
      <c r="Q267" s="14">
        <f t="shared" si="66"/>
        <v>-0.02</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0.04</v>
      </c>
      <c r="F268" s="707"/>
      <c r="G268" s="14">
        <f t="shared" si="61"/>
        <v>0.03</v>
      </c>
      <c r="H268" s="707"/>
      <c r="I268" s="14">
        <f t="shared" si="62"/>
        <v>1</v>
      </c>
      <c r="J268" s="707"/>
      <c r="K268" s="14">
        <f t="shared" si="63"/>
        <v>1</v>
      </c>
      <c r="L268" s="707"/>
      <c r="M268" s="14">
        <f t="shared" si="64"/>
        <v>1</v>
      </c>
      <c r="N268" s="707"/>
      <c r="O268" s="14">
        <f t="shared" si="65"/>
        <v>1</v>
      </c>
      <c r="P268" s="707"/>
      <c r="Q268" s="14">
        <f t="shared" si="66"/>
        <v>-0.02</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0.04</v>
      </c>
      <c r="F269" s="707"/>
      <c r="G269" s="14">
        <f t="shared" si="61"/>
        <v>0.03</v>
      </c>
      <c r="H269" s="707"/>
      <c r="I269" s="14">
        <f t="shared" si="62"/>
        <v>1</v>
      </c>
      <c r="J269" s="707"/>
      <c r="K269" s="14">
        <f t="shared" si="63"/>
        <v>1</v>
      </c>
      <c r="L269" s="707"/>
      <c r="M269" s="14">
        <f t="shared" si="64"/>
        <v>1</v>
      </c>
      <c r="N269" s="707"/>
      <c r="O269" s="14">
        <f t="shared" si="65"/>
        <v>1</v>
      </c>
      <c r="P269" s="707"/>
      <c r="Q269" s="14">
        <f t="shared" si="66"/>
        <v>-0.02</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0.04</v>
      </c>
      <c r="F270" s="707"/>
      <c r="G270" s="14">
        <f t="shared" si="61"/>
        <v>0.03</v>
      </c>
      <c r="H270" s="707"/>
      <c r="I270" s="14">
        <f t="shared" si="62"/>
        <v>1</v>
      </c>
      <c r="J270" s="707"/>
      <c r="K270" s="14">
        <f t="shared" si="63"/>
        <v>1</v>
      </c>
      <c r="L270" s="707"/>
      <c r="M270" s="14">
        <f t="shared" si="64"/>
        <v>1</v>
      </c>
      <c r="N270" s="707"/>
      <c r="O270" s="14">
        <f t="shared" si="65"/>
        <v>1</v>
      </c>
      <c r="P270" s="707"/>
      <c r="Q270" s="14">
        <f t="shared" si="66"/>
        <v>-0.02</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0.04</v>
      </c>
      <c r="F271" s="707"/>
      <c r="G271" s="14">
        <f t="shared" si="61"/>
        <v>0.03</v>
      </c>
      <c r="H271" s="707"/>
      <c r="I271" s="14">
        <f t="shared" si="62"/>
        <v>1</v>
      </c>
      <c r="J271" s="707"/>
      <c r="K271" s="14">
        <f t="shared" si="63"/>
        <v>1</v>
      </c>
      <c r="L271" s="707"/>
      <c r="M271" s="14">
        <f t="shared" si="64"/>
        <v>1</v>
      </c>
      <c r="N271" s="707"/>
      <c r="O271" s="14">
        <f t="shared" si="65"/>
        <v>1</v>
      </c>
      <c r="P271" s="707"/>
      <c r="Q271" s="14">
        <f t="shared" si="66"/>
        <v>-0.02</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0.04</v>
      </c>
      <c r="F272" s="707"/>
      <c r="G272" s="14">
        <f t="shared" si="61"/>
        <v>0.03</v>
      </c>
      <c r="H272" s="707"/>
      <c r="I272" s="14">
        <f t="shared" si="62"/>
        <v>1</v>
      </c>
      <c r="J272" s="707"/>
      <c r="K272" s="14">
        <f t="shared" si="63"/>
        <v>1</v>
      </c>
      <c r="L272" s="707"/>
      <c r="M272" s="14">
        <f t="shared" si="64"/>
        <v>1</v>
      </c>
      <c r="N272" s="707"/>
      <c r="O272" s="14">
        <f t="shared" si="65"/>
        <v>1</v>
      </c>
      <c r="P272" s="707"/>
      <c r="Q272" s="14">
        <f t="shared" si="66"/>
        <v>-0.02</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0.04</v>
      </c>
      <c r="F273" s="707"/>
      <c r="G273" s="14">
        <f t="shared" si="61"/>
        <v>0.03</v>
      </c>
      <c r="H273" s="707"/>
      <c r="I273" s="14">
        <f t="shared" si="62"/>
        <v>1</v>
      </c>
      <c r="J273" s="707"/>
      <c r="K273" s="14">
        <f t="shared" si="63"/>
        <v>1</v>
      </c>
      <c r="L273" s="707"/>
      <c r="M273" s="14">
        <f t="shared" si="64"/>
        <v>1</v>
      </c>
      <c r="N273" s="707"/>
      <c r="O273" s="14">
        <f t="shared" si="65"/>
        <v>1</v>
      </c>
      <c r="P273" s="707"/>
      <c r="Q273" s="14">
        <f t="shared" si="66"/>
        <v>-0.02</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0.04</v>
      </c>
      <c r="F274" s="707"/>
      <c r="G274" s="14">
        <f t="shared" si="61"/>
        <v>0.03</v>
      </c>
      <c r="H274" s="707"/>
      <c r="I274" s="14">
        <f t="shared" si="62"/>
        <v>1</v>
      </c>
      <c r="J274" s="707"/>
      <c r="K274" s="14">
        <f t="shared" si="63"/>
        <v>1</v>
      </c>
      <c r="L274" s="707"/>
      <c r="M274" s="14">
        <f t="shared" si="64"/>
        <v>1</v>
      </c>
      <c r="N274" s="707"/>
      <c r="O274" s="14">
        <f t="shared" si="65"/>
        <v>1</v>
      </c>
      <c r="P274" s="707"/>
      <c r="Q274" s="14">
        <f t="shared" si="66"/>
        <v>-0.02</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0.04</v>
      </c>
      <c r="F275" s="707"/>
      <c r="G275" s="14">
        <f t="shared" si="61"/>
        <v>0.03</v>
      </c>
      <c r="H275" s="707"/>
      <c r="I275" s="14">
        <f t="shared" si="62"/>
        <v>1</v>
      </c>
      <c r="J275" s="707"/>
      <c r="K275" s="14">
        <f t="shared" si="63"/>
        <v>1</v>
      </c>
      <c r="L275" s="707"/>
      <c r="M275" s="14">
        <f t="shared" si="64"/>
        <v>1</v>
      </c>
      <c r="N275" s="707"/>
      <c r="O275" s="14">
        <f t="shared" si="65"/>
        <v>1</v>
      </c>
      <c r="P275" s="707"/>
      <c r="Q275" s="14">
        <f t="shared" si="66"/>
        <v>-0.02</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0.04</v>
      </c>
      <c r="F276" s="707"/>
      <c r="G276" s="14">
        <f t="shared" si="61"/>
        <v>0.03</v>
      </c>
      <c r="H276" s="707"/>
      <c r="I276" s="14">
        <f t="shared" si="62"/>
        <v>1</v>
      </c>
      <c r="J276" s="707"/>
      <c r="K276" s="14">
        <f t="shared" si="63"/>
        <v>1</v>
      </c>
      <c r="L276" s="707"/>
      <c r="M276" s="14">
        <f t="shared" si="64"/>
        <v>1</v>
      </c>
      <c r="N276" s="707"/>
      <c r="O276" s="14">
        <f t="shared" si="65"/>
        <v>1</v>
      </c>
      <c r="P276" s="707"/>
      <c r="Q276" s="14">
        <f t="shared" si="66"/>
        <v>-0.02</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0.04</v>
      </c>
      <c r="F277" s="707"/>
      <c r="G277" s="14">
        <f t="shared" si="61"/>
        <v>0.03</v>
      </c>
      <c r="H277" s="707"/>
      <c r="I277" s="14">
        <f t="shared" si="62"/>
        <v>1</v>
      </c>
      <c r="J277" s="707"/>
      <c r="K277" s="14">
        <f t="shared" si="63"/>
        <v>1</v>
      </c>
      <c r="L277" s="707"/>
      <c r="M277" s="14">
        <f t="shared" si="64"/>
        <v>1</v>
      </c>
      <c r="N277" s="707"/>
      <c r="O277" s="14">
        <f t="shared" si="65"/>
        <v>1</v>
      </c>
      <c r="P277" s="707"/>
      <c r="Q277" s="14">
        <f t="shared" si="66"/>
        <v>-0.02</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0.04</v>
      </c>
      <c r="F278" s="707"/>
      <c r="G278" s="14">
        <f t="shared" si="61"/>
        <v>0.03</v>
      </c>
      <c r="H278" s="707"/>
      <c r="I278" s="14">
        <f t="shared" si="62"/>
        <v>1</v>
      </c>
      <c r="J278" s="707"/>
      <c r="K278" s="14">
        <f t="shared" si="63"/>
        <v>1</v>
      </c>
      <c r="L278" s="707"/>
      <c r="M278" s="14">
        <f t="shared" si="64"/>
        <v>1</v>
      </c>
      <c r="N278" s="707"/>
      <c r="O278" s="14">
        <f t="shared" si="65"/>
        <v>1</v>
      </c>
      <c r="P278" s="707"/>
      <c r="Q278" s="14">
        <f t="shared" si="66"/>
        <v>-0.02</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0.04</v>
      </c>
      <c r="F279" s="707"/>
      <c r="G279" s="14">
        <f t="shared" si="61"/>
        <v>0.03</v>
      </c>
      <c r="H279" s="707"/>
      <c r="I279" s="14">
        <f t="shared" si="62"/>
        <v>1</v>
      </c>
      <c r="J279" s="707"/>
      <c r="K279" s="14">
        <f t="shared" si="63"/>
        <v>1</v>
      </c>
      <c r="L279" s="707"/>
      <c r="M279" s="14">
        <f t="shared" si="64"/>
        <v>1</v>
      </c>
      <c r="N279" s="707"/>
      <c r="O279" s="14">
        <f t="shared" si="65"/>
        <v>1</v>
      </c>
      <c r="P279" s="707"/>
      <c r="Q279" s="14">
        <f t="shared" si="66"/>
        <v>-0.02</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0.04</v>
      </c>
      <c r="F280" s="707"/>
      <c r="G280" s="14">
        <f t="shared" si="61"/>
        <v>0.03</v>
      </c>
      <c r="H280" s="707"/>
      <c r="I280" s="14">
        <f t="shared" si="62"/>
        <v>1</v>
      </c>
      <c r="J280" s="707"/>
      <c r="K280" s="14">
        <f t="shared" si="63"/>
        <v>1</v>
      </c>
      <c r="L280" s="707"/>
      <c r="M280" s="14">
        <f t="shared" si="64"/>
        <v>1</v>
      </c>
      <c r="N280" s="707"/>
      <c r="O280" s="14">
        <f t="shared" si="65"/>
        <v>1</v>
      </c>
      <c r="P280" s="707"/>
      <c r="Q280" s="14">
        <f t="shared" si="66"/>
        <v>-0.02</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0.04</v>
      </c>
      <c r="F281" s="707"/>
      <c r="G281" s="14">
        <f t="shared" si="61"/>
        <v>0.03</v>
      </c>
      <c r="H281" s="707"/>
      <c r="I281" s="14">
        <f t="shared" si="62"/>
        <v>1</v>
      </c>
      <c r="J281" s="707"/>
      <c r="K281" s="14">
        <f t="shared" si="63"/>
        <v>1</v>
      </c>
      <c r="L281" s="707"/>
      <c r="M281" s="14">
        <f t="shared" si="64"/>
        <v>1</v>
      </c>
      <c r="N281" s="707"/>
      <c r="O281" s="14">
        <f t="shared" si="65"/>
        <v>1</v>
      </c>
      <c r="P281" s="707"/>
      <c r="Q281" s="14">
        <f t="shared" si="66"/>
        <v>-0.02</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0.04</v>
      </c>
      <c r="F282" s="707"/>
      <c r="G282" s="14">
        <f t="shared" si="61"/>
        <v>0.03</v>
      </c>
      <c r="H282" s="707"/>
      <c r="I282" s="14">
        <f t="shared" si="62"/>
        <v>1</v>
      </c>
      <c r="J282" s="707"/>
      <c r="K282" s="14">
        <f t="shared" si="63"/>
        <v>1</v>
      </c>
      <c r="L282" s="707"/>
      <c r="M282" s="14">
        <f t="shared" si="64"/>
        <v>1</v>
      </c>
      <c r="N282" s="707"/>
      <c r="O282" s="14">
        <f t="shared" si="65"/>
        <v>1</v>
      </c>
      <c r="P282" s="707"/>
      <c r="Q282" s="14">
        <f t="shared" si="66"/>
        <v>-0.02</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0.04</v>
      </c>
      <c r="F283" s="707"/>
      <c r="G283" s="14">
        <f t="shared" si="61"/>
        <v>0.03</v>
      </c>
      <c r="H283" s="707"/>
      <c r="I283" s="14">
        <f t="shared" si="62"/>
        <v>1</v>
      </c>
      <c r="J283" s="707"/>
      <c r="K283" s="14">
        <f t="shared" si="63"/>
        <v>1</v>
      </c>
      <c r="L283" s="707"/>
      <c r="M283" s="14">
        <f t="shared" si="64"/>
        <v>1</v>
      </c>
      <c r="N283" s="707"/>
      <c r="O283" s="14">
        <f t="shared" si="65"/>
        <v>1</v>
      </c>
      <c r="P283" s="707"/>
      <c r="Q283" s="14">
        <f t="shared" si="66"/>
        <v>-0.02</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0.04</v>
      </c>
      <c r="F284" s="707"/>
      <c r="G284" s="14">
        <f t="shared" ref="G284:G347" si="76">(SUMIF($10:$10,F284,$11:$11)-SUMIF($10:$10,$F$27,$11:$11)+100)/100</f>
        <v>0.03</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-0.02</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0.04</v>
      </c>
      <c r="F285" s="707"/>
      <c r="G285" s="14">
        <f t="shared" si="76"/>
        <v>0.03</v>
      </c>
      <c r="H285" s="707"/>
      <c r="I285" s="14">
        <f t="shared" si="77"/>
        <v>1</v>
      </c>
      <c r="J285" s="707"/>
      <c r="K285" s="14">
        <f t="shared" si="78"/>
        <v>1</v>
      </c>
      <c r="L285" s="707"/>
      <c r="M285" s="14">
        <f t="shared" si="79"/>
        <v>1</v>
      </c>
      <c r="N285" s="707"/>
      <c r="O285" s="14">
        <f t="shared" si="80"/>
        <v>1</v>
      </c>
      <c r="P285" s="707"/>
      <c r="Q285" s="14">
        <f t="shared" si="81"/>
        <v>-0.02</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0.04</v>
      </c>
      <c r="F286" s="707"/>
      <c r="G286" s="14">
        <f t="shared" si="76"/>
        <v>0.03</v>
      </c>
      <c r="H286" s="707"/>
      <c r="I286" s="14">
        <f t="shared" si="77"/>
        <v>1</v>
      </c>
      <c r="J286" s="707"/>
      <c r="K286" s="14">
        <f t="shared" si="78"/>
        <v>1</v>
      </c>
      <c r="L286" s="707"/>
      <c r="M286" s="14">
        <f t="shared" si="79"/>
        <v>1</v>
      </c>
      <c r="N286" s="707"/>
      <c r="O286" s="14">
        <f t="shared" si="80"/>
        <v>1</v>
      </c>
      <c r="P286" s="707"/>
      <c r="Q286" s="14">
        <f t="shared" si="81"/>
        <v>-0.02</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0.04</v>
      </c>
      <c r="F287" s="707"/>
      <c r="G287" s="14">
        <f t="shared" si="76"/>
        <v>0.03</v>
      </c>
      <c r="H287" s="707"/>
      <c r="I287" s="14">
        <f t="shared" si="77"/>
        <v>1</v>
      </c>
      <c r="J287" s="707"/>
      <c r="K287" s="14">
        <f t="shared" si="78"/>
        <v>1</v>
      </c>
      <c r="L287" s="707"/>
      <c r="M287" s="14">
        <f t="shared" si="79"/>
        <v>1</v>
      </c>
      <c r="N287" s="707"/>
      <c r="O287" s="14">
        <f t="shared" si="80"/>
        <v>1</v>
      </c>
      <c r="P287" s="707"/>
      <c r="Q287" s="14">
        <f t="shared" si="81"/>
        <v>-0.02</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0.04</v>
      </c>
      <c r="F288" s="707"/>
      <c r="G288" s="14">
        <f t="shared" si="76"/>
        <v>0.03</v>
      </c>
      <c r="H288" s="707"/>
      <c r="I288" s="14">
        <f t="shared" si="77"/>
        <v>1</v>
      </c>
      <c r="J288" s="707"/>
      <c r="K288" s="14">
        <f t="shared" si="78"/>
        <v>1</v>
      </c>
      <c r="L288" s="707"/>
      <c r="M288" s="14">
        <f t="shared" si="79"/>
        <v>1</v>
      </c>
      <c r="N288" s="707"/>
      <c r="O288" s="14">
        <f t="shared" si="80"/>
        <v>1</v>
      </c>
      <c r="P288" s="707"/>
      <c r="Q288" s="14">
        <f t="shared" si="81"/>
        <v>-0.02</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0.04</v>
      </c>
      <c r="F289" s="707"/>
      <c r="G289" s="14">
        <f t="shared" si="76"/>
        <v>0.03</v>
      </c>
      <c r="H289" s="707"/>
      <c r="I289" s="14">
        <f t="shared" si="77"/>
        <v>1</v>
      </c>
      <c r="J289" s="707"/>
      <c r="K289" s="14">
        <f t="shared" si="78"/>
        <v>1</v>
      </c>
      <c r="L289" s="707"/>
      <c r="M289" s="14">
        <f t="shared" si="79"/>
        <v>1</v>
      </c>
      <c r="N289" s="707"/>
      <c r="O289" s="14">
        <f t="shared" si="80"/>
        <v>1</v>
      </c>
      <c r="P289" s="707"/>
      <c r="Q289" s="14">
        <f t="shared" si="81"/>
        <v>-0.02</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0.04</v>
      </c>
      <c r="F290" s="707"/>
      <c r="G290" s="14">
        <f t="shared" si="76"/>
        <v>0.03</v>
      </c>
      <c r="H290" s="707"/>
      <c r="I290" s="14">
        <f t="shared" si="77"/>
        <v>1</v>
      </c>
      <c r="J290" s="707"/>
      <c r="K290" s="14">
        <f t="shared" si="78"/>
        <v>1</v>
      </c>
      <c r="L290" s="707"/>
      <c r="M290" s="14">
        <f t="shared" si="79"/>
        <v>1</v>
      </c>
      <c r="N290" s="707"/>
      <c r="O290" s="14">
        <f t="shared" si="80"/>
        <v>1</v>
      </c>
      <c r="P290" s="707"/>
      <c r="Q290" s="14">
        <f t="shared" si="81"/>
        <v>-0.02</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0.04</v>
      </c>
      <c r="F291" s="707"/>
      <c r="G291" s="14">
        <f t="shared" si="76"/>
        <v>0.03</v>
      </c>
      <c r="H291" s="707"/>
      <c r="I291" s="14">
        <f t="shared" si="77"/>
        <v>1</v>
      </c>
      <c r="J291" s="707"/>
      <c r="K291" s="14">
        <f t="shared" si="78"/>
        <v>1</v>
      </c>
      <c r="L291" s="707"/>
      <c r="M291" s="14">
        <f t="shared" si="79"/>
        <v>1</v>
      </c>
      <c r="N291" s="707"/>
      <c r="O291" s="14">
        <f t="shared" si="80"/>
        <v>1</v>
      </c>
      <c r="P291" s="707"/>
      <c r="Q291" s="14">
        <f t="shared" si="81"/>
        <v>-0.02</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0.04</v>
      </c>
      <c r="F292" s="707"/>
      <c r="G292" s="14">
        <f t="shared" si="76"/>
        <v>0.03</v>
      </c>
      <c r="H292" s="707"/>
      <c r="I292" s="14">
        <f t="shared" si="77"/>
        <v>1</v>
      </c>
      <c r="J292" s="707"/>
      <c r="K292" s="14">
        <f t="shared" si="78"/>
        <v>1</v>
      </c>
      <c r="L292" s="707"/>
      <c r="M292" s="14">
        <f t="shared" si="79"/>
        <v>1</v>
      </c>
      <c r="N292" s="707"/>
      <c r="O292" s="14">
        <f t="shared" si="80"/>
        <v>1</v>
      </c>
      <c r="P292" s="707"/>
      <c r="Q292" s="14">
        <f t="shared" si="81"/>
        <v>-0.02</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0.04</v>
      </c>
      <c r="F293" s="707"/>
      <c r="G293" s="14">
        <f t="shared" si="76"/>
        <v>0.03</v>
      </c>
      <c r="H293" s="707"/>
      <c r="I293" s="14">
        <f t="shared" si="77"/>
        <v>1</v>
      </c>
      <c r="J293" s="707"/>
      <c r="K293" s="14">
        <f t="shared" si="78"/>
        <v>1</v>
      </c>
      <c r="L293" s="707"/>
      <c r="M293" s="14">
        <f t="shared" si="79"/>
        <v>1</v>
      </c>
      <c r="N293" s="707"/>
      <c r="O293" s="14">
        <f t="shared" si="80"/>
        <v>1</v>
      </c>
      <c r="P293" s="707"/>
      <c r="Q293" s="14">
        <f t="shared" si="81"/>
        <v>-0.02</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0.04</v>
      </c>
      <c r="F294" s="707"/>
      <c r="G294" s="14">
        <f t="shared" si="76"/>
        <v>0.03</v>
      </c>
      <c r="H294" s="707"/>
      <c r="I294" s="14">
        <f t="shared" si="77"/>
        <v>1</v>
      </c>
      <c r="J294" s="707"/>
      <c r="K294" s="14">
        <f t="shared" si="78"/>
        <v>1</v>
      </c>
      <c r="L294" s="707"/>
      <c r="M294" s="14">
        <f t="shared" si="79"/>
        <v>1</v>
      </c>
      <c r="N294" s="707"/>
      <c r="O294" s="14">
        <f t="shared" si="80"/>
        <v>1</v>
      </c>
      <c r="P294" s="707"/>
      <c r="Q294" s="14">
        <f t="shared" si="81"/>
        <v>-0.02</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0.04</v>
      </c>
      <c r="F295" s="707"/>
      <c r="G295" s="14">
        <f t="shared" si="76"/>
        <v>0.03</v>
      </c>
      <c r="H295" s="707"/>
      <c r="I295" s="14">
        <f t="shared" si="77"/>
        <v>1</v>
      </c>
      <c r="J295" s="707"/>
      <c r="K295" s="14">
        <f t="shared" si="78"/>
        <v>1</v>
      </c>
      <c r="L295" s="707"/>
      <c r="M295" s="14">
        <f t="shared" si="79"/>
        <v>1</v>
      </c>
      <c r="N295" s="707"/>
      <c r="O295" s="14">
        <f t="shared" si="80"/>
        <v>1</v>
      </c>
      <c r="P295" s="707"/>
      <c r="Q295" s="14">
        <f t="shared" si="81"/>
        <v>-0.02</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0.04</v>
      </c>
      <c r="F296" s="707"/>
      <c r="G296" s="14">
        <f t="shared" si="76"/>
        <v>0.03</v>
      </c>
      <c r="H296" s="707"/>
      <c r="I296" s="14">
        <f t="shared" si="77"/>
        <v>1</v>
      </c>
      <c r="J296" s="707"/>
      <c r="K296" s="14">
        <f t="shared" si="78"/>
        <v>1</v>
      </c>
      <c r="L296" s="707"/>
      <c r="M296" s="14">
        <f t="shared" si="79"/>
        <v>1</v>
      </c>
      <c r="N296" s="707"/>
      <c r="O296" s="14">
        <f t="shared" si="80"/>
        <v>1</v>
      </c>
      <c r="P296" s="707"/>
      <c r="Q296" s="14">
        <f t="shared" si="81"/>
        <v>-0.02</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0.04</v>
      </c>
      <c r="F297" s="707"/>
      <c r="G297" s="14">
        <f t="shared" si="76"/>
        <v>0.03</v>
      </c>
      <c r="H297" s="707"/>
      <c r="I297" s="14">
        <f t="shared" si="77"/>
        <v>1</v>
      </c>
      <c r="J297" s="707"/>
      <c r="K297" s="14">
        <f t="shared" si="78"/>
        <v>1</v>
      </c>
      <c r="L297" s="707"/>
      <c r="M297" s="14">
        <f t="shared" si="79"/>
        <v>1</v>
      </c>
      <c r="N297" s="707"/>
      <c r="O297" s="14">
        <f t="shared" si="80"/>
        <v>1</v>
      </c>
      <c r="P297" s="707"/>
      <c r="Q297" s="14">
        <f t="shared" si="81"/>
        <v>-0.02</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0.04</v>
      </c>
      <c r="F298" s="707"/>
      <c r="G298" s="14">
        <f t="shared" si="76"/>
        <v>0.03</v>
      </c>
      <c r="H298" s="707"/>
      <c r="I298" s="14">
        <f t="shared" si="77"/>
        <v>1</v>
      </c>
      <c r="J298" s="707"/>
      <c r="K298" s="14">
        <f t="shared" si="78"/>
        <v>1</v>
      </c>
      <c r="L298" s="707"/>
      <c r="M298" s="14">
        <f t="shared" si="79"/>
        <v>1</v>
      </c>
      <c r="N298" s="707"/>
      <c r="O298" s="14">
        <f t="shared" si="80"/>
        <v>1</v>
      </c>
      <c r="P298" s="707"/>
      <c r="Q298" s="14">
        <f t="shared" si="81"/>
        <v>-0.02</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0.04</v>
      </c>
      <c r="F299" s="707"/>
      <c r="G299" s="14">
        <f t="shared" si="76"/>
        <v>0.03</v>
      </c>
      <c r="H299" s="707"/>
      <c r="I299" s="14">
        <f t="shared" si="77"/>
        <v>1</v>
      </c>
      <c r="J299" s="707"/>
      <c r="K299" s="14">
        <f t="shared" si="78"/>
        <v>1</v>
      </c>
      <c r="L299" s="707"/>
      <c r="M299" s="14">
        <f t="shared" si="79"/>
        <v>1</v>
      </c>
      <c r="N299" s="707"/>
      <c r="O299" s="14">
        <f t="shared" si="80"/>
        <v>1</v>
      </c>
      <c r="P299" s="707"/>
      <c r="Q299" s="14">
        <f t="shared" si="81"/>
        <v>-0.02</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0.04</v>
      </c>
      <c r="F300" s="707"/>
      <c r="G300" s="14">
        <f t="shared" si="76"/>
        <v>0.03</v>
      </c>
      <c r="H300" s="707"/>
      <c r="I300" s="14">
        <f t="shared" si="77"/>
        <v>1</v>
      </c>
      <c r="J300" s="707"/>
      <c r="K300" s="14">
        <f t="shared" si="78"/>
        <v>1</v>
      </c>
      <c r="L300" s="707"/>
      <c r="M300" s="14">
        <f t="shared" si="79"/>
        <v>1</v>
      </c>
      <c r="N300" s="707"/>
      <c r="O300" s="14">
        <f t="shared" si="80"/>
        <v>1</v>
      </c>
      <c r="P300" s="707"/>
      <c r="Q300" s="14">
        <f t="shared" si="81"/>
        <v>-0.02</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0.04</v>
      </c>
      <c r="F301" s="707"/>
      <c r="G301" s="14">
        <f t="shared" si="76"/>
        <v>0.03</v>
      </c>
      <c r="H301" s="707"/>
      <c r="I301" s="14">
        <f t="shared" si="77"/>
        <v>1</v>
      </c>
      <c r="J301" s="707"/>
      <c r="K301" s="14">
        <f t="shared" si="78"/>
        <v>1</v>
      </c>
      <c r="L301" s="707"/>
      <c r="M301" s="14">
        <f t="shared" si="79"/>
        <v>1</v>
      </c>
      <c r="N301" s="707"/>
      <c r="O301" s="14">
        <f t="shared" si="80"/>
        <v>1</v>
      </c>
      <c r="P301" s="707"/>
      <c r="Q301" s="14">
        <f t="shared" si="81"/>
        <v>-0.02</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0.04</v>
      </c>
      <c r="F302" s="707"/>
      <c r="G302" s="14">
        <f t="shared" si="76"/>
        <v>0.03</v>
      </c>
      <c r="H302" s="707"/>
      <c r="I302" s="14">
        <f t="shared" si="77"/>
        <v>1</v>
      </c>
      <c r="J302" s="707"/>
      <c r="K302" s="14">
        <f t="shared" si="78"/>
        <v>1</v>
      </c>
      <c r="L302" s="707"/>
      <c r="M302" s="14">
        <f t="shared" si="79"/>
        <v>1</v>
      </c>
      <c r="N302" s="707"/>
      <c r="O302" s="14">
        <f t="shared" si="80"/>
        <v>1</v>
      </c>
      <c r="P302" s="707"/>
      <c r="Q302" s="14">
        <f t="shared" si="81"/>
        <v>-0.02</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0.04</v>
      </c>
      <c r="F303" s="707"/>
      <c r="G303" s="14">
        <f t="shared" si="76"/>
        <v>0.03</v>
      </c>
      <c r="H303" s="707"/>
      <c r="I303" s="14">
        <f t="shared" si="77"/>
        <v>1</v>
      </c>
      <c r="J303" s="707"/>
      <c r="K303" s="14">
        <f t="shared" si="78"/>
        <v>1</v>
      </c>
      <c r="L303" s="707"/>
      <c r="M303" s="14">
        <f t="shared" si="79"/>
        <v>1</v>
      </c>
      <c r="N303" s="707"/>
      <c r="O303" s="14">
        <f t="shared" si="80"/>
        <v>1</v>
      </c>
      <c r="P303" s="707"/>
      <c r="Q303" s="14">
        <f t="shared" si="81"/>
        <v>-0.02</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0.04</v>
      </c>
      <c r="F304" s="707"/>
      <c r="G304" s="14">
        <f t="shared" si="76"/>
        <v>0.03</v>
      </c>
      <c r="H304" s="707"/>
      <c r="I304" s="14">
        <f t="shared" si="77"/>
        <v>1</v>
      </c>
      <c r="J304" s="707"/>
      <c r="K304" s="14">
        <f t="shared" si="78"/>
        <v>1</v>
      </c>
      <c r="L304" s="707"/>
      <c r="M304" s="14">
        <f t="shared" si="79"/>
        <v>1</v>
      </c>
      <c r="N304" s="707"/>
      <c r="O304" s="14">
        <f t="shared" si="80"/>
        <v>1</v>
      </c>
      <c r="P304" s="707"/>
      <c r="Q304" s="14">
        <f t="shared" si="81"/>
        <v>-0.02</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0.04</v>
      </c>
      <c r="F305" s="707"/>
      <c r="G305" s="14">
        <f t="shared" si="76"/>
        <v>0.03</v>
      </c>
      <c r="H305" s="707"/>
      <c r="I305" s="14">
        <f t="shared" si="77"/>
        <v>1</v>
      </c>
      <c r="J305" s="707"/>
      <c r="K305" s="14">
        <f t="shared" si="78"/>
        <v>1</v>
      </c>
      <c r="L305" s="707"/>
      <c r="M305" s="14">
        <f t="shared" si="79"/>
        <v>1</v>
      </c>
      <c r="N305" s="707"/>
      <c r="O305" s="14">
        <f t="shared" si="80"/>
        <v>1</v>
      </c>
      <c r="P305" s="707"/>
      <c r="Q305" s="14">
        <f t="shared" si="81"/>
        <v>-0.02</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0.04</v>
      </c>
      <c r="F306" s="707"/>
      <c r="G306" s="14">
        <f t="shared" si="76"/>
        <v>0.03</v>
      </c>
      <c r="H306" s="707"/>
      <c r="I306" s="14">
        <f t="shared" si="77"/>
        <v>1</v>
      </c>
      <c r="J306" s="707"/>
      <c r="K306" s="14">
        <f t="shared" si="78"/>
        <v>1</v>
      </c>
      <c r="L306" s="707"/>
      <c r="M306" s="14">
        <f t="shared" si="79"/>
        <v>1</v>
      </c>
      <c r="N306" s="707"/>
      <c r="O306" s="14">
        <f t="shared" si="80"/>
        <v>1</v>
      </c>
      <c r="P306" s="707"/>
      <c r="Q306" s="14">
        <f t="shared" si="81"/>
        <v>-0.02</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0.04</v>
      </c>
      <c r="F307" s="707"/>
      <c r="G307" s="14">
        <f t="shared" si="76"/>
        <v>0.03</v>
      </c>
      <c r="H307" s="707"/>
      <c r="I307" s="14">
        <f t="shared" si="77"/>
        <v>1</v>
      </c>
      <c r="J307" s="707"/>
      <c r="K307" s="14">
        <f t="shared" si="78"/>
        <v>1</v>
      </c>
      <c r="L307" s="707"/>
      <c r="M307" s="14">
        <f t="shared" si="79"/>
        <v>1</v>
      </c>
      <c r="N307" s="707"/>
      <c r="O307" s="14">
        <f t="shared" si="80"/>
        <v>1</v>
      </c>
      <c r="P307" s="707"/>
      <c r="Q307" s="14">
        <f t="shared" si="81"/>
        <v>-0.02</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0.04</v>
      </c>
      <c r="F308" s="707"/>
      <c r="G308" s="14">
        <f t="shared" si="76"/>
        <v>0.03</v>
      </c>
      <c r="H308" s="707"/>
      <c r="I308" s="14">
        <f t="shared" si="77"/>
        <v>1</v>
      </c>
      <c r="J308" s="707"/>
      <c r="K308" s="14">
        <f t="shared" si="78"/>
        <v>1</v>
      </c>
      <c r="L308" s="707"/>
      <c r="M308" s="14">
        <f t="shared" si="79"/>
        <v>1</v>
      </c>
      <c r="N308" s="707"/>
      <c r="O308" s="14">
        <f t="shared" si="80"/>
        <v>1</v>
      </c>
      <c r="P308" s="707"/>
      <c r="Q308" s="14">
        <f t="shared" si="81"/>
        <v>-0.02</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0.04</v>
      </c>
      <c r="F309" s="707"/>
      <c r="G309" s="14">
        <f t="shared" si="76"/>
        <v>0.03</v>
      </c>
      <c r="H309" s="707"/>
      <c r="I309" s="14">
        <f t="shared" si="77"/>
        <v>1</v>
      </c>
      <c r="J309" s="707"/>
      <c r="K309" s="14">
        <f t="shared" si="78"/>
        <v>1</v>
      </c>
      <c r="L309" s="707"/>
      <c r="M309" s="14">
        <f t="shared" si="79"/>
        <v>1</v>
      </c>
      <c r="N309" s="707"/>
      <c r="O309" s="14">
        <f t="shared" si="80"/>
        <v>1</v>
      </c>
      <c r="P309" s="707"/>
      <c r="Q309" s="14">
        <f t="shared" si="81"/>
        <v>-0.02</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0.04</v>
      </c>
      <c r="F310" s="707"/>
      <c r="G310" s="14">
        <f t="shared" si="76"/>
        <v>0.03</v>
      </c>
      <c r="H310" s="707"/>
      <c r="I310" s="14">
        <f t="shared" si="77"/>
        <v>1</v>
      </c>
      <c r="J310" s="707"/>
      <c r="K310" s="14">
        <f t="shared" si="78"/>
        <v>1</v>
      </c>
      <c r="L310" s="707"/>
      <c r="M310" s="14">
        <f t="shared" si="79"/>
        <v>1</v>
      </c>
      <c r="N310" s="707"/>
      <c r="O310" s="14">
        <f t="shared" si="80"/>
        <v>1</v>
      </c>
      <c r="P310" s="707"/>
      <c r="Q310" s="14">
        <f t="shared" si="81"/>
        <v>-0.02</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0.04</v>
      </c>
      <c r="F311" s="707"/>
      <c r="G311" s="14">
        <f t="shared" si="76"/>
        <v>0.03</v>
      </c>
      <c r="H311" s="707"/>
      <c r="I311" s="14">
        <f t="shared" si="77"/>
        <v>1</v>
      </c>
      <c r="J311" s="707"/>
      <c r="K311" s="14">
        <f t="shared" si="78"/>
        <v>1</v>
      </c>
      <c r="L311" s="707"/>
      <c r="M311" s="14">
        <f t="shared" si="79"/>
        <v>1</v>
      </c>
      <c r="N311" s="707"/>
      <c r="O311" s="14">
        <f t="shared" si="80"/>
        <v>1</v>
      </c>
      <c r="P311" s="707"/>
      <c r="Q311" s="14">
        <f t="shared" si="81"/>
        <v>-0.02</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0.04</v>
      </c>
      <c r="F312" s="707"/>
      <c r="G312" s="14">
        <f t="shared" si="76"/>
        <v>0.03</v>
      </c>
      <c r="H312" s="707"/>
      <c r="I312" s="14">
        <f t="shared" si="77"/>
        <v>1</v>
      </c>
      <c r="J312" s="707"/>
      <c r="K312" s="14">
        <f t="shared" si="78"/>
        <v>1</v>
      </c>
      <c r="L312" s="707"/>
      <c r="M312" s="14">
        <f t="shared" si="79"/>
        <v>1</v>
      </c>
      <c r="N312" s="707"/>
      <c r="O312" s="14">
        <f t="shared" si="80"/>
        <v>1</v>
      </c>
      <c r="P312" s="707"/>
      <c r="Q312" s="14">
        <f t="shared" si="81"/>
        <v>-0.02</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0.04</v>
      </c>
      <c r="F313" s="707"/>
      <c r="G313" s="14">
        <f t="shared" si="76"/>
        <v>0.03</v>
      </c>
      <c r="H313" s="707"/>
      <c r="I313" s="14">
        <f t="shared" si="77"/>
        <v>1</v>
      </c>
      <c r="J313" s="707"/>
      <c r="K313" s="14">
        <f t="shared" si="78"/>
        <v>1</v>
      </c>
      <c r="L313" s="707"/>
      <c r="M313" s="14">
        <f t="shared" si="79"/>
        <v>1</v>
      </c>
      <c r="N313" s="707"/>
      <c r="O313" s="14">
        <f t="shared" si="80"/>
        <v>1</v>
      </c>
      <c r="P313" s="707"/>
      <c r="Q313" s="14">
        <f t="shared" si="81"/>
        <v>-0.02</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0.04</v>
      </c>
      <c r="F314" s="707"/>
      <c r="G314" s="14">
        <f t="shared" si="76"/>
        <v>0.03</v>
      </c>
      <c r="H314" s="707"/>
      <c r="I314" s="14">
        <f t="shared" si="77"/>
        <v>1</v>
      </c>
      <c r="J314" s="707"/>
      <c r="K314" s="14">
        <f t="shared" si="78"/>
        <v>1</v>
      </c>
      <c r="L314" s="707"/>
      <c r="M314" s="14">
        <f t="shared" si="79"/>
        <v>1</v>
      </c>
      <c r="N314" s="707"/>
      <c r="O314" s="14">
        <f t="shared" si="80"/>
        <v>1</v>
      </c>
      <c r="P314" s="707"/>
      <c r="Q314" s="14">
        <f t="shared" si="81"/>
        <v>-0.02</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0.04</v>
      </c>
      <c r="F315" s="707"/>
      <c r="G315" s="14">
        <f t="shared" si="76"/>
        <v>0.03</v>
      </c>
      <c r="H315" s="707"/>
      <c r="I315" s="14">
        <f t="shared" si="77"/>
        <v>1</v>
      </c>
      <c r="J315" s="707"/>
      <c r="K315" s="14">
        <f t="shared" si="78"/>
        <v>1</v>
      </c>
      <c r="L315" s="707"/>
      <c r="M315" s="14">
        <f t="shared" si="79"/>
        <v>1</v>
      </c>
      <c r="N315" s="707"/>
      <c r="O315" s="14">
        <f t="shared" si="80"/>
        <v>1</v>
      </c>
      <c r="P315" s="707"/>
      <c r="Q315" s="14">
        <f t="shared" si="81"/>
        <v>-0.02</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0.04</v>
      </c>
      <c r="F316" s="707"/>
      <c r="G316" s="14">
        <f t="shared" si="76"/>
        <v>0.03</v>
      </c>
      <c r="H316" s="707"/>
      <c r="I316" s="14">
        <f t="shared" si="77"/>
        <v>1</v>
      </c>
      <c r="J316" s="707"/>
      <c r="K316" s="14">
        <f t="shared" si="78"/>
        <v>1</v>
      </c>
      <c r="L316" s="707"/>
      <c r="M316" s="14">
        <f t="shared" si="79"/>
        <v>1</v>
      </c>
      <c r="N316" s="707"/>
      <c r="O316" s="14">
        <f t="shared" si="80"/>
        <v>1</v>
      </c>
      <c r="P316" s="707"/>
      <c r="Q316" s="14">
        <f t="shared" si="81"/>
        <v>-0.02</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0.04</v>
      </c>
      <c r="F317" s="707"/>
      <c r="G317" s="14">
        <f t="shared" si="76"/>
        <v>0.03</v>
      </c>
      <c r="H317" s="707"/>
      <c r="I317" s="14">
        <f t="shared" si="77"/>
        <v>1</v>
      </c>
      <c r="J317" s="707"/>
      <c r="K317" s="14">
        <f t="shared" si="78"/>
        <v>1</v>
      </c>
      <c r="L317" s="707"/>
      <c r="M317" s="14">
        <f t="shared" si="79"/>
        <v>1</v>
      </c>
      <c r="N317" s="707"/>
      <c r="O317" s="14">
        <f t="shared" si="80"/>
        <v>1</v>
      </c>
      <c r="P317" s="707"/>
      <c r="Q317" s="14">
        <f t="shared" si="81"/>
        <v>-0.02</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0.04</v>
      </c>
      <c r="F318" s="707"/>
      <c r="G318" s="14">
        <f t="shared" si="76"/>
        <v>0.03</v>
      </c>
      <c r="H318" s="707"/>
      <c r="I318" s="14">
        <f t="shared" si="77"/>
        <v>1</v>
      </c>
      <c r="J318" s="707"/>
      <c r="K318" s="14">
        <f t="shared" si="78"/>
        <v>1</v>
      </c>
      <c r="L318" s="707"/>
      <c r="M318" s="14">
        <f t="shared" si="79"/>
        <v>1</v>
      </c>
      <c r="N318" s="707"/>
      <c r="O318" s="14">
        <f t="shared" si="80"/>
        <v>1</v>
      </c>
      <c r="P318" s="707"/>
      <c r="Q318" s="14">
        <f t="shared" si="81"/>
        <v>-0.02</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0.04</v>
      </c>
      <c r="F319" s="707"/>
      <c r="G319" s="14">
        <f t="shared" si="76"/>
        <v>0.03</v>
      </c>
      <c r="H319" s="707"/>
      <c r="I319" s="14">
        <f t="shared" si="77"/>
        <v>1</v>
      </c>
      <c r="J319" s="707"/>
      <c r="K319" s="14">
        <f t="shared" si="78"/>
        <v>1</v>
      </c>
      <c r="L319" s="707"/>
      <c r="M319" s="14">
        <f t="shared" si="79"/>
        <v>1</v>
      </c>
      <c r="N319" s="707"/>
      <c r="O319" s="14">
        <f t="shared" si="80"/>
        <v>1</v>
      </c>
      <c r="P319" s="707"/>
      <c r="Q319" s="14">
        <f t="shared" si="81"/>
        <v>-0.02</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0.04</v>
      </c>
      <c r="F320" s="707"/>
      <c r="G320" s="14">
        <f t="shared" si="76"/>
        <v>0.03</v>
      </c>
      <c r="H320" s="707"/>
      <c r="I320" s="14">
        <f t="shared" si="77"/>
        <v>1</v>
      </c>
      <c r="J320" s="707"/>
      <c r="K320" s="14">
        <f t="shared" si="78"/>
        <v>1</v>
      </c>
      <c r="L320" s="707"/>
      <c r="M320" s="14">
        <f t="shared" si="79"/>
        <v>1</v>
      </c>
      <c r="N320" s="707"/>
      <c r="O320" s="14">
        <f t="shared" si="80"/>
        <v>1</v>
      </c>
      <c r="P320" s="707"/>
      <c r="Q320" s="14">
        <f t="shared" si="81"/>
        <v>-0.02</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0.04</v>
      </c>
      <c r="F321" s="707"/>
      <c r="G321" s="14">
        <f t="shared" si="76"/>
        <v>0.03</v>
      </c>
      <c r="H321" s="707"/>
      <c r="I321" s="14">
        <f t="shared" si="77"/>
        <v>1</v>
      </c>
      <c r="J321" s="707"/>
      <c r="K321" s="14">
        <f t="shared" si="78"/>
        <v>1</v>
      </c>
      <c r="L321" s="707"/>
      <c r="M321" s="14">
        <f t="shared" si="79"/>
        <v>1</v>
      </c>
      <c r="N321" s="707"/>
      <c r="O321" s="14">
        <f t="shared" si="80"/>
        <v>1</v>
      </c>
      <c r="P321" s="707"/>
      <c r="Q321" s="14">
        <f t="shared" si="81"/>
        <v>-0.02</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0.04</v>
      </c>
      <c r="F322" s="707"/>
      <c r="G322" s="14">
        <f t="shared" si="76"/>
        <v>0.03</v>
      </c>
      <c r="H322" s="707"/>
      <c r="I322" s="14">
        <f t="shared" si="77"/>
        <v>1</v>
      </c>
      <c r="J322" s="707"/>
      <c r="K322" s="14">
        <f t="shared" si="78"/>
        <v>1</v>
      </c>
      <c r="L322" s="707"/>
      <c r="M322" s="14">
        <f t="shared" si="79"/>
        <v>1</v>
      </c>
      <c r="N322" s="707"/>
      <c r="O322" s="14">
        <f t="shared" si="80"/>
        <v>1</v>
      </c>
      <c r="P322" s="707"/>
      <c r="Q322" s="14">
        <f t="shared" si="81"/>
        <v>-0.02</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0.04</v>
      </c>
      <c r="F323" s="707"/>
      <c r="G323" s="14">
        <f t="shared" si="76"/>
        <v>0.03</v>
      </c>
      <c r="H323" s="707"/>
      <c r="I323" s="14">
        <f t="shared" si="77"/>
        <v>1</v>
      </c>
      <c r="J323" s="707"/>
      <c r="K323" s="14">
        <f t="shared" si="78"/>
        <v>1</v>
      </c>
      <c r="L323" s="707"/>
      <c r="M323" s="14">
        <f t="shared" si="79"/>
        <v>1</v>
      </c>
      <c r="N323" s="707"/>
      <c r="O323" s="14">
        <f t="shared" si="80"/>
        <v>1</v>
      </c>
      <c r="P323" s="707"/>
      <c r="Q323" s="14">
        <f t="shared" si="81"/>
        <v>-0.02</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0.04</v>
      </c>
      <c r="F324" s="707"/>
      <c r="G324" s="14">
        <f t="shared" si="76"/>
        <v>0.03</v>
      </c>
      <c r="H324" s="707"/>
      <c r="I324" s="14">
        <f t="shared" si="77"/>
        <v>1</v>
      </c>
      <c r="J324" s="707"/>
      <c r="K324" s="14">
        <f t="shared" si="78"/>
        <v>1</v>
      </c>
      <c r="L324" s="707"/>
      <c r="M324" s="14">
        <f t="shared" si="79"/>
        <v>1</v>
      </c>
      <c r="N324" s="707"/>
      <c r="O324" s="14">
        <f t="shared" si="80"/>
        <v>1</v>
      </c>
      <c r="P324" s="707"/>
      <c r="Q324" s="14">
        <f t="shared" si="81"/>
        <v>-0.02</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0.04</v>
      </c>
      <c r="F325" s="707"/>
      <c r="G325" s="14">
        <f t="shared" si="76"/>
        <v>0.03</v>
      </c>
      <c r="H325" s="707"/>
      <c r="I325" s="14">
        <f t="shared" si="77"/>
        <v>1</v>
      </c>
      <c r="J325" s="707"/>
      <c r="K325" s="14">
        <f t="shared" si="78"/>
        <v>1</v>
      </c>
      <c r="L325" s="707"/>
      <c r="M325" s="14">
        <f t="shared" si="79"/>
        <v>1</v>
      </c>
      <c r="N325" s="707"/>
      <c r="O325" s="14">
        <f t="shared" si="80"/>
        <v>1</v>
      </c>
      <c r="P325" s="707"/>
      <c r="Q325" s="14">
        <f t="shared" si="81"/>
        <v>-0.02</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0.04</v>
      </c>
      <c r="F326" s="707"/>
      <c r="G326" s="14">
        <f t="shared" si="76"/>
        <v>0.03</v>
      </c>
      <c r="H326" s="707"/>
      <c r="I326" s="14">
        <f t="shared" si="77"/>
        <v>1</v>
      </c>
      <c r="J326" s="707"/>
      <c r="K326" s="14">
        <f t="shared" si="78"/>
        <v>1</v>
      </c>
      <c r="L326" s="707"/>
      <c r="M326" s="14">
        <f t="shared" si="79"/>
        <v>1</v>
      </c>
      <c r="N326" s="707"/>
      <c r="O326" s="14">
        <f t="shared" si="80"/>
        <v>1</v>
      </c>
      <c r="P326" s="707"/>
      <c r="Q326" s="14">
        <f t="shared" si="81"/>
        <v>-0.02</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0.04</v>
      </c>
      <c r="F327" s="707"/>
      <c r="G327" s="14">
        <f t="shared" si="76"/>
        <v>0.03</v>
      </c>
      <c r="H327" s="707"/>
      <c r="I327" s="14">
        <f t="shared" si="77"/>
        <v>1</v>
      </c>
      <c r="J327" s="707"/>
      <c r="K327" s="14">
        <f t="shared" si="78"/>
        <v>1</v>
      </c>
      <c r="L327" s="707"/>
      <c r="M327" s="14">
        <f t="shared" si="79"/>
        <v>1</v>
      </c>
      <c r="N327" s="707"/>
      <c r="O327" s="14">
        <f t="shared" si="80"/>
        <v>1</v>
      </c>
      <c r="P327" s="707"/>
      <c r="Q327" s="14">
        <f t="shared" si="81"/>
        <v>-0.02</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0.04</v>
      </c>
      <c r="F328" s="707"/>
      <c r="G328" s="14">
        <f t="shared" si="76"/>
        <v>0.03</v>
      </c>
      <c r="H328" s="707"/>
      <c r="I328" s="14">
        <f t="shared" si="77"/>
        <v>1</v>
      </c>
      <c r="J328" s="707"/>
      <c r="K328" s="14">
        <f t="shared" si="78"/>
        <v>1</v>
      </c>
      <c r="L328" s="707"/>
      <c r="M328" s="14">
        <f t="shared" si="79"/>
        <v>1</v>
      </c>
      <c r="N328" s="707"/>
      <c r="O328" s="14">
        <f t="shared" si="80"/>
        <v>1</v>
      </c>
      <c r="P328" s="707"/>
      <c r="Q328" s="14">
        <f t="shared" si="81"/>
        <v>-0.02</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0.04</v>
      </c>
      <c r="F329" s="707"/>
      <c r="G329" s="14">
        <f t="shared" si="76"/>
        <v>0.03</v>
      </c>
      <c r="H329" s="707"/>
      <c r="I329" s="14">
        <f t="shared" si="77"/>
        <v>1</v>
      </c>
      <c r="J329" s="707"/>
      <c r="K329" s="14">
        <f t="shared" si="78"/>
        <v>1</v>
      </c>
      <c r="L329" s="707"/>
      <c r="M329" s="14">
        <f t="shared" si="79"/>
        <v>1</v>
      </c>
      <c r="N329" s="707"/>
      <c r="O329" s="14">
        <f t="shared" si="80"/>
        <v>1</v>
      </c>
      <c r="P329" s="707"/>
      <c r="Q329" s="14">
        <f t="shared" si="81"/>
        <v>-0.02</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0.04</v>
      </c>
      <c r="F330" s="707"/>
      <c r="G330" s="14">
        <f t="shared" si="76"/>
        <v>0.03</v>
      </c>
      <c r="H330" s="707"/>
      <c r="I330" s="14">
        <f t="shared" si="77"/>
        <v>1</v>
      </c>
      <c r="J330" s="707"/>
      <c r="K330" s="14">
        <f t="shared" si="78"/>
        <v>1</v>
      </c>
      <c r="L330" s="707"/>
      <c r="M330" s="14">
        <f t="shared" si="79"/>
        <v>1</v>
      </c>
      <c r="N330" s="707"/>
      <c r="O330" s="14">
        <f t="shared" si="80"/>
        <v>1</v>
      </c>
      <c r="P330" s="707"/>
      <c r="Q330" s="14">
        <f t="shared" si="81"/>
        <v>-0.02</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0.04</v>
      </c>
      <c r="F331" s="707"/>
      <c r="G331" s="14">
        <f t="shared" si="76"/>
        <v>0.03</v>
      </c>
      <c r="H331" s="707"/>
      <c r="I331" s="14">
        <f t="shared" si="77"/>
        <v>1</v>
      </c>
      <c r="J331" s="707"/>
      <c r="K331" s="14">
        <f t="shared" si="78"/>
        <v>1</v>
      </c>
      <c r="L331" s="707"/>
      <c r="M331" s="14">
        <f t="shared" si="79"/>
        <v>1</v>
      </c>
      <c r="N331" s="707"/>
      <c r="O331" s="14">
        <f t="shared" si="80"/>
        <v>1</v>
      </c>
      <c r="P331" s="707"/>
      <c r="Q331" s="14">
        <f t="shared" si="81"/>
        <v>-0.02</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0.04</v>
      </c>
      <c r="F332" s="707"/>
      <c r="G332" s="14">
        <f t="shared" si="76"/>
        <v>0.03</v>
      </c>
      <c r="H332" s="707"/>
      <c r="I332" s="14">
        <f t="shared" si="77"/>
        <v>1</v>
      </c>
      <c r="J332" s="707"/>
      <c r="K332" s="14">
        <f t="shared" si="78"/>
        <v>1</v>
      </c>
      <c r="L332" s="707"/>
      <c r="M332" s="14">
        <f t="shared" si="79"/>
        <v>1</v>
      </c>
      <c r="N332" s="707"/>
      <c r="O332" s="14">
        <f t="shared" si="80"/>
        <v>1</v>
      </c>
      <c r="P332" s="707"/>
      <c r="Q332" s="14">
        <f t="shared" si="81"/>
        <v>-0.02</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0.04</v>
      </c>
      <c r="F333" s="707"/>
      <c r="G333" s="14">
        <f t="shared" si="76"/>
        <v>0.03</v>
      </c>
      <c r="H333" s="707"/>
      <c r="I333" s="14">
        <f t="shared" si="77"/>
        <v>1</v>
      </c>
      <c r="J333" s="707"/>
      <c r="K333" s="14">
        <f t="shared" si="78"/>
        <v>1</v>
      </c>
      <c r="L333" s="707"/>
      <c r="M333" s="14">
        <f t="shared" si="79"/>
        <v>1</v>
      </c>
      <c r="N333" s="707"/>
      <c r="O333" s="14">
        <f t="shared" si="80"/>
        <v>1</v>
      </c>
      <c r="P333" s="707"/>
      <c r="Q333" s="14">
        <f t="shared" si="81"/>
        <v>-0.02</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0.04</v>
      </c>
      <c r="F334" s="707"/>
      <c r="G334" s="14">
        <f t="shared" si="76"/>
        <v>0.03</v>
      </c>
      <c r="H334" s="707"/>
      <c r="I334" s="14">
        <f t="shared" si="77"/>
        <v>1</v>
      </c>
      <c r="J334" s="707"/>
      <c r="K334" s="14">
        <f t="shared" si="78"/>
        <v>1</v>
      </c>
      <c r="L334" s="707"/>
      <c r="M334" s="14">
        <f t="shared" si="79"/>
        <v>1</v>
      </c>
      <c r="N334" s="707"/>
      <c r="O334" s="14">
        <f t="shared" si="80"/>
        <v>1</v>
      </c>
      <c r="P334" s="707"/>
      <c r="Q334" s="14">
        <f t="shared" si="81"/>
        <v>-0.02</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0.04</v>
      </c>
      <c r="F335" s="707"/>
      <c r="G335" s="14">
        <f t="shared" si="76"/>
        <v>0.03</v>
      </c>
      <c r="H335" s="707"/>
      <c r="I335" s="14">
        <f t="shared" si="77"/>
        <v>1</v>
      </c>
      <c r="J335" s="707"/>
      <c r="K335" s="14">
        <f t="shared" si="78"/>
        <v>1</v>
      </c>
      <c r="L335" s="707"/>
      <c r="M335" s="14">
        <f t="shared" si="79"/>
        <v>1</v>
      </c>
      <c r="N335" s="707"/>
      <c r="O335" s="14">
        <f t="shared" si="80"/>
        <v>1</v>
      </c>
      <c r="P335" s="707"/>
      <c r="Q335" s="14">
        <f t="shared" si="81"/>
        <v>-0.02</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0.04</v>
      </c>
      <c r="F336" s="707"/>
      <c r="G336" s="14">
        <f t="shared" si="76"/>
        <v>0.03</v>
      </c>
      <c r="H336" s="707"/>
      <c r="I336" s="14">
        <f t="shared" si="77"/>
        <v>1</v>
      </c>
      <c r="J336" s="707"/>
      <c r="K336" s="14">
        <f t="shared" si="78"/>
        <v>1</v>
      </c>
      <c r="L336" s="707"/>
      <c r="M336" s="14">
        <f t="shared" si="79"/>
        <v>1</v>
      </c>
      <c r="N336" s="707"/>
      <c r="O336" s="14">
        <f t="shared" si="80"/>
        <v>1</v>
      </c>
      <c r="P336" s="707"/>
      <c r="Q336" s="14">
        <f t="shared" si="81"/>
        <v>-0.02</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0.04</v>
      </c>
      <c r="F337" s="707"/>
      <c r="G337" s="14">
        <f t="shared" si="76"/>
        <v>0.03</v>
      </c>
      <c r="H337" s="707"/>
      <c r="I337" s="14">
        <f t="shared" si="77"/>
        <v>1</v>
      </c>
      <c r="J337" s="707"/>
      <c r="K337" s="14">
        <f t="shared" si="78"/>
        <v>1</v>
      </c>
      <c r="L337" s="707"/>
      <c r="M337" s="14">
        <f t="shared" si="79"/>
        <v>1</v>
      </c>
      <c r="N337" s="707"/>
      <c r="O337" s="14">
        <f t="shared" si="80"/>
        <v>1</v>
      </c>
      <c r="P337" s="707"/>
      <c r="Q337" s="14">
        <f t="shared" si="81"/>
        <v>-0.02</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0.04</v>
      </c>
      <c r="F338" s="707"/>
      <c r="G338" s="14">
        <f t="shared" si="76"/>
        <v>0.03</v>
      </c>
      <c r="H338" s="707"/>
      <c r="I338" s="14">
        <f t="shared" si="77"/>
        <v>1</v>
      </c>
      <c r="J338" s="707"/>
      <c r="K338" s="14">
        <f t="shared" si="78"/>
        <v>1</v>
      </c>
      <c r="L338" s="707"/>
      <c r="M338" s="14">
        <f t="shared" si="79"/>
        <v>1</v>
      </c>
      <c r="N338" s="707"/>
      <c r="O338" s="14">
        <f t="shared" si="80"/>
        <v>1</v>
      </c>
      <c r="P338" s="707"/>
      <c r="Q338" s="14">
        <f t="shared" si="81"/>
        <v>-0.02</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0.04</v>
      </c>
      <c r="F339" s="707"/>
      <c r="G339" s="14">
        <f t="shared" si="76"/>
        <v>0.03</v>
      </c>
      <c r="H339" s="707"/>
      <c r="I339" s="14">
        <f t="shared" si="77"/>
        <v>1</v>
      </c>
      <c r="J339" s="707"/>
      <c r="K339" s="14">
        <f t="shared" si="78"/>
        <v>1</v>
      </c>
      <c r="L339" s="707"/>
      <c r="M339" s="14">
        <f t="shared" si="79"/>
        <v>1</v>
      </c>
      <c r="N339" s="707"/>
      <c r="O339" s="14">
        <f t="shared" si="80"/>
        <v>1</v>
      </c>
      <c r="P339" s="707"/>
      <c r="Q339" s="14">
        <f t="shared" si="81"/>
        <v>-0.02</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0.04</v>
      </c>
      <c r="F340" s="707"/>
      <c r="G340" s="14">
        <f t="shared" si="76"/>
        <v>0.03</v>
      </c>
      <c r="H340" s="707"/>
      <c r="I340" s="14">
        <f t="shared" si="77"/>
        <v>1</v>
      </c>
      <c r="J340" s="707"/>
      <c r="K340" s="14">
        <f t="shared" si="78"/>
        <v>1</v>
      </c>
      <c r="L340" s="707"/>
      <c r="M340" s="14">
        <f t="shared" si="79"/>
        <v>1</v>
      </c>
      <c r="N340" s="707"/>
      <c r="O340" s="14">
        <f t="shared" si="80"/>
        <v>1</v>
      </c>
      <c r="P340" s="707"/>
      <c r="Q340" s="14">
        <f t="shared" si="81"/>
        <v>-0.02</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0.04</v>
      </c>
      <c r="F341" s="707"/>
      <c r="G341" s="14">
        <f t="shared" si="76"/>
        <v>0.03</v>
      </c>
      <c r="H341" s="707"/>
      <c r="I341" s="14">
        <f t="shared" si="77"/>
        <v>1</v>
      </c>
      <c r="J341" s="707"/>
      <c r="K341" s="14">
        <f t="shared" si="78"/>
        <v>1</v>
      </c>
      <c r="L341" s="707"/>
      <c r="M341" s="14">
        <f t="shared" si="79"/>
        <v>1</v>
      </c>
      <c r="N341" s="707"/>
      <c r="O341" s="14">
        <f t="shared" si="80"/>
        <v>1</v>
      </c>
      <c r="P341" s="707"/>
      <c r="Q341" s="14">
        <f t="shared" si="81"/>
        <v>-0.02</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0.04</v>
      </c>
      <c r="F342" s="707"/>
      <c r="G342" s="14">
        <f t="shared" si="76"/>
        <v>0.03</v>
      </c>
      <c r="H342" s="707"/>
      <c r="I342" s="14">
        <f t="shared" si="77"/>
        <v>1</v>
      </c>
      <c r="J342" s="707"/>
      <c r="K342" s="14">
        <f t="shared" si="78"/>
        <v>1</v>
      </c>
      <c r="L342" s="707"/>
      <c r="M342" s="14">
        <f t="shared" si="79"/>
        <v>1</v>
      </c>
      <c r="N342" s="707"/>
      <c r="O342" s="14">
        <f t="shared" si="80"/>
        <v>1</v>
      </c>
      <c r="P342" s="707"/>
      <c r="Q342" s="14">
        <f t="shared" si="81"/>
        <v>-0.02</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0.04</v>
      </c>
      <c r="F343" s="707"/>
      <c r="G343" s="14">
        <f t="shared" si="76"/>
        <v>0.03</v>
      </c>
      <c r="H343" s="707"/>
      <c r="I343" s="14">
        <f t="shared" si="77"/>
        <v>1</v>
      </c>
      <c r="J343" s="707"/>
      <c r="K343" s="14">
        <f t="shared" si="78"/>
        <v>1</v>
      </c>
      <c r="L343" s="707"/>
      <c r="M343" s="14">
        <f t="shared" si="79"/>
        <v>1</v>
      </c>
      <c r="N343" s="707"/>
      <c r="O343" s="14">
        <f t="shared" si="80"/>
        <v>1</v>
      </c>
      <c r="P343" s="707"/>
      <c r="Q343" s="14">
        <f t="shared" si="81"/>
        <v>-0.02</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0.04</v>
      </c>
      <c r="F344" s="707"/>
      <c r="G344" s="14">
        <f t="shared" si="76"/>
        <v>0.03</v>
      </c>
      <c r="H344" s="707"/>
      <c r="I344" s="14">
        <f t="shared" si="77"/>
        <v>1</v>
      </c>
      <c r="J344" s="707"/>
      <c r="K344" s="14">
        <f t="shared" si="78"/>
        <v>1</v>
      </c>
      <c r="L344" s="707"/>
      <c r="M344" s="14">
        <f t="shared" si="79"/>
        <v>1</v>
      </c>
      <c r="N344" s="707"/>
      <c r="O344" s="14">
        <f t="shared" si="80"/>
        <v>1</v>
      </c>
      <c r="P344" s="707"/>
      <c r="Q344" s="14">
        <f t="shared" si="81"/>
        <v>-0.02</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0.04</v>
      </c>
      <c r="F345" s="707"/>
      <c r="G345" s="14">
        <f t="shared" si="76"/>
        <v>0.03</v>
      </c>
      <c r="H345" s="707"/>
      <c r="I345" s="14">
        <f t="shared" si="77"/>
        <v>1</v>
      </c>
      <c r="J345" s="707"/>
      <c r="K345" s="14">
        <f t="shared" si="78"/>
        <v>1</v>
      </c>
      <c r="L345" s="707"/>
      <c r="M345" s="14">
        <f t="shared" si="79"/>
        <v>1</v>
      </c>
      <c r="N345" s="707"/>
      <c r="O345" s="14">
        <f t="shared" si="80"/>
        <v>1</v>
      </c>
      <c r="P345" s="707"/>
      <c r="Q345" s="14">
        <f t="shared" si="81"/>
        <v>-0.02</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0.04</v>
      </c>
      <c r="F346" s="707"/>
      <c r="G346" s="14">
        <f t="shared" si="76"/>
        <v>0.03</v>
      </c>
      <c r="H346" s="707"/>
      <c r="I346" s="14">
        <f t="shared" si="77"/>
        <v>1</v>
      </c>
      <c r="J346" s="707"/>
      <c r="K346" s="14">
        <f t="shared" si="78"/>
        <v>1</v>
      </c>
      <c r="L346" s="707"/>
      <c r="M346" s="14">
        <f t="shared" si="79"/>
        <v>1</v>
      </c>
      <c r="N346" s="707"/>
      <c r="O346" s="14">
        <f t="shared" si="80"/>
        <v>1</v>
      </c>
      <c r="P346" s="707"/>
      <c r="Q346" s="14">
        <f t="shared" si="81"/>
        <v>-0.02</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0.04</v>
      </c>
      <c r="F347" s="707"/>
      <c r="G347" s="14">
        <f t="shared" si="76"/>
        <v>0.03</v>
      </c>
      <c r="H347" s="707"/>
      <c r="I347" s="14">
        <f t="shared" si="77"/>
        <v>1</v>
      </c>
      <c r="J347" s="707"/>
      <c r="K347" s="14">
        <f t="shared" si="78"/>
        <v>1</v>
      </c>
      <c r="L347" s="707"/>
      <c r="M347" s="14">
        <f t="shared" si="79"/>
        <v>1</v>
      </c>
      <c r="N347" s="707"/>
      <c r="O347" s="14">
        <f t="shared" si="80"/>
        <v>1</v>
      </c>
      <c r="P347" s="707"/>
      <c r="Q347" s="14">
        <f t="shared" si="81"/>
        <v>-0.02</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0.04</v>
      </c>
      <c r="F348" s="707"/>
      <c r="G348" s="14">
        <f t="shared" ref="G348:G411" si="91">(SUMIF($10:$10,F348,$11:$11)-SUMIF($10:$10,$F$27,$11:$11)+100)/100</f>
        <v>0.03</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-0.02</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0.04</v>
      </c>
      <c r="F349" s="707"/>
      <c r="G349" s="14">
        <f t="shared" si="91"/>
        <v>0.03</v>
      </c>
      <c r="H349" s="707"/>
      <c r="I349" s="14">
        <f t="shared" si="92"/>
        <v>1</v>
      </c>
      <c r="J349" s="707"/>
      <c r="K349" s="14">
        <f t="shared" si="93"/>
        <v>1</v>
      </c>
      <c r="L349" s="707"/>
      <c r="M349" s="14">
        <f t="shared" si="94"/>
        <v>1</v>
      </c>
      <c r="N349" s="707"/>
      <c r="O349" s="14">
        <f t="shared" si="95"/>
        <v>1</v>
      </c>
      <c r="P349" s="707"/>
      <c r="Q349" s="14">
        <f t="shared" si="96"/>
        <v>-0.02</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0.04</v>
      </c>
      <c r="F350" s="707"/>
      <c r="G350" s="14">
        <f t="shared" si="91"/>
        <v>0.03</v>
      </c>
      <c r="H350" s="707"/>
      <c r="I350" s="14">
        <f t="shared" si="92"/>
        <v>1</v>
      </c>
      <c r="J350" s="707"/>
      <c r="K350" s="14">
        <f t="shared" si="93"/>
        <v>1</v>
      </c>
      <c r="L350" s="707"/>
      <c r="M350" s="14">
        <f t="shared" si="94"/>
        <v>1</v>
      </c>
      <c r="N350" s="707"/>
      <c r="O350" s="14">
        <f t="shared" si="95"/>
        <v>1</v>
      </c>
      <c r="P350" s="707"/>
      <c r="Q350" s="14">
        <f t="shared" si="96"/>
        <v>-0.02</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0.04</v>
      </c>
      <c r="F351" s="707"/>
      <c r="G351" s="14">
        <f t="shared" si="91"/>
        <v>0.03</v>
      </c>
      <c r="H351" s="707"/>
      <c r="I351" s="14">
        <f t="shared" si="92"/>
        <v>1</v>
      </c>
      <c r="J351" s="707"/>
      <c r="K351" s="14">
        <f t="shared" si="93"/>
        <v>1</v>
      </c>
      <c r="L351" s="707"/>
      <c r="M351" s="14">
        <f t="shared" si="94"/>
        <v>1</v>
      </c>
      <c r="N351" s="707"/>
      <c r="O351" s="14">
        <f t="shared" si="95"/>
        <v>1</v>
      </c>
      <c r="P351" s="707"/>
      <c r="Q351" s="14">
        <f t="shared" si="96"/>
        <v>-0.02</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0.04</v>
      </c>
      <c r="F352" s="707"/>
      <c r="G352" s="14">
        <f t="shared" si="91"/>
        <v>0.03</v>
      </c>
      <c r="H352" s="707"/>
      <c r="I352" s="14">
        <f t="shared" si="92"/>
        <v>1</v>
      </c>
      <c r="J352" s="707"/>
      <c r="K352" s="14">
        <f t="shared" si="93"/>
        <v>1</v>
      </c>
      <c r="L352" s="707"/>
      <c r="M352" s="14">
        <f t="shared" si="94"/>
        <v>1</v>
      </c>
      <c r="N352" s="707"/>
      <c r="O352" s="14">
        <f t="shared" si="95"/>
        <v>1</v>
      </c>
      <c r="P352" s="707"/>
      <c r="Q352" s="14">
        <f t="shared" si="96"/>
        <v>-0.02</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0.04</v>
      </c>
      <c r="F353" s="707"/>
      <c r="G353" s="14">
        <f t="shared" si="91"/>
        <v>0.03</v>
      </c>
      <c r="H353" s="707"/>
      <c r="I353" s="14">
        <f t="shared" si="92"/>
        <v>1</v>
      </c>
      <c r="J353" s="707"/>
      <c r="K353" s="14">
        <f t="shared" si="93"/>
        <v>1</v>
      </c>
      <c r="L353" s="707"/>
      <c r="M353" s="14">
        <f t="shared" si="94"/>
        <v>1</v>
      </c>
      <c r="N353" s="707"/>
      <c r="O353" s="14">
        <f t="shared" si="95"/>
        <v>1</v>
      </c>
      <c r="P353" s="707"/>
      <c r="Q353" s="14">
        <f t="shared" si="96"/>
        <v>-0.02</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0.04</v>
      </c>
      <c r="F354" s="707"/>
      <c r="G354" s="14">
        <f t="shared" si="91"/>
        <v>0.03</v>
      </c>
      <c r="H354" s="707"/>
      <c r="I354" s="14">
        <f t="shared" si="92"/>
        <v>1</v>
      </c>
      <c r="J354" s="707"/>
      <c r="K354" s="14">
        <f t="shared" si="93"/>
        <v>1</v>
      </c>
      <c r="L354" s="707"/>
      <c r="M354" s="14">
        <f t="shared" si="94"/>
        <v>1</v>
      </c>
      <c r="N354" s="707"/>
      <c r="O354" s="14">
        <f t="shared" si="95"/>
        <v>1</v>
      </c>
      <c r="P354" s="707"/>
      <c r="Q354" s="14">
        <f t="shared" si="96"/>
        <v>-0.02</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0.04</v>
      </c>
      <c r="F355" s="707"/>
      <c r="G355" s="14">
        <f t="shared" si="91"/>
        <v>0.03</v>
      </c>
      <c r="H355" s="707"/>
      <c r="I355" s="14">
        <f t="shared" si="92"/>
        <v>1</v>
      </c>
      <c r="J355" s="707"/>
      <c r="K355" s="14">
        <f t="shared" si="93"/>
        <v>1</v>
      </c>
      <c r="L355" s="707"/>
      <c r="M355" s="14">
        <f t="shared" si="94"/>
        <v>1</v>
      </c>
      <c r="N355" s="707"/>
      <c r="O355" s="14">
        <f t="shared" si="95"/>
        <v>1</v>
      </c>
      <c r="P355" s="707"/>
      <c r="Q355" s="14">
        <f t="shared" si="96"/>
        <v>-0.02</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0.04</v>
      </c>
      <c r="F356" s="707"/>
      <c r="G356" s="14">
        <f t="shared" si="91"/>
        <v>0.03</v>
      </c>
      <c r="H356" s="707"/>
      <c r="I356" s="14">
        <f t="shared" si="92"/>
        <v>1</v>
      </c>
      <c r="J356" s="707"/>
      <c r="K356" s="14">
        <f t="shared" si="93"/>
        <v>1</v>
      </c>
      <c r="L356" s="707"/>
      <c r="M356" s="14">
        <f t="shared" si="94"/>
        <v>1</v>
      </c>
      <c r="N356" s="707"/>
      <c r="O356" s="14">
        <f t="shared" si="95"/>
        <v>1</v>
      </c>
      <c r="P356" s="707"/>
      <c r="Q356" s="14">
        <f t="shared" si="96"/>
        <v>-0.02</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0.04</v>
      </c>
      <c r="F357" s="707"/>
      <c r="G357" s="14">
        <f t="shared" si="91"/>
        <v>0.03</v>
      </c>
      <c r="H357" s="707"/>
      <c r="I357" s="14">
        <f t="shared" si="92"/>
        <v>1</v>
      </c>
      <c r="J357" s="707"/>
      <c r="K357" s="14">
        <f t="shared" si="93"/>
        <v>1</v>
      </c>
      <c r="L357" s="707"/>
      <c r="M357" s="14">
        <f t="shared" si="94"/>
        <v>1</v>
      </c>
      <c r="N357" s="707"/>
      <c r="O357" s="14">
        <f t="shared" si="95"/>
        <v>1</v>
      </c>
      <c r="P357" s="707"/>
      <c r="Q357" s="14">
        <f t="shared" si="96"/>
        <v>-0.02</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0.04</v>
      </c>
      <c r="F358" s="707"/>
      <c r="G358" s="14">
        <f t="shared" si="91"/>
        <v>0.03</v>
      </c>
      <c r="H358" s="707"/>
      <c r="I358" s="14">
        <f t="shared" si="92"/>
        <v>1</v>
      </c>
      <c r="J358" s="707"/>
      <c r="K358" s="14">
        <f t="shared" si="93"/>
        <v>1</v>
      </c>
      <c r="L358" s="707"/>
      <c r="M358" s="14">
        <f t="shared" si="94"/>
        <v>1</v>
      </c>
      <c r="N358" s="707"/>
      <c r="O358" s="14">
        <f t="shared" si="95"/>
        <v>1</v>
      </c>
      <c r="P358" s="707"/>
      <c r="Q358" s="14">
        <f t="shared" si="96"/>
        <v>-0.02</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0.04</v>
      </c>
      <c r="F359" s="707"/>
      <c r="G359" s="14">
        <f t="shared" si="91"/>
        <v>0.03</v>
      </c>
      <c r="H359" s="707"/>
      <c r="I359" s="14">
        <f t="shared" si="92"/>
        <v>1</v>
      </c>
      <c r="J359" s="707"/>
      <c r="K359" s="14">
        <f t="shared" si="93"/>
        <v>1</v>
      </c>
      <c r="L359" s="707"/>
      <c r="M359" s="14">
        <f t="shared" si="94"/>
        <v>1</v>
      </c>
      <c r="N359" s="707"/>
      <c r="O359" s="14">
        <f t="shared" si="95"/>
        <v>1</v>
      </c>
      <c r="P359" s="707"/>
      <c r="Q359" s="14">
        <f t="shared" si="96"/>
        <v>-0.02</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0.04</v>
      </c>
      <c r="F360" s="707"/>
      <c r="G360" s="14">
        <f t="shared" si="91"/>
        <v>0.03</v>
      </c>
      <c r="H360" s="707"/>
      <c r="I360" s="14">
        <f t="shared" si="92"/>
        <v>1</v>
      </c>
      <c r="J360" s="707"/>
      <c r="K360" s="14">
        <f t="shared" si="93"/>
        <v>1</v>
      </c>
      <c r="L360" s="707"/>
      <c r="M360" s="14">
        <f t="shared" si="94"/>
        <v>1</v>
      </c>
      <c r="N360" s="707"/>
      <c r="O360" s="14">
        <f t="shared" si="95"/>
        <v>1</v>
      </c>
      <c r="P360" s="707"/>
      <c r="Q360" s="14">
        <f t="shared" si="96"/>
        <v>-0.02</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0.04</v>
      </c>
      <c r="F361" s="707"/>
      <c r="G361" s="14">
        <f t="shared" si="91"/>
        <v>0.03</v>
      </c>
      <c r="H361" s="707"/>
      <c r="I361" s="14">
        <f t="shared" si="92"/>
        <v>1</v>
      </c>
      <c r="J361" s="707"/>
      <c r="K361" s="14">
        <f t="shared" si="93"/>
        <v>1</v>
      </c>
      <c r="L361" s="707"/>
      <c r="M361" s="14">
        <f t="shared" si="94"/>
        <v>1</v>
      </c>
      <c r="N361" s="707"/>
      <c r="O361" s="14">
        <f t="shared" si="95"/>
        <v>1</v>
      </c>
      <c r="P361" s="707"/>
      <c r="Q361" s="14">
        <f t="shared" si="96"/>
        <v>-0.02</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0.04</v>
      </c>
      <c r="F362" s="707"/>
      <c r="G362" s="14">
        <f t="shared" si="91"/>
        <v>0.03</v>
      </c>
      <c r="H362" s="707"/>
      <c r="I362" s="14">
        <f t="shared" si="92"/>
        <v>1</v>
      </c>
      <c r="J362" s="707"/>
      <c r="K362" s="14">
        <f t="shared" si="93"/>
        <v>1</v>
      </c>
      <c r="L362" s="707"/>
      <c r="M362" s="14">
        <f t="shared" si="94"/>
        <v>1</v>
      </c>
      <c r="N362" s="707"/>
      <c r="O362" s="14">
        <f t="shared" si="95"/>
        <v>1</v>
      </c>
      <c r="P362" s="707"/>
      <c r="Q362" s="14">
        <f t="shared" si="96"/>
        <v>-0.02</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0.04</v>
      </c>
      <c r="F363" s="707"/>
      <c r="G363" s="14">
        <f t="shared" si="91"/>
        <v>0.03</v>
      </c>
      <c r="H363" s="707"/>
      <c r="I363" s="14">
        <f t="shared" si="92"/>
        <v>1</v>
      </c>
      <c r="J363" s="707"/>
      <c r="K363" s="14">
        <f t="shared" si="93"/>
        <v>1</v>
      </c>
      <c r="L363" s="707"/>
      <c r="M363" s="14">
        <f t="shared" si="94"/>
        <v>1</v>
      </c>
      <c r="N363" s="707"/>
      <c r="O363" s="14">
        <f t="shared" si="95"/>
        <v>1</v>
      </c>
      <c r="P363" s="707"/>
      <c r="Q363" s="14">
        <f t="shared" si="96"/>
        <v>-0.02</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0.04</v>
      </c>
      <c r="F364" s="707"/>
      <c r="G364" s="14">
        <f t="shared" si="91"/>
        <v>0.03</v>
      </c>
      <c r="H364" s="707"/>
      <c r="I364" s="14">
        <f t="shared" si="92"/>
        <v>1</v>
      </c>
      <c r="J364" s="707"/>
      <c r="K364" s="14">
        <f t="shared" si="93"/>
        <v>1</v>
      </c>
      <c r="L364" s="707"/>
      <c r="M364" s="14">
        <f t="shared" si="94"/>
        <v>1</v>
      </c>
      <c r="N364" s="707"/>
      <c r="O364" s="14">
        <f t="shared" si="95"/>
        <v>1</v>
      </c>
      <c r="P364" s="707"/>
      <c r="Q364" s="14">
        <f t="shared" si="96"/>
        <v>-0.02</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0.04</v>
      </c>
      <c r="F365" s="707"/>
      <c r="G365" s="14">
        <f t="shared" si="91"/>
        <v>0.03</v>
      </c>
      <c r="H365" s="707"/>
      <c r="I365" s="14">
        <f t="shared" si="92"/>
        <v>1</v>
      </c>
      <c r="J365" s="707"/>
      <c r="K365" s="14">
        <f t="shared" si="93"/>
        <v>1</v>
      </c>
      <c r="L365" s="707"/>
      <c r="M365" s="14">
        <f t="shared" si="94"/>
        <v>1</v>
      </c>
      <c r="N365" s="707"/>
      <c r="O365" s="14">
        <f t="shared" si="95"/>
        <v>1</v>
      </c>
      <c r="P365" s="707"/>
      <c r="Q365" s="14">
        <f t="shared" si="96"/>
        <v>-0.02</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0.04</v>
      </c>
      <c r="F366" s="707"/>
      <c r="G366" s="14">
        <f t="shared" si="91"/>
        <v>0.03</v>
      </c>
      <c r="H366" s="707"/>
      <c r="I366" s="14">
        <f t="shared" si="92"/>
        <v>1</v>
      </c>
      <c r="J366" s="707"/>
      <c r="K366" s="14">
        <f t="shared" si="93"/>
        <v>1</v>
      </c>
      <c r="L366" s="707"/>
      <c r="M366" s="14">
        <f t="shared" si="94"/>
        <v>1</v>
      </c>
      <c r="N366" s="707"/>
      <c r="O366" s="14">
        <f t="shared" si="95"/>
        <v>1</v>
      </c>
      <c r="P366" s="707"/>
      <c r="Q366" s="14">
        <f t="shared" si="96"/>
        <v>-0.02</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0.04</v>
      </c>
      <c r="F367" s="707"/>
      <c r="G367" s="14">
        <f t="shared" si="91"/>
        <v>0.03</v>
      </c>
      <c r="H367" s="707"/>
      <c r="I367" s="14">
        <f t="shared" si="92"/>
        <v>1</v>
      </c>
      <c r="J367" s="707"/>
      <c r="K367" s="14">
        <f t="shared" si="93"/>
        <v>1</v>
      </c>
      <c r="L367" s="707"/>
      <c r="M367" s="14">
        <f t="shared" si="94"/>
        <v>1</v>
      </c>
      <c r="N367" s="707"/>
      <c r="O367" s="14">
        <f t="shared" si="95"/>
        <v>1</v>
      </c>
      <c r="P367" s="707"/>
      <c r="Q367" s="14">
        <f t="shared" si="96"/>
        <v>-0.02</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0.04</v>
      </c>
      <c r="F368" s="707"/>
      <c r="G368" s="14">
        <f t="shared" si="91"/>
        <v>0.03</v>
      </c>
      <c r="H368" s="707"/>
      <c r="I368" s="14">
        <f t="shared" si="92"/>
        <v>1</v>
      </c>
      <c r="J368" s="707"/>
      <c r="K368" s="14">
        <f t="shared" si="93"/>
        <v>1</v>
      </c>
      <c r="L368" s="707"/>
      <c r="M368" s="14">
        <f t="shared" si="94"/>
        <v>1</v>
      </c>
      <c r="N368" s="707"/>
      <c r="O368" s="14">
        <f t="shared" si="95"/>
        <v>1</v>
      </c>
      <c r="P368" s="707"/>
      <c r="Q368" s="14">
        <f t="shared" si="96"/>
        <v>-0.02</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0.04</v>
      </c>
      <c r="F369" s="707"/>
      <c r="G369" s="14">
        <f t="shared" si="91"/>
        <v>0.03</v>
      </c>
      <c r="H369" s="707"/>
      <c r="I369" s="14">
        <f t="shared" si="92"/>
        <v>1</v>
      </c>
      <c r="J369" s="707"/>
      <c r="K369" s="14">
        <f t="shared" si="93"/>
        <v>1</v>
      </c>
      <c r="L369" s="707"/>
      <c r="M369" s="14">
        <f t="shared" si="94"/>
        <v>1</v>
      </c>
      <c r="N369" s="707"/>
      <c r="O369" s="14">
        <f t="shared" si="95"/>
        <v>1</v>
      </c>
      <c r="P369" s="707"/>
      <c r="Q369" s="14">
        <f t="shared" si="96"/>
        <v>-0.02</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0.04</v>
      </c>
      <c r="F370" s="707"/>
      <c r="G370" s="14">
        <f t="shared" si="91"/>
        <v>0.03</v>
      </c>
      <c r="H370" s="707"/>
      <c r="I370" s="14">
        <f t="shared" si="92"/>
        <v>1</v>
      </c>
      <c r="J370" s="707"/>
      <c r="K370" s="14">
        <f t="shared" si="93"/>
        <v>1</v>
      </c>
      <c r="L370" s="707"/>
      <c r="M370" s="14">
        <f t="shared" si="94"/>
        <v>1</v>
      </c>
      <c r="N370" s="707"/>
      <c r="O370" s="14">
        <f t="shared" si="95"/>
        <v>1</v>
      </c>
      <c r="P370" s="707"/>
      <c r="Q370" s="14">
        <f t="shared" si="96"/>
        <v>-0.02</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0.04</v>
      </c>
      <c r="F371" s="707"/>
      <c r="G371" s="14">
        <f t="shared" si="91"/>
        <v>0.03</v>
      </c>
      <c r="H371" s="707"/>
      <c r="I371" s="14">
        <f t="shared" si="92"/>
        <v>1</v>
      </c>
      <c r="J371" s="707"/>
      <c r="K371" s="14">
        <f t="shared" si="93"/>
        <v>1</v>
      </c>
      <c r="L371" s="707"/>
      <c r="M371" s="14">
        <f t="shared" si="94"/>
        <v>1</v>
      </c>
      <c r="N371" s="707"/>
      <c r="O371" s="14">
        <f t="shared" si="95"/>
        <v>1</v>
      </c>
      <c r="P371" s="707"/>
      <c r="Q371" s="14">
        <f t="shared" si="96"/>
        <v>-0.02</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0.04</v>
      </c>
      <c r="F372" s="707"/>
      <c r="G372" s="14">
        <f t="shared" si="91"/>
        <v>0.03</v>
      </c>
      <c r="H372" s="707"/>
      <c r="I372" s="14">
        <f t="shared" si="92"/>
        <v>1</v>
      </c>
      <c r="J372" s="707"/>
      <c r="K372" s="14">
        <f t="shared" si="93"/>
        <v>1</v>
      </c>
      <c r="L372" s="707"/>
      <c r="M372" s="14">
        <f t="shared" si="94"/>
        <v>1</v>
      </c>
      <c r="N372" s="707"/>
      <c r="O372" s="14">
        <f t="shared" si="95"/>
        <v>1</v>
      </c>
      <c r="P372" s="707"/>
      <c r="Q372" s="14">
        <f t="shared" si="96"/>
        <v>-0.02</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0.04</v>
      </c>
      <c r="F373" s="707"/>
      <c r="G373" s="14">
        <f t="shared" si="91"/>
        <v>0.03</v>
      </c>
      <c r="H373" s="707"/>
      <c r="I373" s="14">
        <f t="shared" si="92"/>
        <v>1</v>
      </c>
      <c r="J373" s="707"/>
      <c r="K373" s="14">
        <f t="shared" si="93"/>
        <v>1</v>
      </c>
      <c r="L373" s="707"/>
      <c r="M373" s="14">
        <f t="shared" si="94"/>
        <v>1</v>
      </c>
      <c r="N373" s="707"/>
      <c r="O373" s="14">
        <f t="shared" si="95"/>
        <v>1</v>
      </c>
      <c r="P373" s="707"/>
      <c r="Q373" s="14">
        <f t="shared" si="96"/>
        <v>-0.02</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0.04</v>
      </c>
      <c r="F374" s="707"/>
      <c r="G374" s="14">
        <f t="shared" si="91"/>
        <v>0.03</v>
      </c>
      <c r="H374" s="707"/>
      <c r="I374" s="14">
        <f t="shared" si="92"/>
        <v>1</v>
      </c>
      <c r="J374" s="707"/>
      <c r="K374" s="14">
        <f t="shared" si="93"/>
        <v>1</v>
      </c>
      <c r="L374" s="707"/>
      <c r="M374" s="14">
        <f t="shared" si="94"/>
        <v>1</v>
      </c>
      <c r="N374" s="707"/>
      <c r="O374" s="14">
        <f t="shared" si="95"/>
        <v>1</v>
      </c>
      <c r="P374" s="707"/>
      <c r="Q374" s="14">
        <f t="shared" si="96"/>
        <v>-0.02</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0.04</v>
      </c>
      <c r="F375" s="707"/>
      <c r="G375" s="14">
        <f t="shared" si="91"/>
        <v>0.03</v>
      </c>
      <c r="H375" s="707"/>
      <c r="I375" s="14">
        <f t="shared" si="92"/>
        <v>1</v>
      </c>
      <c r="J375" s="707"/>
      <c r="K375" s="14">
        <f t="shared" si="93"/>
        <v>1</v>
      </c>
      <c r="L375" s="707"/>
      <c r="M375" s="14">
        <f t="shared" si="94"/>
        <v>1</v>
      </c>
      <c r="N375" s="707"/>
      <c r="O375" s="14">
        <f t="shared" si="95"/>
        <v>1</v>
      </c>
      <c r="P375" s="707"/>
      <c r="Q375" s="14">
        <f t="shared" si="96"/>
        <v>-0.02</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0.04</v>
      </c>
      <c r="F376" s="707"/>
      <c r="G376" s="14">
        <f t="shared" si="91"/>
        <v>0.03</v>
      </c>
      <c r="H376" s="707"/>
      <c r="I376" s="14">
        <f t="shared" si="92"/>
        <v>1</v>
      </c>
      <c r="J376" s="707"/>
      <c r="K376" s="14">
        <f t="shared" si="93"/>
        <v>1</v>
      </c>
      <c r="L376" s="707"/>
      <c r="M376" s="14">
        <f t="shared" si="94"/>
        <v>1</v>
      </c>
      <c r="N376" s="707"/>
      <c r="O376" s="14">
        <f t="shared" si="95"/>
        <v>1</v>
      </c>
      <c r="P376" s="707"/>
      <c r="Q376" s="14">
        <f t="shared" si="96"/>
        <v>-0.02</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0.04</v>
      </c>
      <c r="F377" s="707"/>
      <c r="G377" s="14">
        <f t="shared" si="91"/>
        <v>0.03</v>
      </c>
      <c r="H377" s="707"/>
      <c r="I377" s="14">
        <f t="shared" si="92"/>
        <v>1</v>
      </c>
      <c r="J377" s="707"/>
      <c r="K377" s="14">
        <f t="shared" si="93"/>
        <v>1</v>
      </c>
      <c r="L377" s="707"/>
      <c r="M377" s="14">
        <f t="shared" si="94"/>
        <v>1</v>
      </c>
      <c r="N377" s="707"/>
      <c r="O377" s="14">
        <f t="shared" si="95"/>
        <v>1</v>
      </c>
      <c r="P377" s="707"/>
      <c r="Q377" s="14">
        <f t="shared" si="96"/>
        <v>-0.02</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0.04</v>
      </c>
      <c r="F378" s="707"/>
      <c r="G378" s="14">
        <f t="shared" si="91"/>
        <v>0.03</v>
      </c>
      <c r="H378" s="707"/>
      <c r="I378" s="14">
        <f t="shared" si="92"/>
        <v>1</v>
      </c>
      <c r="J378" s="707"/>
      <c r="K378" s="14">
        <f t="shared" si="93"/>
        <v>1</v>
      </c>
      <c r="L378" s="707"/>
      <c r="M378" s="14">
        <f t="shared" si="94"/>
        <v>1</v>
      </c>
      <c r="N378" s="707"/>
      <c r="O378" s="14">
        <f t="shared" si="95"/>
        <v>1</v>
      </c>
      <c r="P378" s="707"/>
      <c r="Q378" s="14">
        <f t="shared" si="96"/>
        <v>-0.02</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0.04</v>
      </c>
      <c r="F379" s="707"/>
      <c r="G379" s="14">
        <f t="shared" si="91"/>
        <v>0.03</v>
      </c>
      <c r="H379" s="707"/>
      <c r="I379" s="14">
        <f t="shared" si="92"/>
        <v>1</v>
      </c>
      <c r="J379" s="707"/>
      <c r="K379" s="14">
        <f t="shared" si="93"/>
        <v>1</v>
      </c>
      <c r="L379" s="707"/>
      <c r="M379" s="14">
        <f t="shared" si="94"/>
        <v>1</v>
      </c>
      <c r="N379" s="707"/>
      <c r="O379" s="14">
        <f t="shared" si="95"/>
        <v>1</v>
      </c>
      <c r="P379" s="707"/>
      <c r="Q379" s="14">
        <f t="shared" si="96"/>
        <v>-0.02</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0.04</v>
      </c>
      <c r="F380" s="707"/>
      <c r="G380" s="14">
        <f t="shared" si="91"/>
        <v>0.03</v>
      </c>
      <c r="H380" s="707"/>
      <c r="I380" s="14">
        <f t="shared" si="92"/>
        <v>1</v>
      </c>
      <c r="J380" s="707"/>
      <c r="K380" s="14">
        <f t="shared" si="93"/>
        <v>1</v>
      </c>
      <c r="L380" s="707"/>
      <c r="M380" s="14">
        <f t="shared" si="94"/>
        <v>1</v>
      </c>
      <c r="N380" s="707"/>
      <c r="O380" s="14">
        <f t="shared" si="95"/>
        <v>1</v>
      </c>
      <c r="P380" s="707"/>
      <c r="Q380" s="14">
        <f t="shared" si="96"/>
        <v>-0.02</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0.04</v>
      </c>
      <c r="F381" s="707"/>
      <c r="G381" s="14">
        <f t="shared" si="91"/>
        <v>0.03</v>
      </c>
      <c r="H381" s="707"/>
      <c r="I381" s="14">
        <f t="shared" si="92"/>
        <v>1</v>
      </c>
      <c r="J381" s="707"/>
      <c r="K381" s="14">
        <f t="shared" si="93"/>
        <v>1</v>
      </c>
      <c r="L381" s="707"/>
      <c r="M381" s="14">
        <f t="shared" si="94"/>
        <v>1</v>
      </c>
      <c r="N381" s="707"/>
      <c r="O381" s="14">
        <f t="shared" si="95"/>
        <v>1</v>
      </c>
      <c r="P381" s="707"/>
      <c r="Q381" s="14">
        <f t="shared" si="96"/>
        <v>-0.02</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0.04</v>
      </c>
      <c r="F382" s="707"/>
      <c r="G382" s="14">
        <f t="shared" si="91"/>
        <v>0.03</v>
      </c>
      <c r="H382" s="707"/>
      <c r="I382" s="14">
        <f t="shared" si="92"/>
        <v>1</v>
      </c>
      <c r="J382" s="707"/>
      <c r="K382" s="14">
        <f t="shared" si="93"/>
        <v>1</v>
      </c>
      <c r="L382" s="707"/>
      <c r="M382" s="14">
        <f t="shared" si="94"/>
        <v>1</v>
      </c>
      <c r="N382" s="707"/>
      <c r="O382" s="14">
        <f t="shared" si="95"/>
        <v>1</v>
      </c>
      <c r="P382" s="707"/>
      <c r="Q382" s="14">
        <f t="shared" si="96"/>
        <v>-0.02</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0.04</v>
      </c>
      <c r="F383" s="707"/>
      <c r="G383" s="14">
        <f t="shared" si="91"/>
        <v>0.03</v>
      </c>
      <c r="H383" s="707"/>
      <c r="I383" s="14">
        <f t="shared" si="92"/>
        <v>1</v>
      </c>
      <c r="J383" s="707"/>
      <c r="K383" s="14">
        <f t="shared" si="93"/>
        <v>1</v>
      </c>
      <c r="L383" s="707"/>
      <c r="M383" s="14">
        <f t="shared" si="94"/>
        <v>1</v>
      </c>
      <c r="N383" s="707"/>
      <c r="O383" s="14">
        <f t="shared" si="95"/>
        <v>1</v>
      </c>
      <c r="P383" s="707"/>
      <c r="Q383" s="14">
        <f t="shared" si="96"/>
        <v>-0.02</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0.04</v>
      </c>
      <c r="F384" s="707"/>
      <c r="G384" s="14">
        <f t="shared" si="91"/>
        <v>0.03</v>
      </c>
      <c r="H384" s="707"/>
      <c r="I384" s="14">
        <f t="shared" si="92"/>
        <v>1</v>
      </c>
      <c r="J384" s="707"/>
      <c r="K384" s="14">
        <f t="shared" si="93"/>
        <v>1</v>
      </c>
      <c r="L384" s="707"/>
      <c r="M384" s="14">
        <f t="shared" si="94"/>
        <v>1</v>
      </c>
      <c r="N384" s="707"/>
      <c r="O384" s="14">
        <f t="shared" si="95"/>
        <v>1</v>
      </c>
      <c r="P384" s="707"/>
      <c r="Q384" s="14">
        <f t="shared" si="96"/>
        <v>-0.02</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0.04</v>
      </c>
      <c r="F385" s="707"/>
      <c r="G385" s="14">
        <f t="shared" si="91"/>
        <v>0.03</v>
      </c>
      <c r="H385" s="707"/>
      <c r="I385" s="14">
        <f t="shared" si="92"/>
        <v>1</v>
      </c>
      <c r="J385" s="707"/>
      <c r="K385" s="14">
        <f t="shared" si="93"/>
        <v>1</v>
      </c>
      <c r="L385" s="707"/>
      <c r="M385" s="14">
        <f t="shared" si="94"/>
        <v>1</v>
      </c>
      <c r="N385" s="707"/>
      <c r="O385" s="14">
        <f t="shared" si="95"/>
        <v>1</v>
      </c>
      <c r="P385" s="707"/>
      <c r="Q385" s="14">
        <f t="shared" si="96"/>
        <v>-0.02</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0.04</v>
      </c>
      <c r="F386" s="707"/>
      <c r="G386" s="14">
        <f t="shared" si="91"/>
        <v>0.03</v>
      </c>
      <c r="H386" s="707"/>
      <c r="I386" s="14">
        <f t="shared" si="92"/>
        <v>1</v>
      </c>
      <c r="J386" s="707"/>
      <c r="K386" s="14">
        <f t="shared" si="93"/>
        <v>1</v>
      </c>
      <c r="L386" s="707"/>
      <c r="M386" s="14">
        <f t="shared" si="94"/>
        <v>1</v>
      </c>
      <c r="N386" s="707"/>
      <c r="O386" s="14">
        <f t="shared" si="95"/>
        <v>1</v>
      </c>
      <c r="P386" s="707"/>
      <c r="Q386" s="14">
        <f t="shared" si="96"/>
        <v>-0.02</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0.04</v>
      </c>
      <c r="F387" s="707"/>
      <c r="G387" s="14">
        <f t="shared" si="91"/>
        <v>0.03</v>
      </c>
      <c r="H387" s="707"/>
      <c r="I387" s="14">
        <f t="shared" si="92"/>
        <v>1</v>
      </c>
      <c r="J387" s="707"/>
      <c r="K387" s="14">
        <f t="shared" si="93"/>
        <v>1</v>
      </c>
      <c r="L387" s="707"/>
      <c r="M387" s="14">
        <f t="shared" si="94"/>
        <v>1</v>
      </c>
      <c r="N387" s="707"/>
      <c r="O387" s="14">
        <f t="shared" si="95"/>
        <v>1</v>
      </c>
      <c r="P387" s="707"/>
      <c r="Q387" s="14">
        <f t="shared" si="96"/>
        <v>-0.02</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0.04</v>
      </c>
      <c r="F388" s="707"/>
      <c r="G388" s="14">
        <f t="shared" si="91"/>
        <v>0.03</v>
      </c>
      <c r="H388" s="707"/>
      <c r="I388" s="14">
        <f t="shared" si="92"/>
        <v>1</v>
      </c>
      <c r="J388" s="707"/>
      <c r="K388" s="14">
        <f t="shared" si="93"/>
        <v>1</v>
      </c>
      <c r="L388" s="707"/>
      <c r="M388" s="14">
        <f t="shared" si="94"/>
        <v>1</v>
      </c>
      <c r="N388" s="707"/>
      <c r="O388" s="14">
        <f t="shared" si="95"/>
        <v>1</v>
      </c>
      <c r="P388" s="707"/>
      <c r="Q388" s="14">
        <f t="shared" si="96"/>
        <v>-0.02</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0.04</v>
      </c>
      <c r="F389" s="707"/>
      <c r="G389" s="14">
        <f t="shared" si="91"/>
        <v>0.03</v>
      </c>
      <c r="H389" s="707"/>
      <c r="I389" s="14">
        <f t="shared" si="92"/>
        <v>1</v>
      </c>
      <c r="J389" s="707"/>
      <c r="K389" s="14">
        <f t="shared" si="93"/>
        <v>1</v>
      </c>
      <c r="L389" s="707"/>
      <c r="M389" s="14">
        <f t="shared" si="94"/>
        <v>1</v>
      </c>
      <c r="N389" s="707"/>
      <c r="O389" s="14">
        <f t="shared" si="95"/>
        <v>1</v>
      </c>
      <c r="P389" s="707"/>
      <c r="Q389" s="14">
        <f t="shared" si="96"/>
        <v>-0.02</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0.04</v>
      </c>
      <c r="F390" s="707"/>
      <c r="G390" s="14">
        <f t="shared" si="91"/>
        <v>0.03</v>
      </c>
      <c r="H390" s="707"/>
      <c r="I390" s="14">
        <f t="shared" si="92"/>
        <v>1</v>
      </c>
      <c r="J390" s="707"/>
      <c r="K390" s="14">
        <f t="shared" si="93"/>
        <v>1</v>
      </c>
      <c r="L390" s="707"/>
      <c r="M390" s="14">
        <f t="shared" si="94"/>
        <v>1</v>
      </c>
      <c r="N390" s="707"/>
      <c r="O390" s="14">
        <f t="shared" si="95"/>
        <v>1</v>
      </c>
      <c r="P390" s="707"/>
      <c r="Q390" s="14">
        <f t="shared" si="96"/>
        <v>-0.02</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0.04</v>
      </c>
      <c r="F391" s="707"/>
      <c r="G391" s="14">
        <f t="shared" si="91"/>
        <v>0.03</v>
      </c>
      <c r="H391" s="707"/>
      <c r="I391" s="14">
        <f t="shared" si="92"/>
        <v>1</v>
      </c>
      <c r="J391" s="707"/>
      <c r="K391" s="14">
        <f t="shared" si="93"/>
        <v>1</v>
      </c>
      <c r="L391" s="707"/>
      <c r="M391" s="14">
        <f t="shared" si="94"/>
        <v>1</v>
      </c>
      <c r="N391" s="707"/>
      <c r="O391" s="14">
        <f t="shared" si="95"/>
        <v>1</v>
      </c>
      <c r="P391" s="707"/>
      <c r="Q391" s="14">
        <f t="shared" si="96"/>
        <v>-0.02</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0.04</v>
      </c>
      <c r="F392" s="707"/>
      <c r="G392" s="14">
        <f t="shared" si="91"/>
        <v>0.03</v>
      </c>
      <c r="H392" s="707"/>
      <c r="I392" s="14">
        <f t="shared" si="92"/>
        <v>1</v>
      </c>
      <c r="J392" s="707"/>
      <c r="K392" s="14">
        <f t="shared" si="93"/>
        <v>1</v>
      </c>
      <c r="L392" s="707"/>
      <c r="M392" s="14">
        <f t="shared" si="94"/>
        <v>1</v>
      </c>
      <c r="N392" s="707"/>
      <c r="O392" s="14">
        <f t="shared" si="95"/>
        <v>1</v>
      </c>
      <c r="P392" s="707"/>
      <c r="Q392" s="14">
        <f t="shared" si="96"/>
        <v>-0.02</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0.04</v>
      </c>
      <c r="F393" s="707"/>
      <c r="G393" s="14">
        <f t="shared" si="91"/>
        <v>0.03</v>
      </c>
      <c r="H393" s="707"/>
      <c r="I393" s="14">
        <f t="shared" si="92"/>
        <v>1</v>
      </c>
      <c r="J393" s="707"/>
      <c r="K393" s="14">
        <f t="shared" si="93"/>
        <v>1</v>
      </c>
      <c r="L393" s="707"/>
      <c r="M393" s="14">
        <f t="shared" si="94"/>
        <v>1</v>
      </c>
      <c r="N393" s="707"/>
      <c r="O393" s="14">
        <f t="shared" si="95"/>
        <v>1</v>
      </c>
      <c r="P393" s="707"/>
      <c r="Q393" s="14">
        <f t="shared" si="96"/>
        <v>-0.02</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0.04</v>
      </c>
      <c r="F394" s="707"/>
      <c r="G394" s="14">
        <f t="shared" si="91"/>
        <v>0.03</v>
      </c>
      <c r="H394" s="707"/>
      <c r="I394" s="14">
        <f t="shared" si="92"/>
        <v>1</v>
      </c>
      <c r="J394" s="707"/>
      <c r="K394" s="14">
        <f t="shared" si="93"/>
        <v>1</v>
      </c>
      <c r="L394" s="707"/>
      <c r="M394" s="14">
        <f t="shared" si="94"/>
        <v>1</v>
      </c>
      <c r="N394" s="707"/>
      <c r="O394" s="14">
        <f t="shared" si="95"/>
        <v>1</v>
      </c>
      <c r="P394" s="707"/>
      <c r="Q394" s="14">
        <f t="shared" si="96"/>
        <v>-0.02</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0.04</v>
      </c>
      <c r="F395" s="707"/>
      <c r="G395" s="14">
        <f t="shared" si="91"/>
        <v>0.03</v>
      </c>
      <c r="H395" s="707"/>
      <c r="I395" s="14">
        <f t="shared" si="92"/>
        <v>1</v>
      </c>
      <c r="J395" s="707"/>
      <c r="K395" s="14">
        <f t="shared" si="93"/>
        <v>1</v>
      </c>
      <c r="L395" s="707"/>
      <c r="M395" s="14">
        <f t="shared" si="94"/>
        <v>1</v>
      </c>
      <c r="N395" s="707"/>
      <c r="O395" s="14">
        <f t="shared" si="95"/>
        <v>1</v>
      </c>
      <c r="P395" s="707"/>
      <c r="Q395" s="14">
        <f t="shared" si="96"/>
        <v>-0.02</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0.04</v>
      </c>
      <c r="F396" s="707"/>
      <c r="G396" s="14">
        <f t="shared" si="91"/>
        <v>0.03</v>
      </c>
      <c r="H396" s="707"/>
      <c r="I396" s="14">
        <f t="shared" si="92"/>
        <v>1</v>
      </c>
      <c r="J396" s="707"/>
      <c r="K396" s="14">
        <f t="shared" si="93"/>
        <v>1</v>
      </c>
      <c r="L396" s="707"/>
      <c r="M396" s="14">
        <f t="shared" si="94"/>
        <v>1</v>
      </c>
      <c r="N396" s="707"/>
      <c r="O396" s="14">
        <f t="shared" si="95"/>
        <v>1</v>
      </c>
      <c r="P396" s="707"/>
      <c r="Q396" s="14">
        <f t="shared" si="96"/>
        <v>-0.02</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0.04</v>
      </c>
      <c r="F397" s="707"/>
      <c r="G397" s="14">
        <f t="shared" si="91"/>
        <v>0.03</v>
      </c>
      <c r="H397" s="707"/>
      <c r="I397" s="14">
        <f t="shared" si="92"/>
        <v>1</v>
      </c>
      <c r="J397" s="707"/>
      <c r="K397" s="14">
        <f t="shared" si="93"/>
        <v>1</v>
      </c>
      <c r="L397" s="707"/>
      <c r="M397" s="14">
        <f t="shared" si="94"/>
        <v>1</v>
      </c>
      <c r="N397" s="707"/>
      <c r="O397" s="14">
        <f t="shared" si="95"/>
        <v>1</v>
      </c>
      <c r="P397" s="707"/>
      <c r="Q397" s="14">
        <f t="shared" si="96"/>
        <v>-0.02</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0.04</v>
      </c>
      <c r="F398" s="707"/>
      <c r="G398" s="14">
        <f t="shared" si="91"/>
        <v>0.03</v>
      </c>
      <c r="H398" s="707"/>
      <c r="I398" s="14">
        <f t="shared" si="92"/>
        <v>1</v>
      </c>
      <c r="J398" s="707"/>
      <c r="K398" s="14">
        <f t="shared" si="93"/>
        <v>1</v>
      </c>
      <c r="L398" s="707"/>
      <c r="M398" s="14">
        <f t="shared" si="94"/>
        <v>1</v>
      </c>
      <c r="N398" s="707"/>
      <c r="O398" s="14">
        <f t="shared" si="95"/>
        <v>1</v>
      </c>
      <c r="P398" s="707"/>
      <c r="Q398" s="14">
        <f t="shared" si="96"/>
        <v>-0.02</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0.04</v>
      </c>
      <c r="F399" s="707"/>
      <c r="G399" s="14">
        <f t="shared" si="91"/>
        <v>0.03</v>
      </c>
      <c r="H399" s="707"/>
      <c r="I399" s="14">
        <f t="shared" si="92"/>
        <v>1</v>
      </c>
      <c r="J399" s="707"/>
      <c r="K399" s="14">
        <f t="shared" si="93"/>
        <v>1</v>
      </c>
      <c r="L399" s="707"/>
      <c r="M399" s="14">
        <f t="shared" si="94"/>
        <v>1</v>
      </c>
      <c r="N399" s="707"/>
      <c r="O399" s="14">
        <f t="shared" si="95"/>
        <v>1</v>
      </c>
      <c r="P399" s="707"/>
      <c r="Q399" s="14">
        <f t="shared" si="96"/>
        <v>-0.02</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0.04</v>
      </c>
      <c r="F400" s="707"/>
      <c r="G400" s="14">
        <f t="shared" si="91"/>
        <v>0.03</v>
      </c>
      <c r="H400" s="707"/>
      <c r="I400" s="14">
        <f t="shared" si="92"/>
        <v>1</v>
      </c>
      <c r="J400" s="707"/>
      <c r="K400" s="14">
        <f t="shared" si="93"/>
        <v>1</v>
      </c>
      <c r="L400" s="707"/>
      <c r="M400" s="14">
        <f t="shared" si="94"/>
        <v>1</v>
      </c>
      <c r="N400" s="707"/>
      <c r="O400" s="14">
        <f t="shared" si="95"/>
        <v>1</v>
      </c>
      <c r="P400" s="707"/>
      <c r="Q400" s="14">
        <f t="shared" si="96"/>
        <v>-0.02</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0.04</v>
      </c>
      <c r="F401" s="707"/>
      <c r="G401" s="14">
        <f t="shared" si="91"/>
        <v>0.03</v>
      </c>
      <c r="H401" s="707"/>
      <c r="I401" s="14">
        <f t="shared" si="92"/>
        <v>1</v>
      </c>
      <c r="J401" s="707"/>
      <c r="K401" s="14">
        <f t="shared" si="93"/>
        <v>1</v>
      </c>
      <c r="L401" s="707"/>
      <c r="M401" s="14">
        <f t="shared" si="94"/>
        <v>1</v>
      </c>
      <c r="N401" s="707"/>
      <c r="O401" s="14">
        <f t="shared" si="95"/>
        <v>1</v>
      </c>
      <c r="P401" s="707"/>
      <c r="Q401" s="14">
        <f t="shared" si="96"/>
        <v>-0.02</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0.04</v>
      </c>
      <c r="F402" s="707"/>
      <c r="G402" s="14">
        <f t="shared" si="91"/>
        <v>0.03</v>
      </c>
      <c r="H402" s="707"/>
      <c r="I402" s="14">
        <f t="shared" si="92"/>
        <v>1</v>
      </c>
      <c r="J402" s="707"/>
      <c r="K402" s="14">
        <f t="shared" si="93"/>
        <v>1</v>
      </c>
      <c r="L402" s="707"/>
      <c r="M402" s="14">
        <f t="shared" si="94"/>
        <v>1</v>
      </c>
      <c r="N402" s="707"/>
      <c r="O402" s="14">
        <f t="shared" si="95"/>
        <v>1</v>
      </c>
      <c r="P402" s="707"/>
      <c r="Q402" s="14">
        <f t="shared" si="96"/>
        <v>-0.02</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0.04</v>
      </c>
      <c r="F403" s="707"/>
      <c r="G403" s="14">
        <f t="shared" si="91"/>
        <v>0.03</v>
      </c>
      <c r="H403" s="707"/>
      <c r="I403" s="14">
        <f t="shared" si="92"/>
        <v>1</v>
      </c>
      <c r="J403" s="707"/>
      <c r="K403" s="14">
        <f t="shared" si="93"/>
        <v>1</v>
      </c>
      <c r="L403" s="707"/>
      <c r="M403" s="14">
        <f t="shared" si="94"/>
        <v>1</v>
      </c>
      <c r="N403" s="707"/>
      <c r="O403" s="14">
        <f t="shared" si="95"/>
        <v>1</v>
      </c>
      <c r="P403" s="707"/>
      <c r="Q403" s="14">
        <f t="shared" si="96"/>
        <v>-0.02</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0.04</v>
      </c>
      <c r="F404" s="707"/>
      <c r="G404" s="14">
        <f t="shared" si="91"/>
        <v>0.03</v>
      </c>
      <c r="H404" s="707"/>
      <c r="I404" s="14">
        <f t="shared" si="92"/>
        <v>1</v>
      </c>
      <c r="J404" s="707"/>
      <c r="K404" s="14">
        <f t="shared" si="93"/>
        <v>1</v>
      </c>
      <c r="L404" s="707"/>
      <c r="M404" s="14">
        <f t="shared" si="94"/>
        <v>1</v>
      </c>
      <c r="N404" s="707"/>
      <c r="O404" s="14">
        <f t="shared" si="95"/>
        <v>1</v>
      </c>
      <c r="P404" s="707"/>
      <c r="Q404" s="14">
        <f t="shared" si="96"/>
        <v>-0.02</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0.04</v>
      </c>
      <c r="F405" s="707"/>
      <c r="G405" s="14">
        <f t="shared" si="91"/>
        <v>0.03</v>
      </c>
      <c r="H405" s="707"/>
      <c r="I405" s="14">
        <f t="shared" si="92"/>
        <v>1</v>
      </c>
      <c r="J405" s="707"/>
      <c r="K405" s="14">
        <f t="shared" si="93"/>
        <v>1</v>
      </c>
      <c r="L405" s="707"/>
      <c r="M405" s="14">
        <f t="shared" si="94"/>
        <v>1</v>
      </c>
      <c r="N405" s="707"/>
      <c r="O405" s="14">
        <f t="shared" si="95"/>
        <v>1</v>
      </c>
      <c r="P405" s="707"/>
      <c r="Q405" s="14">
        <f t="shared" si="96"/>
        <v>-0.02</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0.04</v>
      </c>
      <c r="F406" s="707"/>
      <c r="G406" s="14">
        <f t="shared" si="91"/>
        <v>0.03</v>
      </c>
      <c r="H406" s="707"/>
      <c r="I406" s="14">
        <f t="shared" si="92"/>
        <v>1</v>
      </c>
      <c r="J406" s="707"/>
      <c r="K406" s="14">
        <f t="shared" si="93"/>
        <v>1</v>
      </c>
      <c r="L406" s="707"/>
      <c r="M406" s="14">
        <f t="shared" si="94"/>
        <v>1</v>
      </c>
      <c r="N406" s="707"/>
      <c r="O406" s="14">
        <f t="shared" si="95"/>
        <v>1</v>
      </c>
      <c r="P406" s="707"/>
      <c r="Q406" s="14">
        <f t="shared" si="96"/>
        <v>-0.02</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0.04</v>
      </c>
      <c r="F407" s="707"/>
      <c r="G407" s="14">
        <f t="shared" si="91"/>
        <v>0.03</v>
      </c>
      <c r="H407" s="707"/>
      <c r="I407" s="14">
        <f t="shared" si="92"/>
        <v>1</v>
      </c>
      <c r="J407" s="707"/>
      <c r="K407" s="14">
        <f t="shared" si="93"/>
        <v>1</v>
      </c>
      <c r="L407" s="707"/>
      <c r="M407" s="14">
        <f t="shared" si="94"/>
        <v>1</v>
      </c>
      <c r="N407" s="707"/>
      <c r="O407" s="14">
        <f t="shared" si="95"/>
        <v>1</v>
      </c>
      <c r="P407" s="707"/>
      <c r="Q407" s="14">
        <f t="shared" si="96"/>
        <v>-0.02</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0.04</v>
      </c>
      <c r="F408" s="707"/>
      <c r="G408" s="14">
        <f t="shared" si="91"/>
        <v>0.03</v>
      </c>
      <c r="H408" s="707"/>
      <c r="I408" s="14">
        <f t="shared" si="92"/>
        <v>1</v>
      </c>
      <c r="J408" s="707"/>
      <c r="K408" s="14">
        <f t="shared" si="93"/>
        <v>1</v>
      </c>
      <c r="L408" s="707"/>
      <c r="M408" s="14">
        <f t="shared" si="94"/>
        <v>1</v>
      </c>
      <c r="N408" s="707"/>
      <c r="O408" s="14">
        <f t="shared" si="95"/>
        <v>1</v>
      </c>
      <c r="P408" s="707"/>
      <c r="Q408" s="14">
        <f t="shared" si="96"/>
        <v>-0.02</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0.04</v>
      </c>
      <c r="F409" s="707"/>
      <c r="G409" s="14">
        <f t="shared" si="91"/>
        <v>0.03</v>
      </c>
      <c r="H409" s="707"/>
      <c r="I409" s="14">
        <f t="shared" si="92"/>
        <v>1</v>
      </c>
      <c r="J409" s="707"/>
      <c r="K409" s="14">
        <f t="shared" si="93"/>
        <v>1</v>
      </c>
      <c r="L409" s="707"/>
      <c r="M409" s="14">
        <f t="shared" si="94"/>
        <v>1</v>
      </c>
      <c r="N409" s="707"/>
      <c r="O409" s="14">
        <f t="shared" si="95"/>
        <v>1</v>
      </c>
      <c r="P409" s="707"/>
      <c r="Q409" s="14">
        <f t="shared" si="96"/>
        <v>-0.02</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0.04</v>
      </c>
      <c r="F410" s="707"/>
      <c r="G410" s="14">
        <f t="shared" si="91"/>
        <v>0.03</v>
      </c>
      <c r="H410" s="707"/>
      <c r="I410" s="14">
        <f t="shared" si="92"/>
        <v>1</v>
      </c>
      <c r="J410" s="707"/>
      <c r="K410" s="14">
        <f t="shared" si="93"/>
        <v>1</v>
      </c>
      <c r="L410" s="707"/>
      <c r="M410" s="14">
        <f t="shared" si="94"/>
        <v>1</v>
      </c>
      <c r="N410" s="707"/>
      <c r="O410" s="14">
        <f t="shared" si="95"/>
        <v>1</v>
      </c>
      <c r="P410" s="707"/>
      <c r="Q410" s="14">
        <f t="shared" si="96"/>
        <v>-0.02</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0.04</v>
      </c>
      <c r="F411" s="707"/>
      <c r="G411" s="14">
        <f t="shared" si="91"/>
        <v>0.03</v>
      </c>
      <c r="H411" s="707"/>
      <c r="I411" s="14">
        <f t="shared" si="92"/>
        <v>1</v>
      </c>
      <c r="J411" s="707"/>
      <c r="K411" s="14">
        <f t="shared" si="93"/>
        <v>1</v>
      </c>
      <c r="L411" s="707"/>
      <c r="M411" s="14">
        <f t="shared" si="94"/>
        <v>1</v>
      </c>
      <c r="N411" s="707"/>
      <c r="O411" s="14">
        <f t="shared" si="95"/>
        <v>1</v>
      </c>
      <c r="P411" s="707"/>
      <c r="Q411" s="14">
        <f t="shared" si="96"/>
        <v>-0.02</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0.04</v>
      </c>
      <c r="F412" s="707"/>
      <c r="G412" s="14">
        <f t="shared" ref="G412:G475" si="106">(SUMIF($10:$10,F412,$11:$11)-SUMIF($10:$10,$F$27,$11:$11)+100)/100</f>
        <v>0.03</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-0.02</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0.04</v>
      </c>
      <c r="F413" s="707"/>
      <c r="G413" s="14">
        <f t="shared" si="106"/>
        <v>0.03</v>
      </c>
      <c r="H413" s="707"/>
      <c r="I413" s="14">
        <f t="shared" si="107"/>
        <v>1</v>
      </c>
      <c r="J413" s="707"/>
      <c r="K413" s="14">
        <f t="shared" si="108"/>
        <v>1</v>
      </c>
      <c r="L413" s="707"/>
      <c r="M413" s="14">
        <f t="shared" si="109"/>
        <v>1</v>
      </c>
      <c r="N413" s="707"/>
      <c r="O413" s="14">
        <f t="shared" si="110"/>
        <v>1</v>
      </c>
      <c r="P413" s="707"/>
      <c r="Q413" s="14">
        <f t="shared" si="111"/>
        <v>-0.02</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0.04</v>
      </c>
      <c r="F414" s="707"/>
      <c r="G414" s="14">
        <f t="shared" si="106"/>
        <v>0.03</v>
      </c>
      <c r="H414" s="707"/>
      <c r="I414" s="14">
        <f t="shared" si="107"/>
        <v>1</v>
      </c>
      <c r="J414" s="707"/>
      <c r="K414" s="14">
        <f t="shared" si="108"/>
        <v>1</v>
      </c>
      <c r="L414" s="707"/>
      <c r="M414" s="14">
        <f t="shared" si="109"/>
        <v>1</v>
      </c>
      <c r="N414" s="707"/>
      <c r="O414" s="14">
        <f t="shared" si="110"/>
        <v>1</v>
      </c>
      <c r="P414" s="707"/>
      <c r="Q414" s="14">
        <f t="shared" si="111"/>
        <v>-0.02</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0.04</v>
      </c>
      <c r="F415" s="707"/>
      <c r="G415" s="14">
        <f t="shared" si="106"/>
        <v>0.03</v>
      </c>
      <c r="H415" s="707"/>
      <c r="I415" s="14">
        <f t="shared" si="107"/>
        <v>1</v>
      </c>
      <c r="J415" s="707"/>
      <c r="K415" s="14">
        <f t="shared" si="108"/>
        <v>1</v>
      </c>
      <c r="L415" s="707"/>
      <c r="M415" s="14">
        <f t="shared" si="109"/>
        <v>1</v>
      </c>
      <c r="N415" s="707"/>
      <c r="O415" s="14">
        <f t="shared" si="110"/>
        <v>1</v>
      </c>
      <c r="P415" s="707"/>
      <c r="Q415" s="14">
        <f t="shared" si="111"/>
        <v>-0.02</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0.04</v>
      </c>
      <c r="F416" s="707"/>
      <c r="G416" s="14">
        <f t="shared" si="106"/>
        <v>0.03</v>
      </c>
      <c r="H416" s="707"/>
      <c r="I416" s="14">
        <f t="shared" si="107"/>
        <v>1</v>
      </c>
      <c r="J416" s="707"/>
      <c r="K416" s="14">
        <f t="shared" si="108"/>
        <v>1</v>
      </c>
      <c r="L416" s="707"/>
      <c r="M416" s="14">
        <f t="shared" si="109"/>
        <v>1</v>
      </c>
      <c r="N416" s="707"/>
      <c r="O416" s="14">
        <f t="shared" si="110"/>
        <v>1</v>
      </c>
      <c r="P416" s="707"/>
      <c r="Q416" s="14">
        <f t="shared" si="111"/>
        <v>-0.02</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0.04</v>
      </c>
      <c r="F417" s="707"/>
      <c r="G417" s="14">
        <f t="shared" si="106"/>
        <v>0.03</v>
      </c>
      <c r="H417" s="707"/>
      <c r="I417" s="14">
        <f t="shared" si="107"/>
        <v>1</v>
      </c>
      <c r="J417" s="707"/>
      <c r="K417" s="14">
        <f t="shared" si="108"/>
        <v>1</v>
      </c>
      <c r="L417" s="707"/>
      <c r="M417" s="14">
        <f t="shared" si="109"/>
        <v>1</v>
      </c>
      <c r="N417" s="707"/>
      <c r="O417" s="14">
        <f t="shared" si="110"/>
        <v>1</v>
      </c>
      <c r="P417" s="707"/>
      <c r="Q417" s="14">
        <f t="shared" si="111"/>
        <v>-0.02</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0.04</v>
      </c>
      <c r="F418" s="707"/>
      <c r="G418" s="14">
        <f t="shared" si="106"/>
        <v>0.03</v>
      </c>
      <c r="H418" s="707"/>
      <c r="I418" s="14">
        <f t="shared" si="107"/>
        <v>1</v>
      </c>
      <c r="J418" s="707"/>
      <c r="K418" s="14">
        <f t="shared" si="108"/>
        <v>1</v>
      </c>
      <c r="L418" s="707"/>
      <c r="M418" s="14">
        <f t="shared" si="109"/>
        <v>1</v>
      </c>
      <c r="N418" s="707"/>
      <c r="O418" s="14">
        <f t="shared" si="110"/>
        <v>1</v>
      </c>
      <c r="P418" s="707"/>
      <c r="Q418" s="14">
        <f t="shared" si="111"/>
        <v>-0.02</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0.04</v>
      </c>
      <c r="F419" s="707"/>
      <c r="G419" s="14">
        <f t="shared" si="106"/>
        <v>0.03</v>
      </c>
      <c r="H419" s="707"/>
      <c r="I419" s="14">
        <f t="shared" si="107"/>
        <v>1</v>
      </c>
      <c r="J419" s="707"/>
      <c r="K419" s="14">
        <f t="shared" si="108"/>
        <v>1</v>
      </c>
      <c r="L419" s="707"/>
      <c r="M419" s="14">
        <f t="shared" si="109"/>
        <v>1</v>
      </c>
      <c r="N419" s="707"/>
      <c r="O419" s="14">
        <f t="shared" si="110"/>
        <v>1</v>
      </c>
      <c r="P419" s="707"/>
      <c r="Q419" s="14">
        <f t="shared" si="111"/>
        <v>-0.02</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0.04</v>
      </c>
      <c r="F420" s="707"/>
      <c r="G420" s="14">
        <f t="shared" si="106"/>
        <v>0.03</v>
      </c>
      <c r="H420" s="707"/>
      <c r="I420" s="14">
        <f t="shared" si="107"/>
        <v>1</v>
      </c>
      <c r="J420" s="707"/>
      <c r="K420" s="14">
        <f t="shared" si="108"/>
        <v>1</v>
      </c>
      <c r="L420" s="707"/>
      <c r="M420" s="14">
        <f t="shared" si="109"/>
        <v>1</v>
      </c>
      <c r="N420" s="707"/>
      <c r="O420" s="14">
        <f t="shared" si="110"/>
        <v>1</v>
      </c>
      <c r="P420" s="707"/>
      <c r="Q420" s="14">
        <f t="shared" si="111"/>
        <v>-0.02</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0.04</v>
      </c>
      <c r="F421" s="707"/>
      <c r="G421" s="14">
        <f t="shared" si="106"/>
        <v>0.03</v>
      </c>
      <c r="H421" s="707"/>
      <c r="I421" s="14">
        <f t="shared" si="107"/>
        <v>1</v>
      </c>
      <c r="J421" s="707"/>
      <c r="K421" s="14">
        <f t="shared" si="108"/>
        <v>1</v>
      </c>
      <c r="L421" s="707"/>
      <c r="M421" s="14">
        <f t="shared" si="109"/>
        <v>1</v>
      </c>
      <c r="N421" s="707"/>
      <c r="O421" s="14">
        <f t="shared" si="110"/>
        <v>1</v>
      </c>
      <c r="P421" s="707"/>
      <c r="Q421" s="14">
        <f t="shared" si="111"/>
        <v>-0.02</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0.04</v>
      </c>
      <c r="F422" s="707"/>
      <c r="G422" s="14">
        <f t="shared" si="106"/>
        <v>0.03</v>
      </c>
      <c r="H422" s="707"/>
      <c r="I422" s="14">
        <f t="shared" si="107"/>
        <v>1</v>
      </c>
      <c r="J422" s="707"/>
      <c r="K422" s="14">
        <f t="shared" si="108"/>
        <v>1</v>
      </c>
      <c r="L422" s="707"/>
      <c r="M422" s="14">
        <f t="shared" si="109"/>
        <v>1</v>
      </c>
      <c r="N422" s="707"/>
      <c r="O422" s="14">
        <f t="shared" si="110"/>
        <v>1</v>
      </c>
      <c r="P422" s="707"/>
      <c r="Q422" s="14">
        <f t="shared" si="111"/>
        <v>-0.02</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0.04</v>
      </c>
      <c r="F423" s="707"/>
      <c r="G423" s="14">
        <f t="shared" si="106"/>
        <v>0.03</v>
      </c>
      <c r="H423" s="707"/>
      <c r="I423" s="14">
        <f t="shared" si="107"/>
        <v>1</v>
      </c>
      <c r="J423" s="707"/>
      <c r="K423" s="14">
        <f t="shared" si="108"/>
        <v>1</v>
      </c>
      <c r="L423" s="707"/>
      <c r="M423" s="14">
        <f t="shared" si="109"/>
        <v>1</v>
      </c>
      <c r="N423" s="707"/>
      <c r="O423" s="14">
        <f t="shared" si="110"/>
        <v>1</v>
      </c>
      <c r="P423" s="707"/>
      <c r="Q423" s="14">
        <f t="shared" si="111"/>
        <v>-0.02</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0.04</v>
      </c>
      <c r="F424" s="707"/>
      <c r="G424" s="14">
        <f t="shared" si="106"/>
        <v>0.03</v>
      </c>
      <c r="H424" s="707"/>
      <c r="I424" s="14">
        <f t="shared" si="107"/>
        <v>1</v>
      </c>
      <c r="J424" s="707"/>
      <c r="K424" s="14">
        <f t="shared" si="108"/>
        <v>1</v>
      </c>
      <c r="L424" s="707"/>
      <c r="M424" s="14">
        <f t="shared" si="109"/>
        <v>1</v>
      </c>
      <c r="N424" s="707"/>
      <c r="O424" s="14">
        <f t="shared" si="110"/>
        <v>1</v>
      </c>
      <c r="P424" s="707"/>
      <c r="Q424" s="14">
        <f t="shared" si="111"/>
        <v>-0.02</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0.04</v>
      </c>
      <c r="F425" s="707"/>
      <c r="G425" s="14">
        <f t="shared" si="106"/>
        <v>0.03</v>
      </c>
      <c r="H425" s="707"/>
      <c r="I425" s="14">
        <f t="shared" si="107"/>
        <v>1</v>
      </c>
      <c r="J425" s="707"/>
      <c r="K425" s="14">
        <f t="shared" si="108"/>
        <v>1</v>
      </c>
      <c r="L425" s="707"/>
      <c r="M425" s="14">
        <f t="shared" si="109"/>
        <v>1</v>
      </c>
      <c r="N425" s="707"/>
      <c r="O425" s="14">
        <f t="shared" si="110"/>
        <v>1</v>
      </c>
      <c r="P425" s="707"/>
      <c r="Q425" s="14">
        <f t="shared" si="111"/>
        <v>-0.02</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0.04</v>
      </c>
      <c r="F426" s="707"/>
      <c r="G426" s="14">
        <f t="shared" si="106"/>
        <v>0.03</v>
      </c>
      <c r="H426" s="707"/>
      <c r="I426" s="14">
        <f t="shared" si="107"/>
        <v>1</v>
      </c>
      <c r="J426" s="707"/>
      <c r="K426" s="14">
        <f t="shared" si="108"/>
        <v>1</v>
      </c>
      <c r="L426" s="707"/>
      <c r="M426" s="14">
        <f t="shared" si="109"/>
        <v>1</v>
      </c>
      <c r="N426" s="707"/>
      <c r="O426" s="14">
        <f t="shared" si="110"/>
        <v>1</v>
      </c>
      <c r="P426" s="707"/>
      <c r="Q426" s="14">
        <f t="shared" si="111"/>
        <v>-0.02</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0.04</v>
      </c>
      <c r="F427" s="707"/>
      <c r="G427" s="14">
        <f t="shared" si="106"/>
        <v>0.03</v>
      </c>
      <c r="H427" s="707"/>
      <c r="I427" s="14">
        <f t="shared" si="107"/>
        <v>1</v>
      </c>
      <c r="J427" s="707"/>
      <c r="K427" s="14">
        <f t="shared" si="108"/>
        <v>1</v>
      </c>
      <c r="L427" s="707"/>
      <c r="M427" s="14">
        <f t="shared" si="109"/>
        <v>1</v>
      </c>
      <c r="N427" s="707"/>
      <c r="O427" s="14">
        <f t="shared" si="110"/>
        <v>1</v>
      </c>
      <c r="P427" s="707"/>
      <c r="Q427" s="14">
        <f t="shared" si="111"/>
        <v>-0.02</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0.04</v>
      </c>
      <c r="F428" s="707"/>
      <c r="G428" s="14">
        <f t="shared" si="106"/>
        <v>0.03</v>
      </c>
      <c r="H428" s="707"/>
      <c r="I428" s="14">
        <f t="shared" si="107"/>
        <v>1</v>
      </c>
      <c r="J428" s="707"/>
      <c r="K428" s="14">
        <f t="shared" si="108"/>
        <v>1</v>
      </c>
      <c r="L428" s="707"/>
      <c r="M428" s="14">
        <f t="shared" si="109"/>
        <v>1</v>
      </c>
      <c r="N428" s="707"/>
      <c r="O428" s="14">
        <f t="shared" si="110"/>
        <v>1</v>
      </c>
      <c r="P428" s="707"/>
      <c r="Q428" s="14">
        <f t="shared" si="111"/>
        <v>-0.02</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0.04</v>
      </c>
      <c r="F429" s="707"/>
      <c r="G429" s="14">
        <f t="shared" si="106"/>
        <v>0.03</v>
      </c>
      <c r="H429" s="707"/>
      <c r="I429" s="14">
        <f t="shared" si="107"/>
        <v>1</v>
      </c>
      <c r="J429" s="707"/>
      <c r="K429" s="14">
        <f t="shared" si="108"/>
        <v>1</v>
      </c>
      <c r="L429" s="707"/>
      <c r="M429" s="14">
        <f t="shared" si="109"/>
        <v>1</v>
      </c>
      <c r="N429" s="707"/>
      <c r="O429" s="14">
        <f t="shared" si="110"/>
        <v>1</v>
      </c>
      <c r="P429" s="707"/>
      <c r="Q429" s="14">
        <f t="shared" si="111"/>
        <v>-0.02</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0.04</v>
      </c>
      <c r="F430" s="707"/>
      <c r="G430" s="14">
        <f t="shared" si="106"/>
        <v>0.03</v>
      </c>
      <c r="H430" s="707"/>
      <c r="I430" s="14">
        <f t="shared" si="107"/>
        <v>1</v>
      </c>
      <c r="J430" s="707"/>
      <c r="K430" s="14">
        <f t="shared" si="108"/>
        <v>1</v>
      </c>
      <c r="L430" s="707"/>
      <c r="M430" s="14">
        <f t="shared" si="109"/>
        <v>1</v>
      </c>
      <c r="N430" s="707"/>
      <c r="O430" s="14">
        <f t="shared" si="110"/>
        <v>1</v>
      </c>
      <c r="P430" s="707"/>
      <c r="Q430" s="14">
        <f t="shared" si="111"/>
        <v>-0.02</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0.04</v>
      </c>
      <c r="F431" s="707"/>
      <c r="G431" s="14">
        <f t="shared" si="106"/>
        <v>0.03</v>
      </c>
      <c r="H431" s="707"/>
      <c r="I431" s="14">
        <f t="shared" si="107"/>
        <v>1</v>
      </c>
      <c r="J431" s="707"/>
      <c r="K431" s="14">
        <f t="shared" si="108"/>
        <v>1</v>
      </c>
      <c r="L431" s="707"/>
      <c r="M431" s="14">
        <f t="shared" si="109"/>
        <v>1</v>
      </c>
      <c r="N431" s="707"/>
      <c r="O431" s="14">
        <f t="shared" si="110"/>
        <v>1</v>
      </c>
      <c r="P431" s="707"/>
      <c r="Q431" s="14">
        <f t="shared" si="111"/>
        <v>-0.02</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0.04</v>
      </c>
      <c r="F432" s="707"/>
      <c r="G432" s="14">
        <f t="shared" si="106"/>
        <v>0.03</v>
      </c>
      <c r="H432" s="707"/>
      <c r="I432" s="14">
        <f t="shared" si="107"/>
        <v>1</v>
      </c>
      <c r="J432" s="707"/>
      <c r="K432" s="14">
        <f t="shared" si="108"/>
        <v>1</v>
      </c>
      <c r="L432" s="707"/>
      <c r="M432" s="14">
        <f t="shared" si="109"/>
        <v>1</v>
      </c>
      <c r="N432" s="707"/>
      <c r="O432" s="14">
        <f t="shared" si="110"/>
        <v>1</v>
      </c>
      <c r="P432" s="707"/>
      <c r="Q432" s="14">
        <f t="shared" si="111"/>
        <v>-0.02</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0.04</v>
      </c>
      <c r="F433" s="707"/>
      <c r="G433" s="14">
        <f t="shared" si="106"/>
        <v>0.03</v>
      </c>
      <c r="H433" s="707"/>
      <c r="I433" s="14">
        <f t="shared" si="107"/>
        <v>1</v>
      </c>
      <c r="J433" s="707"/>
      <c r="K433" s="14">
        <f t="shared" si="108"/>
        <v>1</v>
      </c>
      <c r="L433" s="707"/>
      <c r="M433" s="14">
        <f t="shared" si="109"/>
        <v>1</v>
      </c>
      <c r="N433" s="707"/>
      <c r="O433" s="14">
        <f t="shared" si="110"/>
        <v>1</v>
      </c>
      <c r="P433" s="707"/>
      <c r="Q433" s="14">
        <f t="shared" si="111"/>
        <v>-0.02</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0.04</v>
      </c>
      <c r="F434" s="707"/>
      <c r="G434" s="14">
        <f t="shared" si="106"/>
        <v>0.03</v>
      </c>
      <c r="H434" s="707"/>
      <c r="I434" s="14">
        <f t="shared" si="107"/>
        <v>1</v>
      </c>
      <c r="J434" s="707"/>
      <c r="K434" s="14">
        <f t="shared" si="108"/>
        <v>1</v>
      </c>
      <c r="L434" s="707"/>
      <c r="M434" s="14">
        <f t="shared" si="109"/>
        <v>1</v>
      </c>
      <c r="N434" s="707"/>
      <c r="O434" s="14">
        <f t="shared" si="110"/>
        <v>1</v>
      </c>
      <c r="P434" s="707"/>
      <c r="Q434" s="14">
        <f t="shared" si="111"/>
        <v>-0.02</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0.04</v>
      </c>
      <c r="F435" s="707"/>
      <c r="G435" s="14">
        <f t="shared" si="106"/>
        <v>0.03</v>
      </c>
      <c r="H435" s="707"/>
      <c r="I435" s="14">
        <f t="shared" si="107"/>
        <v>1</v>
      </c>
      <c r="J435" s="707"/>
      <c r="K435" s="14">
        <f t="shared" si="108"/>
        <v>1</v>
      </c>
      <c r="L435" s="707"/>
      <c r="M435" s="14">
        <f t="shared" si="109"/>
        <v>1</v>
      </c>
      <c r="N435" s="707"/>
      <c r="O435" s="14">
        <f t="shared" si="110"/>
        <v>1</v>
      </c>
      <c r="P435" s="707"/>
      <c r="Q435" s="14">
        <f t="shared" si="111"/>
        <v>-0.02</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0.04</v>
      </c>
      <c r="F436" s="707"/>
      <c r="G436" s="14">
        <f t="shared" si="106"/>
        <v>0.03</v>
      </c>
      <c r="H436" s="707"/>
      <c r="I436" s="14">
        <f t="shared" si="107"/>
        <v>1</v>
      </c>
      <c r="J436" s="707"/>
      <c r="K436" s="14">
        <f t="shared" si="108"/>
        <v>1</v>
      </c>
      <c r="L436" s="707"/>
      <c r="M436" s="14">
        <f t="shared" si="109"/>
        <v>1</v>
      </c>
      <c r="N436" s="707"/>
      <c r="O436" s="14">
        <f t="shared" si="110"/>
        <v>1</v>
      </c>
      <c r="P436" s="707"/>
      <c r="Q436" s="14">
        <f t="shared" si="111"/>
        <v>-0.02</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0.04</v>
      </c>
      <c r="F437" s="707"/>
      <c r="G437" s="14">
        <f t="shared" si="106"/>
        <v>0.03</v>
      </c>
      <c r="H437" s="707"/>
      <c r="I437" s="14">
        <f t="shared" si="107"/>
        <v>1</v>
      </c>
      <c r="J437" s="707"/>
      <c r="K437" s="14">
        <f t="shared" si="108"/>
        <v>1</v>
      </c>
      <c r="L437" s="707"/>
      <c r="M437" s="14">
        <f t="shared" si="109"/>
        <v>1</v>
      </c>
      <c r="N437" s="707"/>
      <c r="O437" s="14">
        <f t="shared" si="110"/>
        <v>1</v>
      </c>
      <c r="P437" s="707"/>
      <c r="Q437" s="14">
        <f t="shared" si="111"/>
        <v>-0.02</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0.04</v>
      </c>
      <c r="F438" s="707"/>
      <c r="G438" s="14">
        <f t="shared" si="106"/>
        <v>0.03</v>
      </c>
      <c r="H438" s="707"/>
      <c r="I438" s="14">
        <f t="shared" si="107"/>
        <v>1</v>
      </c>
      <c r="J438" s="707"/>
      <c r="K438" s="14">
        <f t="shared" si="108"/>
        <v>1</v>
      </c>
      <c r="L438" s="707"/>
      <c r="M438" s="14">
        <f t="shared" si="109"/>
        <v>1</v>
      </c>
      <c r="N438" s="707"/>
      <c r="O438" s="14">
        <f t="shared" si="110"/>
        <v>1</v>
      </c>
      <c r="P438" s="707"/>
      <c r="Q438" s="14">
        <f t="shared" si="111"/>
        <v>-0.02</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0.04</v>
      </c>
      <c r="F439" s="707"/>
      <c r="G439" s="14">
        <f t="shared" si="106"/>
        <v>0.03</v>
      </c>
      <c r="H439" s="707"/>
      <c r="I439" s="14">
        <f t="shared" si="107"/>
        <v>1</v>
      </c>
      <c r="J439" s="707"/>
      <c r="K439" s="14">
        <f t="shared" si="108"/>
        <v>1</v>
      </c>
      <c r="L439" s="707"/>
      <c r="M439" s="14">
        <f t="shared" si="109"/>
        <v>1</v>
      </c>
      <c r="N439" s="707"/>
      <c r="O439" s="14">
        <f t="shared" si="110"/>
        <v>1</v>
      </c>
      <c r="P439" s="707"/>
      <c r="Q439" s="14">
        <f t="shared" si="111"/>
        <v>-0.02</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0.04</v>
      </c>
      <c r="F440" s="707"/>
      <c r="G440" s="14">
        <f t="shared" si="106"/>
        <v>0.03</v>
      </c>
      <c r="H440" s="707"/>
      <c r="I440" s="14">
        <f t="shared" si="107"/>
        <v>1</v>
      </c>
      <c r="J440" s="707"/>
      <c r="K440" s="14">
        <f t="shared" si="108"/>
        <v>1</v>
      </c>
      <c r="L440" s="707"/>
      <c r="M440" s="14">
        <f t="shared" si="109"/>
        <v>1</v>
      </c>
      <c r="N440" s="707"/>
      <c r="O440" s="14">
        <f t="shared" si="110"/>
        <v>1</v>
      </c>
      <c r="P440" s="707"/>
      <c r="Q440" s="14">
        <f t="shared" si="111"/>
        <v>-0.02</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0.04</v>
      </c>
      <c r="F441" s="707"/>
      <c r="G441" s="14">
        <f t="shared" si="106"/>
        <v>0.03</v>
      </c>
      <c r="H441" s="707"/>
      <c r="I441" s="14">
        <f t="shared" si="107"/>
        <v>1</v>
      </c>
      <c r="J441" s="707"/>
      <c r="K441" s="14">
        <f t="shared" si="108"/>
        <v>1</v>
      </c>
      <c r="L441" s="707"/>
      <c r="M441" s="14">
        <f t="shared" si="109"/>
        <v>1</v>
      </c>
      <c r="N441" s="707"/>
      <c r="O441" s="14">
        <f t="shared" si="110"/>
        <v>1</v>
      </c>
      <c r="P441" s="707"/>
      <c r="Q441" s="14">
        <f t="shared" si="111"/>
        <v>-0.02</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0.04</v>
      </c>
      <c r="F442" s="707"/>
      <c r="G442" s="14">
        <f t="shared" si="106"/>
        <v>0.03</v>
      </c>
      <c r="H442" s="707"/>
      <c r="I442" s="14">
        <f t="shared" si="107"/>
        <v>1</v>
      </c>
      <c r="J442" s="707"/>
      <c r="K442" s="14">
        <f t="shared" si="108"/>
        <v>1</v>
      </c>
      <c r="L442" s="707"/>
      <c r="M442" s="14">
        <f t="shared" si="109"/>
        <v>1</v>
      </c>
      <c r="N442" s="707"/>
      <c r="O442" s="14">
        <f t="shared" si="110"/>
        <v>1</v>
      </c>
      <c r="P442" s="707"/>
      <c r="Q442" s="14">
        <f t="shared" si="111"/>
        <v>-0.02</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0.04</v>
      </c>
      <c r="F443" s="707"/>
      <c r="G443" s="14">
        <f t="shared" si="106"/>
        <v>0.03</v>
      </c>
      <c r="H443" s="707"/>
      <c r="I443" s="14">
        <f t="shared" si="107"/>
        <v>1</v>
      </c>
      <c r="J443" s="707"/>
      <c r="K443" s="14">
        <f t="shared" si="108"/>
        <v>1</v>
      </c>
      <c r="L443" s="707"/>
      <c r="M443" s="14">
        <f t="shared" si="109"/>
        <v>1</v>
      </c>
      <c r="N443" s="707"/>
      <c r="O443" s="14">
        <f t="shared" si="110"/>
        <v>1</v>
      </c>
      <c r="P443" s="707"/>
      <c r="Q443" s="14">
        <f t="shared" si="111"/>
        <v>-0.02</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0.04</v>
      </c>
      <c r="F444" s="707"/>
      <c r="G444" s="14">
        <f t="shared" si="106"/>
        <v>0.03</v>
      </c>
      <c r="H444" s="707"/>
      <c r="I444" s="14">
        <f t="shared" si="107"/>
        <v>1</v>
      </c>
      <c r="J444" s="707"/>
      <c r="K444" s="14">
        <f t="shared" si="108"/>
        <v>1</v>
      </c>
      <c r="L444" s="707"/>
      <c r="M444" s="14">
        <f t="shared" si="109"/>
        <v>1</v>
      </c>
      <c r="N444" s="707"/>
      <c r="O444" s="14">
        <f t="shared" si="110"/>
        <v>1</v>
      </c>
      <c r="P444" s="707"/>
      <c r="Q444" s="14">
        <f t="shared" si="111"/>
        <v>-0.02</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0.04</v>
      </c>
      <c r="F445" s="707"/>
      <c r="G445" s="14">
        <f t="shared" si="106"/>
        <v>0.03</v>
      </c>
      <c r="H445" s="707"/>
      <c r="I445" s="14">
        <f t="shared" si="107"/>
        <v>1</v>
      </c>
      <c r="J445" s="707"/>
      <c r="K445" s="14">
        <f t="shared" si="108"/>
        <v>1</v>
      </c>
      <c r="L445" s="707"/>
      <c r="M445" s="14">
        <f t="shared" si="109"/>
        <v>1</v>
      </c>
      <c r="N445" s="707"/>
      <c r="O445" s="14">
        <f t="shared" si="110"/>
        <v>1</v>
      </c>
      <c r="P445" s="707"/>
      <c r="Q445" s="14">
        <f t="shared" si="111"/>
        <v>-0.02</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0.04</v>
      </c>
      <c r="F446" s="707"/>
      <c r="G446" s="14">
        <f t="shared" si="106"/>
        <v>0.03</v>
      </c>
      <c r="H446" s="707"/>
      <c r="I446" s="14">
        <f t="shared" si="107"/>
        <v>1</v>
      </c>
      <c r="J446" s="707"/>
      <c r="K446" s="14">
        <f t="shared" si="108"/>
        <v>1</v>
      </c>
      <c r="L446" s="707"/>
      <c r="M446" s="14">
        <f t="shared" si="109"/>
        <v>1</v>
      </c>
      <c r="N446" s="707"/>
      <c r="O446" s="14">
        <f t="shared" si="110"/>
        <v>1</v>
      </c>
      <c r="P446" s="707"/>
      <c r="Q446" s="14">
        <f t="shared" si="111"/>
        <v>-0.02</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0.04</v>
      </c>
      <c r="F447" s="707"/>
      <c r="G447" s="14">
        <f t="shared" si="106"/>
        <v>0.03</v>
      </c>
      <c r="H447" s="707"/>
      <c r="I447" s="14">
        <f t="shared" si="107"/>
        <v>1</v>
      </c>
      <c r="J447" s="707"/>
      <c r="K447" s="14">
        <f t="shared" si="108"/>
        <v>1</v>
      </c>
      <c r="L447" s="707"/>
      <c r="M447" s="14">
        <f t="shared" si="109"/>
        <v>1</v>
      </c>
      <c r="N447" s="707"/>
      <c r="O447" s="14">
        <f t="shared" si="110"/>
        <v>1</v>
      </c>
      <c r="P447" s="707"/>
      <c r="Q447" s="14">
        <f t="shared" si="111"/>
        <v>-0.02</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0.04</v>
      </c>
      <c r="F448" s="707"/>
      <c r="G448" s="14">
        <f t="shared" si="106"/>
        <v>0.03</v>
      </c>
      <c r="H448" s="707"/>
      <c r="I448" s="14">
        <f t="shared" si="107"/>
        <v>1</v>
      </c>
      <c r="J448" s="707"/>
      <c r="K448" s="14">
        <f t="shared" si="108"/>
        <v>1</v>
      </c>
      <c r="L448" s="707"/>
      <c r="M448" s="14">
        <f t="shared" si="109"/>
        <v>1</v>
      </c>
      <c r="N448" s="707"/>
      <c r="O448" s="14">
        <f t="shared" si="110"/>
        <v>1</v>
      </c>
      <c r="P448" s="707"/>
      <c r="Q448" s="14">
        <f t="shared" si="111"/>
        <v>-0.02</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0.04</v>
      </c>
      <c r="F449" s="707"/>
      <c r="G449" s="14">
        <f t="shared" si="106"/>
        <v>0.03</v>
      </c>
      <c r="H449" s="707"/>
      <c r="I449" s="14">
        <f t="shared" si="107"/>
        <v>1</v>
      </c>
      <c r="J449" s="707"/>
      <c r="K449" s="14">
        <f t="shared" si="108"/>
        <v>1</v>
      </c>
      <c r="L449" s="707"/>
      <c r="M449" s="14">
        <f t="shared" si="109"/>
        <v>1</v>
      </c>
      <c r="N449" s="707"/>
      <c r="O449" s="14">
        <f t="shared" si="110"/>
        <v>1</v>
      </c>
      <c r="P449" s="707"/>
      <c r="Q449" s="14">
        <f t="shared" si="111"/>
        <v>-0.02</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0.04</v>
      </c>
      <c r="F450" s="707"/>
      <c r="G450" s="14">
        <f t="shared" si="106"/>
        <v>0.03</v>
      </c>
      <c r="H450" s="707"/>
      <c r="I450" s="14">
        <f t="shared" si="107"/>
        <v>1</v>
      </c>
      <c r="J450" s="707"/>
      <c r="K450" s="14">
        <f t="shared" si="108"/>
        <v>1</v>
      </c>
      <c r="L450" s="707"/>
      <c r="M450" s="14">
        <f t="shared" si="109"/>
        <v>1</v>
      </c>
      <c r="N450" s="707"/>
      <c r="O450" s="14">
        <f t="shared" si="110"/>
        <v>1</v>
      </c>
      <c r="P450" s="707"/>
      <c r="Q450" s="14">
        <f t="shared" si="111"/>
        <v>-0.02</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0.04</v>
      </c>
      <c r="F451" s="707"/>
      <c r="G451" s="14">
        <f t="shared" si="106"/>
        <v>0.03</v>
      </c>
      <c r="H451" s="707"/>
      <c r="I451" s="14">
        <f t="shared" si="107"/>
        <v>1</v>
      </c>
      <c r="J451" s="707"/>
      <c r="K451" s="14">
        <f t="shared" si="108"/>
        <v>1</v>
      </c>
      <c r="L451" s="707"/>
      <c r="M451" s="14">
        <f t="shared" si="109"/>
        <v>1</v>
      </c>
      <c r="N451" s="707"/>
      <c r="O451" s="14">
        <f t="shared" si="110"/>
        <v>1</v>
      </c>
      <c r="P451" s="707"/>
      <c r="Q451" s="14">
        <f t="shared" si="111"/>
        <v>-0.02</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0.04</v>
      </c>
      <c r="F452" s="707"/>
      <c r="G452" s="14">
        <f t="shared" si="106"/>
        <v>0.03</v>
      </c>
      <c r="H452" s="707"/>
      <c r="I452" s="14">
        <f t="shared" si="107"/>
        <v>1</v>
      </c>
      <c r="J452" s="707"/>
      <c r="K452" s="14">
        <f t="shared" si="108"/>
        <v>1</v>
      </c>
      <c r="L452" s="707"/>
      <c r="M452" s="14">
        <f t="shared" si="109"/>
        <v>1</v>
      </c>
      <c r="N452" s="707"/>
      <c r="O452" s="14">
        <f t="shared" si="110"/>
        <v>1</v>
      </c>
      <c r="P452" s="707"/>
      <c r="Q452" s="14">
        <f t="shared" si="111"/>
        <v>-0.02</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0.04</v>
      </c>
      <c r="F453" s="707"/>
      <c r="G453" s="14">
        <f t="shared" si="106"/>
        <v>0.03</v>
      </c>
      <c r="H453" s="707"/>
      <c r="I453" s="14">
        <f t="shared" si="107"/>
        <v>1</v>
      </c>
      <c r="J453" s="707"/>
      <c r="K453" s="14">
        <f t="shared" si="108"/>
        <v>1</v>
      </c>
      <c r="L453" s="707"/>
      <c r="M453" s="14">
        <f t="shared" si="109"/>
        <v>1</v>
      </c>
      <c r="N453" s="707"/>
      <c r="O453" s="14">
        <f t="shared" si="110"/>
        <v>1</v>
      </c>
      <c r="P453" s="707"/>
      <c r="Q453" s="14">
        <f t="shared" si="111"/>
        <v>-0.02</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0.04</v>
      </c>
      <c r="F454" s="707"/>
      <c r="G454" s="14">
        <f t="shared" si="106"/>
        <v>0.03</v>
      </c>
      <c r="H454" s="707"/>
      <c r="I454" s="14">
        <f t="shared" si="107"/>
        <v>1</v>
      </c>
      <c r="J454" s="707"/>
      <c r="K454" s="14">
        <f t="shared" si="108"/>
        <v>1</v>
      </c>
      <c r="L454" s="707"/>
      <c r="M454" s="14">
        <f t="shared" si="109"/>
        <v>1</v>
      </c>
      <c r="N454" s="707"/>
      <c r="O454" s="14">
        <f t="shared" si="110"/>
        <v>1</v>
      </c>
      <c r="P454" s="707"/>
      <c r="Q454" s="14">
        <f t="shared" si="111"/>
        <v>-0.02</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0.04</v>
      </c>
      <c r="F455" s="707"/>
      <c r="G455" s="14">
        <f t="shared" si="106"/>
        <v>0.03</v>
      </c>
      <c r="H455" s="707"/>
      <c r="I455" s="14">
        <f t="shared" si="107"/>
        <v>1</v>
      </c>
      <c r="J455" s="707"/>
      <c r="K455" s="14">
        <f t="shared" si="108"/>
        <v>1</v>
      </c>
      <c r="L455" s="707"/>
      <c r="M455" s="14">
        <f t="shared" si="109"/>
        <v>1</v>
      </c>
      <c r="N455" s="707"/>
      <c r="O455" s="14">
        <f t="shared" si="110"/>
        <v>1</v>
      </c>
      <c r="P455" s="707"/>
      <c r="Q455" s="14">
        <f t="shared" si="111"/>
        <v>-0.02</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0.04</v>
      </c>
      <c r="F456" s="707"/>
      <c r="G456" s="14">
        <f t="shared" si="106"/>
        <v>0.03</v>
      </c>
      <c r="H456" s="707"/>
      <c r="I456" s="14">
        <f t="shared" si="107"/>
        <v>1</v>
      </c>
      <c r="J456" s="707"/>
      <c r="K456" s="14">
        <f t="shared" si="108"/>
        <v>1</v>
      </c>
      <c r="L456" s="707"/>
      <c r="M456" s="14">
        <f t="shared" si="109"/>
        <v>1</v>
      </c>
      <c r="N456" s="707"/>
      <c r="O456" s="14">
        <f t="shared" si="110"/>
        <v>1</v>
      </c>
      <c r="P456" s="707"/>
      <c r="Q456" s="14">
        <f t="shared" si="111"/>
        <v>-0.02</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0.04</v>
      </c>
      <c r="F457" s="707"/>
      <c r="G457" s="14">
        <f t="shared" si="106"/>
        <v>0.03</v>
      </c>
      <c r="H457" s="707"/>
      <c r="I457" s="14">
        <f t="shared" si="107"/>
        <v>1</v>
      </c>
      <c r="J457" s="707"/>
      <c r="K457" s="14">
        <f t="shared" si="108"/>
        <v>1</v>
      </c>
      <c r="L457" s="707"/>
      <c r="M457" s="14">
        <f t="shared" si="109"/>
        <v>1</v>
      </c>
      <c r="N457" s="707"/>
      <c r="O457" s="14">
        <f t="shared" si="110"/>
        <v>1</v>
      </c>
      <c r="P457" s="707"/>
      <c r="Q457" s="14">
        <f t="shared" si="111"/>
        <v>-0.02</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0.04</v>
      </c>
      <c r="F458" s="707"/>
      <c r="G458" s="14">
        <f t="shared" si="106"/>
        <v>0.03</v>
      </c>
      <c r="H458" s="707"/>
      <c r="I458" s="14">
        <f t="shared" si="107"/>
        <v>1</v>
      </c>
      <c r="J458" s="707"/>
      <c r="K458" s="14">
        <f t="shared" si="108"/>
        <v>1</v>
      </c>
      <c r="L458" s="707"/>
      <c r="M458" s="14">
        <f t="shared" si="109"/>
        <v>1</v>
      </c>
      <c r="N458" s="707"/>
      <c r="O458" s="14">
        <f t="shared" si="110"/>
        <v>1</v>
      </c>
      <c r="P458" s="707"/>
      <c r="Q458" s="14">
        <f t="shared" si="111"/>
        <v>-0.02</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0.04</v>
      </c>
      <c r="F459" s="707"/>
      <c r="G459" s="14">
        <f t="shared" si="106"/>
        <v>0.03</v>
      </c>
      <c r="H459" s="707"/>
      <c r="I459" s="14">
        <f t="shared" si="107"/>
        <v>1</v>
      </c>
      <c r="J459" s="707"/>
      <c r="K459" s="14">
        <f t="shared" si="108"/>
        <v>1</v>
      </c>
      <c r="L459" s="707"/>
      <c r="M459" s="14">
        <f t="shared" si="109"/>
        <v>1</v>
      </c>
      <c r="N459" s="707"/>
      <c r="O459" s="14">
        <f t="shared" si="110"/>
        <v>1</v>
      </c>
      <c r="P459" s="707"/>
      <c r="Q459" s="14">
        <f t="shared" si="111"/>
        <v>-0.02</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0.04</v>
      </c>
      <c r="F460" s="707"/>
      <c r="G460" s="14">
        <f t="shared" si="106"/>
        <v>0.03</v>
      </c>
      <c r="H460" s="707"/>
      <c r="I460" s="14">
        <f t="shared" si="107"/>
        <v>1</v>
      </c>
      <c r="J460" s="707"/>
      <c r="K460" s="14">
        <f t="shared" si="108"/>
        <v>1</v>
      </c>
      <c r="L460" s="707"/>
      <c r="M460" s="14">
        <f t="shared" si="109"/>
        <v>1</v>
      </c>
      <c r="N460" s="707"/>
      <c r="O460" s="14">
        <f t="shared" si="110"/>
        <v>1</v>
      </c>
      <c r="P460" s="707"/>
      <c r="Q460" s="14">
        <f t="shared" si="111"/>
        <v>-0.02</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0.04</v>
      </c>
      <c r="F461" s="707"/>
      <c r="G461" s="14">
        <f t="shared" si="106"/>
        <v>0.03</v>
      </c>
      <c r="H461" s="707"/>
      <c r="I461" s="14">
        <f t="shared" si="107"/>
        <v>1</v>
      </c>
      <c r="J461" s="707"/>
      <c r="K461" s="14">
        <f t="shared" si="108"/>
        <v>1</v>
      </c>
      <c r="L461" s="707"/>
      <c r="M461" s="14">
        <f t="shared" si="109"/>
        <v>1</v>
      </c>
      <c r="N461" s="707"/>
      <c r="O461" s="14">
        <f t="shared" si="110"/>
        <v>1</v>
      </c>
      <c r="P461" s="707"/>
      <c r="Q461" s="14">
        <f t="shared" si="111"/>
        <v>-0.02</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0.04</v>
      </c>
      <c r="F462" s="707"/>
      <c r="G462" s="14">
        <f t="shared" si="106"/>
        <v>0.03</v>
      </c>
      <c r="H462" s="707"/>
      <c r="I462" s="14">
        <f t="shared" si="107"/>
        <v>1</v>
      </c>
      <c r="J462" s="707"/>
      <c r="K462" s="14">
        <f t="shared" si="108"/>
        <v>1</v>
      </c>
      <c r="L462" s="707"/>
      <c r="M462" s="14">
        <f t="shared" si="109"/>
        <v>1</v>
      </c>
      <c r="N462" s="707"/>
      <c r="O462" s="14">
        <f t="shared" si="110"/>
        <v>1</v>
      </c>
      <c r="P462" s="707"/>
      <c r="Q462" s="14">
        <f t="shared" si="111"/>
        <v>-0.02</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0.04</v>
      </c>
      <c r="F463" s="707"/>
      <c r="G463" s="14">
        <f t="shared" si="106"/>
        <v>0.03</v>
      </c>
      <c r="H463" s="707"/>
      <c r="I463" s="14">
        <f t="shared" si="107"/>
        <v>1</v>
      </c>
      <c r="J463" s="707"/>
      <c r="K463" s="14">
        <f t="shared" si="108"/>
        <v>1</v>
      </c>
      <c r="L463" s="707"/>
      <c r="M463" s="14">
        <f t="shared" si="109"/>
        <v>1</v>
      </c>
      <c r="N463" s="707"/>
      <c r="O463" s="14">
        <f t="shared" si="110"/>
        <v>1</v>
      </c>
      <c r="P463" s="707"/>
      <c r="Q463" s="14">
        <f t="shared" si="111"/>
        <v>-0.02</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0.04</v>
      </c>
      <c r="F464" s="707"/>
      <c r="G464" s="14">
        <f t="shared" si="106"/>
        <v>0.03</v>
      </c>
      <c r="H464" s="707"/>
      <c r="I464" s="14">
        <f t="shared" si="107"/>
        <v>1</v>
      </c>
      <c r="J464" s="707"/>
      <c r="K464" s="14">
        <f t="shared" si="108"/>
        <v>1</v>
      </c>
      <c r="L464" s="707"/>
      <c r="M464" s="14">
        <f t="shared" si="109"/>
        <v>1</v>
      </c>
      <c r="N464" s="707"/>
      <c r="O464" s="14">
        <f t="shared" si="110"/>
        <v>1</v>
      </c>
      <c r="P464" s="707"/>
      <c r="Q464" s="14">
        <f t="shared" si="111"/>
        <v>-0.02</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0.04</v>
      </c>
      <c r="F465" s="707"/>
      <c r="G465" s="14">
        <f t="shared" si="106"/>
        <v>0.03</v>
      </c>
      <c r="H465" s="707"/>
      <c r="I465" s="14">
        <f t="shared" si="107"/>
        <v>1</v>
      </c>
      <c r="J465" s="707"/>
      <c r="K465" s="14">
        <f t="shared" si="108"/>
        <v>1</v>
      </c>
      <c r="L465" s="707"/>
      <c r="M465" s="14">
        <f t="shared" si="109"/>
        <v>1</v>
      </c>
      <c r="N465" s="707"/>
      <c r="O465" s="14">
        <f t="shared" si="110"/>
        <v>1</v>
      </c>
      <c r="P465" s="707"/>
      <c r="Q465" s="14">
        <f t="shared" si="111"/>
        <v>-0.02</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0.04</v>
      </c>
      <c r="F466" s="707"/>
      <c r="G466" s="14">
        <f t="shared" si="106"/>
        <v>0.03</v>
      </c>
      <c r="H466" s="707"/>
      <c r="I466" s="14">
        <f t="shared" si="107"/>
        <v>1</v>
      </c>
      <c r="J466" s="707"/>
      <c r="K466" s="14">
        <f t="shared" si="108"/>
        <v>1</v>
      </c>
      <c r="L466" s="707"/>
      <c r="M466" s="14">
        <f t="shared" si="109"/>
        <v>1</v>
      </c>
      <c r="N466" s="707"/>
      <c r="O466" s="14">
        <f t="shared" si="110"/>
        <v>1</v>
      </c>
      <c r="P466" s="707"/>
      <c r="Q466" s="14">
        <f t="shared" si="111"/>
        <v>-0.02</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0.04</v>
      </c>
      <c r="F467" s="707"/>
      <c r="G467" s="14">
        <f t="shared" si="106"/>
        <v>0.03</v>
      </c>
      <c r="H467" s="707"/>
      <c r="I467" s="14">
        <f t="shared" si="107"/>
        <v>1</v>
      </c>
      <c r="J467" s="707"/>
      <c r="K467" s="14">
        <f t="shared" si="108"/>
        <v>1</v>
      </c>
      <c r="L467" s="707"/>
      <c r="M467" s="14">
        <f t="shared" si="109"/>
        <v>1</v>
      </c>
      <c r="N467" s="707"/>
      <c r="O467" s="14">
        <f t="shared" si="110"/>
        <v>1</v>
      </c>
      <c r="P467" s="707"/>
      <c r="Q467" s="14">
        <f t="shared" si="111"/>
        <v>-0.02</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0.04</v>
      </c>
      <c r="F468" s="707"/>
      <c r="G468" s="14">
        <f t="shared" si="106"/>
        <v>0.03</v>
      </c>
      <c r="H468" s="707"/>
      <c r="I468" s="14">
        <f t="shared" si="107"/>
        <v>1</v>
      </c>
      <c r="J468" s="707"/>
      <c r="K468" s="14">
        <f t="shared" si="108"/>
        <v>1</v>
      </c>
      <c r="L468" s="707"/>
      <c r="M468" s="14">
        <f t="shared" si="109"/>
        <v>1</v>
      </c>
      <c r="N468" s="707"/>
      <c r="O468" s="14">
        <f t="shared" si="110"/>
        <v>1</v>
      </c>
      <c r="P468" s="707"/>
      <c r="Q468" s="14">
        <f t="shared" si="111"/>
        <v>-0.02</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0.04</v>
      </c>
      <c r="F469" s="707"/>
      <c r="G469" s="14">
        <f t="shared" si="106"/>
        <v>0.03</v>
      </c>
      <c r="H469" s="707"/>
      <c r="I469" s="14">
        <f t="shared" si="107"/>
        <v>1</v>
      </c>
      <c r="J469" s="707"/>
      <c r="K469" s="14">
        <f t="shared" si="108"/>
        <v>1</v>
      </c>
      <c r="L469" s="707"/>
      <c r="M469" s="14">
        <f t="shared" si="109"/>
        <v>1</v>
      </c>
      <c r="N469" s="707"/>
      <c r="O469" s="14">
        <f t="shared" si="110"/>
        <v>1</v>
      </c>
      <c r="P469" s="707"/>
      <c r="Q469" s="14">
        <f t="shared" si="111"/>
        <v>-0.02</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0.04</v>
      </c>
      <c r="F470" s="707"/>
      <c r="G470" s="14">
        <f t="shared" si="106"/>
        <v>0.03</v>
      </c>
      <c r="H470" s="707"/>
      <c r="I470" s="14">
        <f t="shared" si="107"/>
        <v>1</v>
      </c>
      <c r="J470" s="707"/>
      <c r="K470" s="14">
        <f t="shared" si="108"/>
        <v>1</v>
      </c>
      <c r="L470" s="707"/>
      <c r="M470" s="14">
        <f t="shared" si="109"/>
        <v>1</v>
      </c>
      <c r="N470" s="707"/>
      <c r="O470" s="14">
        <f t="shared" si="110"/>
        <v>1</v>
      </c>
      <c r="P470" s="707"/>
      <c r="Q470" s="14">
        <f t="shared" si="111"/>
        <v>-0.02</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0.04</v>
      </c>
      <c r="F471" s="707"/>
      <c r="G471" s="14">
        <f t="shared" si="106"/>
        <v>0.03</v>
      </c>
      <c r="H471" s="707"/>
      <c r="I471" s="14">
        <f t="shared" si="107"/>
        <v>1</v>
      </c>
      <c r="J471" s="707"/>
      <c r="K471" s="14">
        <f t="shared" si="108"/>
        <v>1</v>
      </c>
      <c r="L471" s="707"/>
      <c r="M471" s="14">
        <f t="shared" si="109"/>
        <v>1</v>
      </c>
      <c r="N471" s="707"/>
      <c r="O471" s="14">
        <f t="shared" si="110"/>
        <v>1</v>
      </c>
      <c r="P471" s="707"/>
      <c r="Q471" s="14">
        <f t="shared" si="111"/>
        <v>-0.02</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0.04</v>
      </c>
      <c r="F472" s="707"/>
      <c r="G472" s="14">
        <f t="shared" si="106"/>
        <v>0.03</v>
      </c>
      <c r="H472" s="707"/>
      <c r="I472" s="14">
        <f t="shared" si="107"/>
        <v>1</v>
      </c>
      <c r="J472" s="707"/>
      <c r="K472" s="14">
        <f t="shared" si="108"/>
        <v>1</v>
      </c>
      <c r="L472" s="707"/>
      <c r="M472" s="14">
        <f t="shared" si="109"/>
        <v>1</v>
      </c>
      <c r="N472" s="707"/>
      <c r="O472" s="14">
        <f t="shared" si="110"/>
        <v>1</v>
      </c>
      <c r="P472" s="707"/>
      <c r="Q472" s="14">
        <f t="shared" si="111"/>
        <v>-0.02</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0.04</v>
      </c>
      <c r="F473" s="707"/>
      <c r="G473" s="14">
        <f t="shared" si="106"/>
        <v>0.03</v>
      </c>
      <c r="H473" s="707"/>
      <c r="I473" s="14">
        <f t="shared" si="107"/>
        <v>1</v>
      </c>
      <c r="J473" s="707"/>
      <c r="K473" s="14">
        <f t="shared" si="108"/>
        <v>1</v>
      </c>
      <c r="L473" s="707"/>
      <c r="M473" s="14">
        <f t="shared" si="109"/>
        <v>1</v>
      </c>
      <c r="N473" s="707"/>
      <c r="O473" s="14">
        <f t="shared" si="110"/>
        <v>1</v>
      </c>
      <c r="P473" s="707"/>
      <c r="Q473" s="14">
        <f t="shared" si="111"/>
        <v>-0.02</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0.04</v>
      </c>
      <c r="F474" s="707"/>
      <c r="G474" s="14">
        <f t="shared" si="106"/>
        <v>0.03</v>
      </c>
      <c r="H474" s="707"/>
      <c r="I474" s="14">
        <f t="shared" si="107"/>
        <v>1</v>
      </c>
      <c r="J474" s="707"/>
      <c r="K474" s="14">
        <f t="shared" si="108"/>
        <v>1</v>
      </c>
      <c r="L474" s="707"/>
      <c r="M474" s="14">
        <f t="shared" si="109"/>
        <v>1</v>
      </c>
      <c r="N474" s="707"/>
      <c r="O474" s="14">
        <f t="shared" si="110"/>
        <v>1</v>
      </c>
      <c r="P474" s="707"/>
      <c r="Q474" s="14">
        <f t="shared" si="111"/>
        <v>-0.02</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0.04</v>
      </c>
      <c r="F475" s="707"/>
      <c r="G475" s="14">
        <f t="shared" si="106"/>
        <v>0.03</v>
      </c>
      <c r="H475" s="707"/>
      <c r="I475" s="14">
        <f t="shared" si="107"/>
        <v>1</v>
      </c>
      <c r="J475" s="707"/>
      <c r="K475" s="14">
        <f t="shared" si="108"/>
        <v>1</v>
      </c>
      <c r="L475" s="707"/>
      <c r="M475" s="14">
        <f t="shared" si="109"/>
        <v>1</v>
      </c>
      <c r="N475" s="707"/>
      <c r="O475" s="14">
        <f t="shared" si="110"/>
        <v>1</v>
      </c>
      <c r="P475" s="707"/>
      <c r="Q475" s="14">
        <f t="shared" si="111"/>
        <v>-0.02</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0.04</v>
      </c>
      <c r="F476" s="707"/>
      <c r="G476" s="14">
        <f t="shared" ref="G476:G527" si="121">(SUMIF($10:$10,F476,$11:$11)-SUMIF($10:$10,$F$27,$11:$11)+100)/100</f>
        <v>0.03</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-0.02</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0.04</v>
      </c>
      <c r="F477" s="707"/>
      <c r="G477" s="14">
        <f t="shared" si="121"/>
        <v>0.03</v>
      </c>
      <c r="H477" s="707"/>
      <c r="I477" s="14">
        <f t="shared" si="122"/>
        <v>1</v>
      </c>
      <c r="J477" s="707"/>
      <c r="K477" s="14">
        <f t="shared" si="123"/>
        <v>1</v>
      </c>
      <c r="L477" s="707"/>
      <c r="M477" s="14">
        <f t="shared" si="124"/>
        <v>1</v>
      </c>
      <c r="N477" s="707"/>
      <c r="O477" s="14">
        <f t="shared" si="125"/>
        <v>1</v>
      </c>
      <c r="P477" s="707"/>
      <c r="Q477" s="14">
        <f t="shared" si="126"/>
        <v>-0.02</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0.04</v>
      </c>
      <c r="F478" s="707"/>
      <c r="G478" s="14">
        <f t="shared" si="121"/>
        <v>0.03</v>
      </c>
      <c r="H478" s="707"/>
      <c r="I478" s="14">
        <f t="shared" si="122"/>
        <v>1</v>
      </c>
      <c r="J478" s="707"/>
      <c r="K478" s="14">
        <f t="shared" si="123"/>
        <v>1</v>
      </c>
      <c r="L478" s="707"/>
      <c r="M478" s="14">
        <f t="shared" si="124"/>
        <v>1</v>
      </c>
      <c r="N478" s="707"/>
      <c r="O478" s="14">
        <f t="shared" si="125"/>
        <v>1</v>
      </c>
      <c r="P478" s="707"/>
      <c r="Q478" s="14">
        <f t="shared" si="126"/>
        <v>-0.02</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0.04</v>
      </c>
      <c r="F479" s="707"/>
      <c r="G479" s="14">
        <f t="shared" si="121"/>
        <v>0.03</v>
      </c>
      <c r="H479" s="707"/>
      <c r="I479" s="14">
        <f t="shared" si="122"/>
        <v>1</v>
      </c>
      <c r="J479" s="707"/>
      <c r="K479" s="14">
        <f t="shared" si="123"/>
        <v>1</v>
      </c>
      <c r="L479" s="707"/>
      <c r="M479" s="14">
        <f t="shared" si="124"/>
        <v>1</v>
      </c>
      <c r="N479" s="707"/>
      <c r="O479" s="14">
        <f t="shared" si="125"/>
        <v>1</v>
      </c>
      <c r="P479" s="707"/>
      <c r="Q479" s="14">
        <f t="shared" si="126"/>
        <v>-0.02</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0.04</v>
      </c>
      <c r="F480" s="707"/>
      <c r="G480" s="14">
        <f t="shared" si="121"/>
        <v>0.03</v>
      </c>
      <c r="H480" s="707"/>
      <c r="I480" s="14">
        <f t="shared" si="122"/>
        <v>1</v>
      </c>
      <c r="J480" s="707"/>
      <c r="K480" s="14">
        <f t="shared" si="123"/>
        <v>1</v>
      </c>
      <c r="L480" s="707"/>
      <c r="M480" s="14">
        <f t="shared" si="124"/>
        <v>1</v>
      </c>
      <c r="N480" s="707"/>
      <c r="O480" s="14">
        <f t="shared" si="125"/>
        <v>1</v>
      </c>
      <c r="P480" s="707"/>
      <c r="Q480" s="14">
        <f t="shared" si="126"/>
        <v>-0.02</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0.04</v>
      </c>
      <c r="F481" s="707"/>
      <c r="G481" s="14">
        <f t="shared" si="121"/>
        <v>0.03</v>
      </c>
      <c r="H481" s="707"/>
      <c r="I481" s="14">
        <f t="shared" si="122"/>
        <v>1</v>
      </c>
      <c r="J481" s="707"/>
      <c r="K481" s="14">
        <f t="shared" si="123"/>
        <v>1</v>
      </c>
      <c r="L481" s="707"/>
      <c r="M481" s="14">
        <f t="shared" si="124"/>
        <v>1</v>
      </c>
      <c r="N481" s="707"/>
      <c r="O481" s="14">
        <f t="shared" si="125"/>
        <v>1</v>
      </c>
      <c r="P481" s="707"/>
      <c r="Q481" s="14">
        <f t="shared" si="126"/>
        <v>-0.02</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0.04</v>
      </c>
      <c r="F482" s="707"/>
      <c r="G482" s="14">
        <f t="shared" si="121"/>
        <v>0.03</v>
      </c>
      <c r="H482" s="707"/>
      <c r="I482" s="14">
        <f t="shared" si="122"/>
        <v>1</v>
      </c>
      <c r="J482" s="707"/>
      <c r="K482" s="14">
        <f t="shared" si="123"/>
        <v>1</v>
      </c>
      <c r="L482" s="707"/>
      <c r="M482" s="14">
        <f t="shared" si="124"/>
        <v>1</v>
      </c>
      <c r="N482" s="707"/>
      <c r="O482" s="14">
        <f t="shared" si="125"/>
        <v>1</v>
      </c>
      <c r="P482" s="707"/>
      <c r="Q482" s="14">
        <f t="shared" si="126"/>
        <v>-0.02</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0.04</v>
      </c>
      <c r="F483" s="707"/>
      <c r="G483" s="14">
        <f t="shared" si="121"/>
        <v>0.03</v>
      </c>
      <c r="H483" s="707"/>
      <c r="I483" s="14">
        <f t="shared" si="122"/>
        <v>1</v>
      </c>
      <c r="J483" s="707"/>
      <c r="K483" s="14">
        <f t="shared" si="123"/>
        <v>1</v>
      </c>
      <c r="L483" s="707"/>
      <c r="M483" s="14">
        <f t="shared" si="124"/>
        <v>1</v>
      </c>
      <c r="N483" s="707"/>
      <c r="O483" s="14">
        <f t="shared" si="125"/>
        <v>1</v>
      </c>
      <c r="P483" s="707"/>
      <c r="Q483" s="14">
        <f t="shared" si="126"/>
        <v>-0.02</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0.04</v>
      </c>
      <c r="F484" s="707"/>
      <c r="G484" s="14">
        <f t="shared" si="121"/>
        <v>0.03</v>
      </c>
      <c r="H484" s="707"/>
      <c r="I484" s="14">
        <f t="shared" si="122"/>
        <v>1</v>
      </c>
      <c r="J484" s="707"/>
      <c r="K484" s="14">
        <f t="shared" si="123"/>
        <v>1</v>
      </c>
      <c r="L484" s="707"/>
      <c r="M484" s="14">
        <f t="shared" si="124"/>
        <v>1</v>
      </c>
      <c r="N484" s="707"/>
      <c r="O484" s="14">
        <f t="shared" si="125"/>
        <v>1</v>
      </c>
      <c r="P484" s="707"/>
      <c r="Q484" s="14">
        <f t="shared" si="126"/>
        <v>-0.02</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0.04</v>
      </c>
      <c r="F485" s="707"/>
      <c r="G485" s="14">
        <f t="shared" si="121"/>
        <v>0.03</v>
      </c>
      <c r="H485" s="707"/>
      <c r="I485" s="14">
        <f t="shared" si="122"/>
        <v>1</v>
      </c>
      <c r="J485" s="707"/>
      <c r="K485" s="14">
        <f t="shared" si="123"/>
        <v>1</v>
      </c>
      <c r="L485" s="707"/>
      <c r="M485" s="14">
        <f t="shared" si="124"/>
        <v>1</v>
      </c>
      <c r="N485" s="707"/>
      <c r="O485" s="14">
        <f t="shared" si="125"/>
        <v>1</v>
      </c>
      <c r="P485" s="707"/>
      <c r="Q485" s="14">
        <f t="shared" si="126"/>
        <v>-0.02</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0.04</v>
      </c>
      <c r="F486" s="707"/>
      <c r="G486" s="14">
        <f t="shared" si="121"/>
        <v>0.03</v>
      </c>
      <c r="H486" s="707"/>
      <c r="I486" s="14">
        <f t="shared" si="122"/>
        <v>1</v>
      </c>
      <c r="J486" s="707"/>
      <c r="K486" s="14">
        <f t="shared" si="123"/>
        <v>1</v>
      </c>
      <c r="L486" s="707"/>
      <c r="M486" s="14">
        <f t="shared" si="124"/>
        <v>1</v>
      </c>
      <c r="N486" s="707"/>
      <c r="O486" s="14">
        <f t="shared" si="125"/>
        <v>1</v>
      </c>
      <c r="P486" s="707"/>
      <c r="Q486" s="14">
        <f t="shared" si="126"/>
        <v>-0.02</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0.04</v>
      </c>
      <c r="F487" s="707"/>
      <c r="G487" s="14">
        <f t="shared" si="121"/>
        <v>0.03</v>
      </c>
      <c r="H487" s="707"/>
      <c r="I487" s="14">
        <f t="shared" si="122"/>
        <v>1</v>
      </c>
      <c r="J487" s="707"/>
      <c r="K487" s="14">
        <f t="shared" si="123"/>
        <v>1</v>
      </c>
      <c r="L487" s="707"/>
      <c r="M487" s="14">
        <f t="shared" si="124"/>
        <v>1</v>
      </c>
      <c r="N487" s="707"/>
      <c r="O487" s="14">
        <f t="shared" si="125"/>
        <v>1</v>
      </c>
      <c r="P487" s="707"/>
      <c r="Q487" s="14">
        <f t="shared" si="126"/>
        <v>-0.02</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0.04</v>
      </c>
      <c r="F488" s="707"/>
      <c r="G488" s="14">
        <f t="shared" si="121"/>
        <v>0.03</v>
      </c>
      <c r="H488" s="707"/>
      <c r="I488" s="14">
        <f t="shared" si="122"/>
        <v>1</v>
      </c>
      <c r="J488" s="707"/>
      <c r="K488" s="14">
        <f t="shared" si="123"/>
        <v>1</v>
      </c>
      <c r="L488" s="707"/>
      <c r="M488" s="14">
        <f t="shared" si="124"/>
        <v>1</v>
      </c>
      <c r="N488" s="707"/>
      <c r="O488" s="14">
        <f t="shared" si="125"/>
        <v>1</v>
      </c>
      <c r="P488" s="707"/>
      <c r="Q488" s="14">
        <f t="shared" si="126"/>
        <v>-0.02</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0.04</v>
      </c>
      <c r="F489" s="707"/>
      <c r="G489" s="14">
        <f t="shared" si="121"/>
        <v>0.03</v>
      </c>
      <c r="H489" s="707"/>
      <c r="I489" s="14">
        <f t="shared" si="122"/>
        <v>1</v>
      </c>
      <c r="J489" s="707"/>
      <c r="K489" s="14">
        <f t="shared" si="123"/>
        <v>1</v>
      </c>
      <c r="L489" s="707"/>
      <c r="M489" s="14">
        <f t="shared" si="124"/>
        <v>1</v>
      </c>
      <c r="N489" s="707"/>
      <c r="O489" s="14">
        <f t="shared" si="125"/>
        <v>1</v>
      </c>
      <c r="P489" s="707"/>
      <c r="Q489" s="14">
        <f t="shared" si="126"/>
        <v>-0.02</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0.04</v>
      </c>
      <c r="F490" s="707"/>
      <c r="G490" s="14">
        <f t="shared" si="121"/>
        <v>0.03</v>
      </c>
      <c r="H490" s="707"/>
      <c r="I490" s="14">
        <f t="shared" si="122"/>
        <v>1</v>
      </c>
      <c r="J490" s="707"/>
      <c r="K490" s="14">
        <f t="shared" si="123"/>
        <v>1</v>
      </c>
      <c r="L490" s="707"/>
      <c r="M490" s="14">
        <f t="shared" si="124"/>
        <v>1</v>
      </c>
      <c r="N490" s="707"/>
      <c r="O490" s="14">
        <f t="shared" si="125"/>
        <v>1</v>
      </c>
      <c r="P490" s="707"/>
      <c r="Q490" s="14">
        <f t="shared" si="126"/>
        <v>-0.02</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0.04</v>
      </c>
      <c r="F491" s="707"/>
      <c r="G491" s="14">
        <f t="shared" si="121"/>
        <v>0.03</v>
      </c>
      <c r="H491" s="707"/>
      <c r="I491" s="14">
        <f t="shared" si="122"/>
        <v>1</v>
      </c>
      <c r="J491" s="707"/>
      <c r="K491" s="14">
        <f t="shared" si="123"/>
        <v>1</v>
      </c>
      <c r="L491" s="707"/>
      <c r="M491" s="14">
        <f t="shared" si="124"/>
        <v>1</v>
      </c>
      <c r="N491" s="707"/>
      <c r="O491" s="14">
        <f t="shared" si="125"/>
        <v>1</v>
      </c>
      <c r="P491" s="707"/>
      <c r="Q491" s="14">
        <f t="shared" si="126"/>
        <v>-0.02</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0.04</v>
      </c>
      <c r="F492" s="707"/>
      <c r="G492" s="14">
        <f t="shared" si="121"/>
        <v>0.03</v>
      </c>
      <c r="H492" s="707"/>
      <c r="I492" s="14">
        <f t="shared" si="122"/>
        <v>1</v>
      </c>
      <c r="J492" s="707"/>
      <c r="K492" s="14">
        <f t="shared" si="123"/>
        <v>1</v>
      </c>
      <c r="L492" s="707"/>
      <c r="M492" s="14">
        <f t="shared" si="124"/>
        <v>1</v>
      </c>
      <c r="N492" s="707"/>
      <c r="O492" s="14">
        <f t="shared" si="125"/>
        <v>1</v>
      </c>
      <c r="P492" s="707"/>
      <c r="Q492" s="14">
        <f t="shared" si="126"/>
        <v>-0.02</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0.04</v>
      </c>
      <c r="F493" s="707"/>
      <c r="G493" s="14">
        <f t="shared" si="121"/>
        <v>0.03</v>
      </c>
      <c r="H493" s="707"/>
      <c r="I493" s="14">
        <f t="shared" si="122"/>
        <v>1</v>
      </c>
      <c r="J493" s="707"/>
      <c r="K493" s="14">
        <f t="shared" si="123"/>
        <v>1</v>
      </c>
      <c r="L493" s="707"/>
      <c r="M493" s="14">
        <f t="shared" si="124"/>
        <v>1</v>
      </c>
      <c r="N493" s="707"/>
      <c r="O493" s="14">
        <f t="shared" si="125"/>
        <v>1</v>
      </c>
      <c r="P493" s="707"/>
      <c r="Q493" s="14">
        <f t="shared" si="126"/>
        <v>-0.02</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0.04</v>
      </c>
      <c r="F494" s="707"/>
      <c r="G494" s="14">
        <f t="shared" si="121"/>
        <v>0.03</v>
      </c>
      <c r="H494" s="707"/>
      <c r="I494" s="14">
        <f t="shared" si="122"/>
        <v>1</v>
      </c>
      <c r="J494" s="707"/>
      <c r="K494" s="14">
        <f t="shared" si="123"/>
        <v>1</v>
      </c>
      <c r="L494" s="707"/>
      <c r="M494" s="14">
        <f t="shared" si="124"/>
        <v>1</v>
      </c>
      <c r="N494" s="707"/>
      <c r="O494" s="14">
        <f t="shared" si="125"/>
        <v>1</v>
      </c>
      <c r="P494" s="707"/>
      <c r="Q494" s="14">
        <f t="shared" si="126"/>
        <v>-0.02</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0.04</v>
      </c>
      <c r="F495" s="707"/>
      <c r="G495" s="14">
        <f t="shared" si="121"/>
        <v>0.03</v>
      </c>
      <c r="H495" s="707"/>
      <c r="I495" s="14">
        <f t="shared" si="122"/>
        <v>1</v>
      </c>
      <c r="J495" s="707"/>
      <c r="K495" s="14">
        <f t="shared" si="123"/>
        <v>1</v>
      </c>
      <c r="L495" s="707"/>
      <c r="M495" s="14">
        <f t="shared" si="124"/>
        <v>1</v>
      </c>
      <c r="N495" s="707"/>
      <c r="O495" s="14">
        <f t="shared" si="125"/>
        <v>1</v>
      </c>
      <c r="P495" s="707"/>
      <c r="Q495" s="14">
        <f t="shared" si="126"/>
        <v>-0.02</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0.04</v>
      </c>
      <c r="F496" s="707"/>
      <c r="G496" s="14">
        <f t="shared" si="121"/>
        <v>0.03</v>
      </c>
      <c r="H496" s="707"/>
      <c r="I496" s="14">
        <f t="shared" si="122"/>
        <v>1</v>
      </c>
      <c r="J496" s="707"/>
      <c r="K496" s="14">
        <f t="shared" si="123"/>
        <v>1</v>
      </c>
      <c r="L496" s="707"/>
      <c r="M496" s="14">
        <f t="shared" si="124"/>
        <v>1</v>
      </c>
      <c r="N496" s="707"/>
      <c r="O496" s="14">
        <f t="shared" si="125"/>
        <v>1</v>
      </c>
      <c r="P496" s="707"/>
      <c r="Q496" s="14">
        <f t="shared" si="126"/>
        <v>-0.02</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0.04</v>
      </c>
      <c r="F497" s="707"/>
      <c r="G497" s="14">
        <f t="shared" si="121"/>
        <v>0.03</v>
      </c>
      <c r="H497" s="707"/>
      <c r="I497" s="14">
        <f t="shared" si="122"/>
        <v>1</v>
      </c>
      <c r="J497" s="707"/>
      <c r="K497" s="14">
        <f t="shared" si="123"/>
        <v>1</v>
      </c>
      <c r="L497" s="707"/>
      <c r="M497" s="14">
        <f t="shared" si="124"/>
        <v>1</v>
      </c>
      <c r="N497" s="707"/>
      <c r="O497" s="14">
        <f t="shared" si="125"/>
        <v>1</v>
      </c>
      <c r="P497" s="707"/>
      <c r="Q497" s="14">
        <f t="shared" si="126"/>
        <v>-0.02</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0.04</v>
      </c>
      <c r="F498" s="707"/>
      <c r="G498" s="14">
        <f t="shared" si="121"/>
        <v>0.03</v>
      </c>
      <c r="H498" s="707"/>
      <c r="I498" s="14">
        <f t="shared" si="122"/>
        <v>1</v>
      </c>
      <c r="J498" s="707"/>
      <c r="K498" s="14">
        <f t="shared" si="123"/>
        <v>1</v>
      </c>
      <c r="L498" s="707"/>
      <c r="M498" s="14">
        <f t="shared" si="124"/>
        <v>1</v>
      </c>
      <c r="N498" s="707"/>
      <c r="O498" s="14">
        <f t="shared" si="125"/>
        <v>1</v>
      </c>
      <c r="P498" s="707"/>
      <c r="Q498" s="14">
        <f t="shared" si="126"/>
        <v>-0.02</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0.04</v>
      </c>
      <c r="F499" s="707"/>
      <c r="G499" s="14">
        <f t="shared" si="121"/>
        <v>0.03</v>
      </c>
      <c r="H499" s="707"/>
      <c r="I499" s="14">
        <f t="shared" si="122"/>
        <v>1</v>
      </c>
      <c r="J499" s="707"/>
      <c r="K499" s="14">
        <f t="shared" si="123"/>
        <v>1</v>
      </c>
      <c r="L499" s="707"/>
      <c r="M499" s="14">
        <f t="shared" si="124"/>
        <v>1</v>
      </c>
      <c r="N499" s="707"/>
      <c r="O499" s="14">
        <f t="shared" si="125"/>
        <v>1</v>
      </c>
      <c r="P499" s="707"/>
      <c r="Q499" s="14">
        <f t="shared" si="126"/>
        <v>-0.02</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0.04</v>
      </c>
      <c r="F500" s="707"/>
      <c r="G500" s="14">
        <f t="shared" si="121"/>
        <v>0.03</v>
      </c>
      <c r="H500" s="707"/>
      <c r="I500" s="14">
        <f t="shared" si="122"/>
        <v>1</v>
      </c>
      <c r="J500" s="707"/>
      <c r="K500" s="14">
        <f t="shared" si="123"/>
        <v>1</v>
      </c>
      <c r="L500" s="707"/>
      <c r="M500" s="14">
        <f t="shared" si="124"/>
        <v>1</v>
      </c>
      <c r="N500" s="707"/>
      <c r="O500" s="14">
        <f t="shared" si="125"/>
        <v>1</v>
      </c>
      <c r="P500" s="707"/>
      <c r="Q500" s="14">
        <f t="shared" si="126"/>
        <v>-0.02</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0.04</v>
      </c>
      <c r="F501" s="707"/>
      <c r="G501" s="14">
        <f t="shared" si="121"/>
        <v>0.03</v>
      </c>
      <c r="H501" s="707"/>
      <c r="I501" s="14">
        <f t="shared" si="122"/>
        <v>1</v>
      </c>
      <c r="J501" s="707"/>
      <c r="K501" s="14">
        <f t="shared" si="123"/>
        <v>1</v>
      </c>
      <c r="L501" s="707"/>
      <c r="M501" s="14">
        <f t="shared" si="124"/>
        <v>1</v>
      </c>
      <c r="N501" s="707"/>
      <c r="O501" s="14">
        <f t="shared" si="125"/>
        <v>1</v>
      </c>
      <c r="P501" s="707"/>
      <c r="Q501" s="14">
        <f t="shared" si="126"/>
        <v>-0.02</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0.04</v>
      </c>
      <c r="F502" s="707"/>
      <c r="G502" s="14">
        <f t="shared" si="121"/>
        <v>0.03</v>
      </c>
      <c r="H502" s="707"/>
      <c r="I502" s="14">
        <f t="shared" si="122"/>
        <v>1</v>
      </c>
      <c r="J502" s="707"/>
      <c r="K502" s="14">
        <f t="shared" si="123"/>
        <v>1</v>
      </c>
      <c r="L502" s="707"/>
      <c r="M502" s="14">
        <f t="shared" si="124"/>
        <v>1</v>
      </c>
      <c r="N502" s="707"/>
      <c r="O502" s="14">
        <f t="shared" si="125"/>
        <v>1</v>
      </c>
      <c r="P502" s="707"/>
      <c r="Q502" s="14">
        <f t="shared" si="126"/>
        <v>-0.02</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0.04</v>
      </c>
      <c r="F503" s="707"/>
      <c r="G503" s="14">
        <f t="shared" si="121"/>
        <v>0.03</v>
      </c>
      <c r="H503" s="707"/>
      <c r="I503" s="14">
        <f t="shared" si="122"/>
        <v>1</v>
      </c>
      <c r="J503" s="707"/>
      <c r="K503" s="14">
        <f t="shared" si="123"/>
        <v>1</v>
      </c>
      <c r="L503" s="707"/>
      <c r="M503" s="14">
        <f t="shared" si="124"/>
        <v>1</v>
      </c>
      <c r="N503" s="707"/>
      <c r="O503" s="14">
        <f t="shared" si="125"/>
        <v>1</v>
      </c>
      <c r="P503" s="707"/>
      <c r="Q503" s="14">
        <f t="shared" si="126"/>
        <v>-0.02</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0.04</v>
      </c>
      <c r="F504" s="707"/>
      <c r="G504" s="14">
        <f t="shared" si="121"/>
        <v>0.03</v>
      </c>
      <c r="H504" s="707"/>
      <c r="I504" s="14">
        <f t="shared" si="122"/>
        <v>1</v>
      </c>
      <c r="J504" s="707"/>
      <c r="K504" s="14">
        <f t="shared" si="123"/>
        <v>1</v>
      </c>
      <c r="L504" s="707"/>
      <c r="M504" s="14">
        <f t="shared" si="124"/>
        <v>1</v>
      </c>
      <c r="N504" s="707"/>
      <c r="O504" s="14">
        <f t="shared" si="125"/>
        <v>1</v>
      </c>
      <c r="P504" s="707"/>
      <c r="Q504" s="14">
        <f t="shared" si="126"/>
        <v>-0.02</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0.04</v>
      </c>
      <c r="F505" s="707"/>
      <c r="G505" s="14">
        <f t="shared" si="121"/>
        <v>0.03</v>
      </c>
      <c r="H505" s="707"/>
      <c r="I505" s="14">
        <f t="shared" si="122"/>
        <v>1</v>
      </c>
      <c r="J505" s="707"/>
      <c r="K505" s="14">
        <f t="shared" si="123"/>
        <v>1</v>
      </c>
      <c r="L505" s="707"/>
      <c r="M505" s="14">
        <f t="shared" si="124"/>
        <v>1</v>
      </c>
      <c r="N505" s="707"/>
      <c r="O505" s="14">
        <f t="shared" si="125"/>
        <v>1</v>
      </c>
      <c r="P505" s="707"/>
      <c r="Q505" s="14">
        <f t="shared" si="126"/>
        <v>-0.02</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0.04</v>
      </c>
      <c r="F506" s="707"/>
      <c r="G506" s="14">
        <f t="shared" si="121"/>
        <v>0.03</v>
      </c>
      <c r="H506" s="707"/>
      <c r="I506" s="14">
        <f t="shared" si="122"/>
        <v>1</v>
      </c>
      <c r="J506" s="707"/>
      <c r="K506" s="14">
        <f t="shared" si="123"/>
        <v>1</v>
      </c>
      <c r="L506" s="707"/>
      <c r="M506" s="14">
        <f t="shared" si="124"/>
        <v>1</v>
      </c>
      <c r="N506" s="707"/>
      <c r="O506" s="14">
        <f t="shared" si="125"/>
        <v>1</v>
      </c>
      <c r="P506" s="707"/>
      <c r="Q506" s="14">
        <f t="shared" si="126"/>
        <v>-0.02</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0.04</v>
      </c>
      <c r="F507" s="707"/>
      <c r="G507" s="14">
        <f t="shared" si="121"/>
        <v>0.03</v>
      </c>
      <c r="H507" s="707"/>
      <c r="I507" s="14">
        <f t="shared" si="122"/>
        <v>1</v>
      </c>
      <c r="J507" s="707"/>
      <c r="K507" s="14">
        <f t="shared" si="123"/>
        <v>1</v>
      </c>
      <c r="L507" s="707"/>
      <c r="M507" s="14">
        <f t="shared" si="124"/>
        <v>1</v>
      </c>
      <c r="N507" s="707"/>
      <c r="O507" s="14">
        <f t="shared" si="125"/>
        <v>1</v>
      </c>
      <c r="P507" s="707"/>
      <c r="Q507" s="14">
        <f t="shared" si="126"/>
        <v>-0.02</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0.04</v>
      </c>
      <c r="F508" s="707"/>
      <c r="G508" s="14">
        <f t="shared" si="121"/>
        <v>0.03</v>
      </c>
      <c r="H508" s="707"/>
      <c r="I508" s="14">
        <f t="shared" si="122"/>
        <v>1</v>
      </c>
      <c r="J508" s="707"/>
      <c r="K508" s="14">
        <f t="shared" si="123"/>
        <v>1</v>
      </c>
      <c r="L508" s="707"/>
      <c r="M508" s="14">
        <f t="shared" si="124"/>
        <v>1</v>
      </c>
      <c r="N508" s="707"/>
      <c r="O508" s="14">
        <f t="shared" si="125"/>
        <v>1</v>
      </c>
      <c r="P508" s="707"/>
      <c r="Q508" s="14">
        <f t="shared" si="126"/>
        <v>-0.02</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0.04</v>
      </c>
      <c r="F509" s="707"/>
      <c r="G509" s="14">
        <f t="shared" si="121"/>
        <v>0.03</v>
      </c>
      <c r="H509" s="707"/>
      <c r="I509" s="14">
        <f t="shared" si="122"/>
        <v>1</v>
      </c>
      <c r="J509" s="707"/>
      <c r="K509" s="14">
        <f t="shared" si="123"/>
        <v>1</v>
      </c>
      <c r="L509" s="707"/>
      <c r="M509" s="14">
        <f t="shared" si="124"/>
        <v>1</v>
      </c>
      <c r="N509" s="707"/>
      <c r="O509" s="14">
        <f t="shared" si="125"/>
        <v>1</v>
      </c>
      <c r="P509" s="707"/>
      <c r="Q509" s="14">
        <f t="shared" si="126"/>
        <v>-0.02</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0.04</v>
      </c>
      <c r="F510" s="707"/>
      <c r="G510" s="14">
        <f t="shared" si="121"/>
        <v>0.03</v>
      </c>
      <c r="H510" s="707"/>
      <c r="I510" s="14">
        <f t="shared" si="122"/>
        <v>1</v>
      </c>
      <c r="J510" s="707"/>
      <c r="K510" s="14">
        <f t="shared" si="123"/>
        <v>1</v>
      </c>
      <c r="L510" s="707"/>
      <c r="M510" s="14">
        <f t="shared" si="124"/>
        <v>1</v>
      </c>
      <c r="N510" s="707"/>
      <c r="O510" s="14">
        <f t="shared" si="125"/>
        <v>1</v>
      </c>
      <c r="P510" s="707"/>
      <c r="Q510" s="14">
        <f t="shared" si="126"/>
        <v>-0.02</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0.04</v>
      </c>
      <c r="F511" s="707"/>
      <c r="G511" s="14">
        <f t="shared" si="121"/>
        <v>0.03</v>
      </c>
      <c r="H511" s="707"/>
      <c r="I511" s="14">
        <f t="shared" si="122"/>
        <v>1</v>
      </c>
      <c r="J511" s="707"/>
      <c r="K511" s="14">
        <f t="shared" si="123"/>
        <v>1</v>
      </c>
      <c r="L511" s="707"/>
      <c r="M511" s="14">
        <f t="shared" si="124"/>
        <v>1</v>
      </c>
      <c r="N511" s="707"/>
      <c r="O511" s="14">
        <f t="shared" si="125"/>
        <v>1</v>
      </c>
      <c r="P511" s="707"/>
      <c r="Q511" s="14">
        <f t="shared" si="126"/>
        <v>-0.02</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0.04</v>
      </c>
      <c r="F512" s="707"/>
      <c r="G512" s="14">
        <f t="shared" si="121"/>
        <v>0.03</v>
      </c>
      <c r="H512" s="707"/>
      <c r="I512" s="14">
        <f t="shared" si="122"/>
        <v>1</v>
      </c>
      <c r="J512" s="707"/>
      <c r="K512" s="14">
        <f t="shared" si="123"/>
        <v>1</v>
      </c>
      <c r="L512" s="707"/>
      <c r="M512" s="14">
        <f t="shared" si="124"/>
        <v>1</v>
      </c>
      <c r="N512" s="707"/>
      <c r="O512" s="14">
        <f t="shared" si="125"/>
        <v>1</v>
      </c>
      <c r="P512" s="707"/>
      <c r="Q512" s="14">
        <f t="shared" si="126"/>
        <v>-0.02</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0.04</v>
      </c>
      <c r="F513" s="707"/>
      <c r="G513" s="14">
        <f t="shared" si="121"/>
        <v>0.03</v>
      </c>
      <c r="H513" s="707"/>
      <c r="I513" s="14">
        <f t="shared" si="122"/>
        <v>1</v>
      </c>
      <c r="J513" s="707"/>
      <c r="K513" s="14">
        <f t="shared" si="123"/>
        <v>1</v>
      </c>
      <c r="L513" s="707"/>
      <c r="M513" s="14">
        <f t="shared" si="124"/>
        <v>1</v>
      </c>
      <c r="N513" s="707"/>
      <c r="O513" s="14">
        <f t="shared" si="125"/>
        <v>1</v>
      </c>
      <c r="P513" s="707"/>
      <c r="Q513" s="14">
        <f t="shared" si="126"/>
        <v>-0.02</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0.04</v>
      </c>
      <c r="F514" s="707"/>
      <c r="G514" s="14">
        <f t="shared" si="121"/>
        <v>0.03</v>
      </c>
      <c r="H514" s="707"/>
      <c r="I514" s="14">
        <f t="shared" si="122"/>
        <v>1</v>
      </c>
      <c r="J514" s="707"/>
      <c r="K514" s="14">
        <f t="shared" si="123"/>
        <v>1</v>
      </c>
      <c r="L514" s="707"/>
      <c r="M514" s="14">
        <f t="shared" si="124"/>
        <v>1</v>
      </c>
      <c r="N514" s="707"/>
      <c r="O514" s="14">
        <f t="shared" si="125"/>
        <v>1</v>
      </c>
      <c r="P514" s="707"/>
      <c r="Q514" s="14">
        <f t="shared" si="126"/>
        <v>-0.02</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0.04</v>
      </c>
      <c r="F515" s="707"/>
      <c r="G515" s="14">
        <f t="shared" si="121"/>
        <v>0.03</v>
      </c>
      <c r="H515" s="707"/>
      <c r="I515" s="14">
        <f t="shared" si="122"/>
        <v>1</v>
      </c>
      <c r="J515" s="707"/>
      <c r="K515" s="14">
        <f t="shared" si="123"/>
        <v>1</v>
      </c>
      <c r="L515" s="707"/>
      <c r="M515" s="14">
        <f t="shared" si="124"/>
        <v>1</v>
      </c>
      <c r="N515" s="707"/>
      <c r="O515" s="14">
        <f t="shared" si="125"/>
        <v>1</v>
      </c>
      <c r="P515" s="707"/>
      <c r="Q515" s="14">
        <f t="shared" si="126"/>
        <v>-0.02</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0.04</v>
      </c>
      <c r="F516" s="707"/>
      <c r="G516" s="14">
        <f t="shared" si="121"/>
        <v>0.03</v>
      </c>
      <c r="H516" s="707"/>
      <c r="I516" s="14">
        <f t="shared" si="122"/>
        <v>1</v>
      </c>
      <c r="J516" s="707"/>
      <c r="K516" s="14">
        <f t="shared" si="123"/>
        <v>1</v>
      </c>
      <c r="L516" s="707"/>
      <c r="M516" s="14">
        <f t="shared" si="124"/>
        <v>1</v>
      </c>
      <c r="N516" s="707"/>
      <c r="O516" s="14">
        <f t="shared" si="125"/>
        <v>1</v>
      </c>
      <c r="P516" s="707"/>
      <c r="Q516" s="14">
        <f t="shared" si="126"/>
        <v>-0.02</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0.04</v>
      </c>
      <c r="F517" s="707"/>
      <c r="G517" s="14">
        <f t="shared" si="121"/>
        <v>0.03</v>
      </c>
      <c r="H517" s="707"/>
      <c r="I517" s="14">
        <f t="shared" si="122"/>
        <v>1</v>
      </c>
      <c r="J517" s="707"/>
      <c r="K517" s="14">
        <f t="shared" si="123"/>
        <v>1</v>
      </c>
      <c r="L517" s="707"/>
      <c r="M517" s="14">
        <f t="shared" si="124"/>
        <v>1</v>
      </c>
      <c r="N517" s="707"/>
      <c r="O517" s="14">
        <f t="shared" si="125"/>
        <v>1</v>
      </c>
      <c r="P517" s="707"/>
      <c r="Q517" s="14">
        <f t="shared" si="126"/>
        <v>-0.02</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0.04</v>
      </c>
      <c r="F518" s="707"/>
      <c r="G518" s="14">
        <f t="shared" si="121"/>
        <v>0.03</v>
      </c>
      <c r="H518" s="707"/>
      <c r="I518" s="14">
        <f t="shared" si="122"/>
        <v>1</v>
      </c>
      <c r="J518" s="707"/>
      <c r="K518" s="14">
        <f t="shared" si="123"/>
        <v>1</v>
      </c>
      <c r="L518" s="707"/>
      <c r="M518" s="14">
        <f t="shared" si="124"/>
        <v>1</v>
      </c>
      <c r="N518" s="707"/>
      <c r="O518" s="14">
        <f t="shared" si="125"/>
        <v>1</v>
      </c>
      <c r="P518" s="707"/>
      <c r="Q518" s="14">
        <f t="shared" si="126"/>
        <v>-0.02</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0.04</v>
      </c>
      <c r="F519" s="707"/>
      <c r="G519" s="14">
        <f t="shared" si="121"/>
        <v>0.03</v>
      </c>
      <c r="H519" s="707"/>
      <c r="I519" s="14">
        <f t="shared" si="122"/>
        <v>1</v>
      </c>
      <c r="J519" s="707"/>
      <c r="K519" s="14">
        <f t="shared" si="123"/>
        <v>1</v>
      </c>
      <c r="L519" s="707"/>
      <c r="M519" s="14">
        <f t="shared" si="124"/>
        <v>1</v>
      </c>
      <c r="N519" s="707"/>
      <c r="O519" s="14">
        <f t="shared" si="125"/>
        <v>1</v>
      </c>
      <c r="P519" s="707"/>
      <c r="Q519" s="14">
        <f t="shared" si="126"/>
        <v>-0.02</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0.04</v>
      </c>
      <c r="F520" s="707"/>
      <c r="G520" s="14">
        <f t="shared" si="121"/>
        <v>0.03</v>
      </c>
      <c r="H520" s="707"/>
      <c r="I520" s="14">
        <f t="shared" si="122"/>
        <v>1</v>
      </c>
      <c r="J520" s="707"/>
      <c r="K520" s="14">
        <f t="shared" si="123"/>
        <v>1</v>
      </c>
      <c r="L520" s="707"/>
      <c r="M520" s="14">
        <f t="shared" si="124"/>
        <v>1</v>
      </c>
      <c r="N520" s="707"/>
      <c r="O520" s="14">
        <f t="shared" si="125"/>
        <v>1</v>
      </c>
      <c r="P520" s="707"/>
      <c r="Q520" s="14">
        <f t="shared" si="126"/>
        <v>-0.02</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0.04</v>
      </c>
      <c r="F521" s="707"/>
      <c r="G521" s="14">
        <f t="shared" si="121"/>
        <v>0.03</v>
      </c>
      <c r="H521" s="707"/>
      <c r="I521" s="14">
        <f t="shared" si="122"/>
        <v>1</v>
      </c>
      <c r="J521" s="707"/>
      <c r="K521" s="14">
        <f t="shared" si="123"/>
        <v>1</v>
      </c>
      <c r="L521" s="707"/>
      <c r="M521" s="14">
        <f t="shared" si="124"/>
        <v>1</v>
      </c>
      <c r="N521" s="707"/>
      <c r="O521" s="14">
        <f t="shared" si="125"/>
        <v>1</v>
      </c>
      <c r="P521" s="707"/>
      <c r="Q521" s="14">
        <f t="shared" si="126"/>
        <v>-0.02</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0.04</v>
      </c>
      <c r="F522" s="707"/>
      <c r="G522" s="14">
        <f t="shared" si="121"/>
        <v>0.03</v>
      </c>
      <c r="H522" s="707"/>
      <c r="I522" s="14">
        <f t="shared" si="122"/>
        <v>1</v>
      </c>
      <c r="J522" s="707"/>
      <c r="K522" s="14">
        <f t="shared" si="123"/>
        <v>1</v>
      </c>
      <c r="L522" s="707"/>
      <c r="M522" s="14">
        <f t="shared" si="124"/>
        <v>1</v>
      </c>
      <c r="N522" s="707"/>
      <c r="O522" s="14">
        <f t="shared" si="125"/>
        <v>1</v>
      </c>
      <c r="P522" s="707"/>
      <c r="Q522" s="14">
        <f t="shared" si="126"/>
        <v>-0.02</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0.04</v>
      </c>
      <c r="F523" s="707"/>
      <c r="G523" s="14">
        <f t="shared" si="121"/>
        <v>0.03</v>
      </c>
      <c r="H523" s="707"/>
      <c r="I523" s="14">
        <f t="shared" si="122"/>
        <v>1</v>
      </c>
      <c r="J523" s="707"/>
      <c r="K523" s="14">
        <f t="shared" si="123"/>
        <v>1</v>
      </c>
      <c r="L523" s="707"/>
      <c r="M523" s="14">
        <f t="shared" si="124"/>
        <v>1</v>
      </c>
      <c r="N523" s="707"/>
      <c r="O523" s="14">
        <f t="shared" si="125"/>
        <v>1</v>
      </c>
      <c r="P523" s="707"/>
      <c r="Q523" s="14">
        <f t="shared" si="126"/>
        <v>-0.02</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0.04</v>
      </c>
      <c r="F524" s="707"/>
      <c r="G524" s="14">
        <f t="shared" si="121"/>
        <v>0.03</v>
      </c>
      <c r="H524" s="707"/>
      <c r="I524" s="14">
        <f t="shared" si="122"/>
        <v>1</v>
      </c>
      <c r="J524" s="707"/>
      <c r="K524" s="14">
        <f t="shared" si="123"/>
        <v>1</v>
      </c>
      <c r="L524" s="707"/>
      <c r="M524" s="14">
        <f t="shared" si="124"/>
        <v>1</v>
      </c>
      <c r="N524" s="707"/>
      <c r="O524" s="14">
        <f t="shared" si="125"/>
        <v>1</v>
      </c>
      <c r="P524" s="707"/>
      <c r="Q524" s="14">
        <f t="shared" si="126"/>
        <v>-0.02</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0.04</v>
      </c>
      <c r="F525" s="707"/>
      <c r="G525" s="14">
        <f t="shared" si="121"/>
        <v>0.03</v>
      </c>
      <c r="H525" s="707"/>
      <c r="I525" s="14">
        <f t="shared" si="122"/>
        <v>1</v>
      </c>
      <c r="J525" s="707"/>
      <c r="K525" s="14">
        <f t="shared" si="123"/>
        <v>1</v>
      </c>
      <c r="L525" s="707"/>
      <c r="M525" s="14">
        <f t="shared" si="124"/>
        <v>1</v>
      </c>
      <c r="N525" s="707"/>
      <c r="O525" s="14">
        <f t="shared" si="125"/>
        <v>1</v>
      </c>
      <c r="P525" s="707"/>
      <c r="Q525" s="14">
        <f t="shared" si="126"/>
        <v>-0.02</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0.04</v>
      </c>
      <c r="F526" s="707"/>
      <c r="G526" s="14">
        <f t="shared" si="121"/>
        <v>0.03</v>
      </c>
      <c r="H526" s="707"/>
      <c r="I526" s="14">
        <f t="shared" si="122"/>
        <v>1</v>
      </c>
      <c r="J526" s="707"/>
      <c r="K526" s="14">
        <f t="shared" si="123"/>
        <v>1</v>
      </c>
      <c r="L526" s="707"/>
      <c r="M526" s="14">
        <f t="shared" si="124"/>
        <v>1</v>
      </c>
      <c r="N526" s="707"/>
      <c r="O526" s="14">
        <f t="shared" si="125"/>
        <v>1</v>
      </c>
      <c r="P526" s="707"/>
      <c r="Q526" s="14">
        <f t="shared" si="126"/>
        <v>-0.02</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0.04</v>
      </c>
      <c r="F527" s="707"/>
      <c r="G527" s="14">
        <f t="shared" si="121"/>
        <v>0.03</v>
      </c>
      <c r="H527" s="707"/>
      <c r="I527" s="14">
        <f t="shared" si="122"/>
        <v>1</v>
      </c>
      <c r="J527" s="707"/>
      <c r="K527" s="14">
        <f t="shared" si="123"/>
        <v>1</v>
      </c>
      <c r="L527" s="707"/>
      <c r="M527" s="14">
        <f t="shared" si="124"/>
        <v>1</v>
      </c>
      <c r="N527" s="707"/>
      <c r="O527" s="14">
        <f t="shared" si="125"/>
        <v>1</v>
      </c>
      <c r="P527" s="707"/>
      <c r="Q527" s="14">
        <f t="shared" si="126"/>
        <v>-0.02</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zoomScale="90" zoomScaleNormal="90" workbookViewId="0">
      <selection activeCell="G120" sqref="G1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2832</v>
      </c>
      <c r="D1" s="2379"/>
      <c r="E1" s="2380" t="s">
        <v>2884</v>
      </c>
      <c r="F1" s="1740" t="s">
        <v>2337</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1305</v>
      </c>
      <c r="B2" s="1725">
        <f>IF(D2="——",IF(C2="元",ROUND(C49*D3,0),ROUND(C49*D3/10000,0)),IF(C2="元",ROUND(C49*D3,0),ROUND(C49*D3/10000,0))-E2)</f>
        <v>1529031</v>
      </c>
      <c r="C2" s="163" t="str">
        <f>'数据-取费表'!B3</f>
        <v>元</v>
      </c>
      <c r="D2" s="2382" t="s">
        <v>1255</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1306</v>
      </c>
      <c r="B3" s="378">
        <f>ROUND(IF(D2="——",C49,IF(C2="万元",B2*10000/D3,B2/D3)),0)</f>
        <v>10706</v>
      </c>
      <c r="C3" s="379" t="s">
        <v>2338</v>
      </c>
      <c r="D3" s="378">
        <f>IF(C1="仅计算典型户型",'数据-取费表'!E5,'数据-取费表'!B5)</f>
        <v>142.82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2339</v>
      </c>
      <c r="B4" s="381"/>
      <c r="C4" s="3017" t="s">
        <v>2340</v>
      </c>
      <c r="D4" s="3018"/>
      <c r="E4" s="3019" t="s">
        <v>2341</v>
      </c>
      <c r="F4" s="3020"/>
      <c r="G4" s="3017" t="s">
        <v>2342</v>
      </c>
      <c r="H4" s="3018"/>
      <c r="I4" s="3017" t="s">
        <v>2343</v>
      </c>
      <c r="J4" s="3018"/>
      <c r="K4" s="2393" t="s">
        <v>2344</v>
      </c>
      <c r="L4" s="1243"/>
      <c r="M4" s="1244"/>
      <c r="N4" s="1244"/>
      <c r="O4" s="1244"/>
      <c r="P4" s="3021" t="s">
        <v>2345</v>
      </c>
      <c r="Q4" s="3022"/>
      <c r="R4" s="3027" t="s">
        <v>2341</v>
      </c>
      <c r="S4" s="3028"/>
      <c r="T4" s="3027" t="s">
        <v>2342</v>
      </c>
      <c r="U4" s="3028"/>
      <c r="V4" s="3037" t="s">
        <v>2343</v>
      </c>
      <c r="W4" s="3037"/>
      <c r="X4" s="2725"/>
      <c r="Y4" s="3027" t="s">
        <v>2345</v>
      </c>
      <c r="Z4" s="3028"/>
      <c r="AA4" s="3014" t="s">
        <v>2341</v>
      </c>
      <c r="AB4" s="3014" t="s">
        <v>2342</v>
      </c>
      <c r="AC4" s="3014" t="s">
        <v>2343</v>
      </c>
    </row>
    <row r="5" spans="1:29" ht="15">
      <c r="A5" s="383"/>
      <c r="B5" s="384"/>
      <c r="C5" s="3031" t="s">
        <v>2833</v>
      </c>
      <c r="D5" s="3032"/>
      <c r="E5" s="3031" t="s">
        <v>2833</v>
      </c>
      <c r="F5" s="3032"/>
      <c r="G5" s="3031" t="s">
        <v>2833</v>
      </c>
      <c r="H5" s="3032"/>
      <c r="I5" s="3031" t="s">
        <v>2833</v>
      </c>
      <c r="J5" s="3032"/>
      <c r="K5" s="2394"/>
      <c r="L5" s="1243"/>
      <c r="M5" s="1244"/>
      <c r="N5" s="1244"/>
      <c r="O5" s="1244"/>
      <c r="P5" s="3023"/>
      <c r="Q5" s="3024"/>
      <c r="R5" s="3029"/>
      <c r="S5" s="3030"/>
      <c r="T5" s="3029"/>
      <c r="U5" s="3030"/>
      <c r="V5" s="3037"/>
      <c r="W5" s="3037"/>
      <c r="X5" s="2725"/>
      <c r="Y5" s="3029"/>
      <c r="Z5" s="3030"/>
      <c r="AA5" s="3015"/>
      <c r="AB5" s="3015"/>
      <c r="AC5" s="3015"/>
    </row>
    <row r="6" spans="1:29" ht="15.75" thickBot="1">
      <c r="A6" s="385"/>
      <c r="B6" s="386"/>
      <c r="C6" s="3033" t="s">
        <v>2834</v>
      </c>
      <c r="D6" s="3034"/>
      <c r="E6" s="3033" t="s">
        <v>2834</v>
      </c>
      <c r="F6" s="3034"/>
      <c r="G6" s="3033" t="s">
        <v>2834</v>
      </c>
      <c r="H6" s="3034"/>
      <c r="I6" s="3033" t="s">
        <v>2834</v>
      </c>
      <c r="J6" s="3034"/>
      <c r="K6" s="2394" t="s">
        <v>2351</v>
      </c>
      <c r="L6" s="1243"/>
      <c r="M6" s="1244"/>
      <c r="N6" s="1244"/>
      <c r="O6" s="1244"/>
      <c r="P6" s="3025"/>
      <c r="Q6" s="3026"/>
      <c r="R6" s="3029"/>
      <c r="S6" s="3030"/>
      <c r="T6" s="3035"/>
      <c r="U6" s="3036"/>
      <c r="V6" s="3037"/>
      <c r="W6" s="3037"/>
      <c r="X6" s="2725"/>
      <c r="Y6" s="3035"/>
      <c r="Z6" s="3036"/>
      <c r="AA6" s="3016"/>
      <c r="AB6" s="3016"/>
      <c r="AC6" s="3016"/>
    </row>
    <row r="7" spans="1:29" s="35" customFormat="1" ht="15.75" thickBot="1">
      <c r="A7" s="387" t="s">
        <v>2352</v>
      </c>
      <c r="B7" s="388"/>
      <c r="C7" s="389">
        <f>'数据-取费表'!B2</f>
        <v>43074</v>
      </c>
      <c r="D7" s="390">
        <v>100</v>
      </c>
      <c r="E7" s="391">
        <v>43009</v>
      </c>
      <c r="F7" s="392">
        <f>SUMIF(58:58,YEAR(E7)&amp;"-"&amp;MONTH(E7),59:59)</f>
        <v>100</v>
      </c>
      <c r="G7" s="391">
        <v>42917</v>
      </c>
      <c r="H7" s="390">
        <f>SUMIF(58:58,YEAR(G7)&amp;"-"&amp;MONTH(G7),59:59)</f>
        <v>99</v>
      </c>
      <c r="I7" s="391">
        <v>43040</v>
      </c>
      <c r="J7" s="390">
        <f>SUMIF(58:58,YEAR(I7)&amp;"-"&amp;MONTH(I7),59:59)</f>
        <v>100</v>
      </c>
      <c r="K7" s="2395"/>
      <c r="L7" s="1245"/>
      <c r="M7" s="1246"/>
      <c r="N7" s="1246"/>
      <c r="O7" s="1246"/>
      <c r="P7" s="3038" t="s">
        <v>2353</v>
      </c>
      <c r="Q7" s="3039"/>
      <c r="R7" s="749" t="s">
        <v>34</v>
      </c>
      <c r="S7" s="750">
        <f t="shared" ref="S7:S15" si="0">F7</f>
        <v>100</v>
      </c>
      <c r="T7" s="749" t="s">
        <v>34</v>
      </c>
      <c r="U7" s="750">
        <f t="shared" ref="U7:U15" si="1">H7</f>
        <v>99</v>
      </c>
      <c r="V7" s="749" t="s">
        <v>34</v>
      </c>
      <c r="W7" s="750">
        <f t="shared" ref="W7:W15" si="2">J7</f>
        <v>100</v>
      </c>
      <c r="X7" s="751"/>
      <c r="Y7" s="3038" t="s">
        <v>2353</v>
      </c>
      <c r="Z7" s="3040"/>
      <c r="AA7" s="752">
        <f>D7/F7</f>
        <v>1</v>
      </c>
      <c r="AB7" s="752">
        <f>D7/H7</f>
        <v>1.0101010101010102</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5"/>
      <c r="L8" s="1245"/>
      <c r="M8" s="1246"/>
      <c r="N8" s="1246"/>
      <c r="O8" s="1246"/>
      <c r="P8" s="3038" t="s">
        <v>2356</v>
      </c>
      <c r="Q8" s="3040"/>
      <c r="R8" s="749" t="s">
        <v>34</v>
      </c>
      <c r="S8" s="750">
        <f t="shared" si="0"/>
        <v>100</v>
      </c>
      <c r="T8" s="749" t="s">
        <v>34</v>
      </c>
      <c r="U8" s="750">
        <f t="shared" si="1"/>
        <v>100</v>
      </c>
      <c r="V8" s="749" t="s">
        <v>34</v>
      </c>
      <c r="W8" s="750">
        <f t="shared" si="2"/>
        <v>100</v>
      </c>
      <c r="X8" s="751"/>
      <c r="Y8" s="3038" t="s">
        <v>2356</v>
      </c>
      <c r="Z8" s="3040"/>
      <c r="AA8" s="752">
        <f t="shared" ref="AA8:AA46" si="3">D8/F8</f>
        <v>1</v>
      </c>
      <c r="AB8" s="752">
        <f t="shared" ref="AB8:AB46" si="4">D8/H8</f>
        <v>1</v>
      </c>
      <c r="AC8" s="752">
        <f t="shared" ref="AC8:AC46" si="5">D8/J8</f>
        <v>1</v>
      </c>
    </row>
    <row r="9" spans="1:29" s="35" customFormat="1">
      <c r="A9" s="395" t="s">
        <v>2357</v>
      </c>
      <c r="B9" s="28" t="s">
        <v>2358</v>
      </c>
      <c r="C9" s="2736" t="s">
        <v>2835</v>
      </c>
      <c r="D9" s="51">
        <v>100</v>
      </c>
      <c r="E9" s="397" t="s">
        <v>2822</v>
      </c>
      <c r="F9" s="398">
        <f>SUMIF(63:63,E9,64:64)-SUMIF(63:63,C9,64:64)+100</f>
        <v>100</v>
      </c>
      <c r="G9" s="397" t="s">
        <v>2822</v>
      </c>
      <c r="H9" s="51">
        <f>SUMIF(63:63,G9,64:64)-SUMIF(63:63,C9,64:64)+100</f>
        <v>100</v>
      </c>
      <c r="I9" s="397" t="s">
        <v>2822</v>
      </c>
      <c r="J9" s="51">
        <f>SUMIF(63:63,I9,64:64)-SUMIF(63:63,C9,64:64)+100</f>
        <v>100</v>
      </c>
      <c r="K9" s="2395"/>
      <c r="L9" s="1245"/>
      <c r="M9" s="1246"/>
      <c r="N9" s="1246"/>
      <c r="O9" s="1246"/>
      <c r="P9" s="3041" t="s">
        <v>2359</v>
      </c>
      <c r="Q9" s="2723"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2724" t="s">
        <v>2361</v>
      </c>
      <c r="C10" s="403" t="s">
        <v>2836</v>
      </c>
      <c r="D10" s="52">
        <v>100</v>
      </c>
      <c r="E10" s="403" t="s">
        <v>2836</v>
      </c>
      <c r="F10" s="405">
        <f>SUMIF(65:65,E10,66:66)-SUMIF(65:65,C10,66:66)+100</f>
        <v>100</v>
      </c>
      <c r="G10" s="403" t="s">
        <v>2836</v>
      </c>
      <c r="H10" s="52">
        <f>SUMIF(65:65,G10,66:66)-SUMIF(65:65,C10,66:66)+100</f>
        <v>100</v>
      </c>
      <c r="I10" s="403" t="s">
        <v>2836</v>
      </c>
      <c r="J10" s="52">
        <f>SUMIF(65:65,I10,66:66)-SUMIF(65:65,C10,66:66)+100</f>
        <v>100</v>
      </c>
      <c r="K10" s="406"/>
      <c r="L10" s="1248"/>
      <c r="M10" s="1249"/>
      <c r="N10" s="1249"/>
      <c r="O10" s="1249"/>
      <c r="P10" s="3041"/>
      <c r="Q10" s="2723"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75" thickBot="1">
      <c r="A11" s="408"/>
      <c r="B11" s="2724" t="s">
        <v>2362</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1"/>
      <c r="M11" s="1244"/>
      <c r="N11" s="1244"/>
      <c r="O11" s="1244"/>
      <c r="P11" s="3041"/>
      <c r="Q11" s="2723"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75" hidden="1" thickBot="1">
      <c r="A12" s="411"/>
      <c r="B12" s="2397"/>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41"/>
      <c r="Q12" s="2723">
        <f t="shared" si="6"/>
        <v>0</v>
      </c>
      <c r="R12" s="749" t="s">
        <v>28</v>
      </c>
      <c r="S12" s="750">
        <f t="shared" si="0"/>
        <v>100</v>
      </c>
      <c r="T12" s="749" t="s">
        <v>28</v>
      </c>
      <c r="U12" s="750">
        <f t="shared" si="1"/>
        <v>100</v>
      </c>
      <c r="V12" s="749" t="s">
        <v>28</v>
      </c>
      <c r="W12" s="750">
        <f t="shared" si="2"/>
        <v>100</v>
      </c>
      <c r="X12" s="751"/>
      <c r="Y12" s="2846"/>
      <c r="Z12" s="23">
        <f t="shared" si="7"/>
        <v>0</v>
      </c>
      <c r="AA12" s="752">
        <f>D12/F12</f>
        <v>1</v>
      </c>
      <c r="AB12" s="752">
        <f>D12/H12</f>
        <v>1</v>
      </c>
      <c r="AC12" s="752">
        <f>D12/J12</f>
        <v>1</v>
      </c>
    </row>
    <row r="13" spans="1:29" ht="15.75" hidden="1" thickBot="1">
      <c r="A13" s="408"/>
      <c r="B13" s="2397"/>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41"/>
      <c r="Q13" s="2723">
        <f t="shared" si="6"/>
        <v>0</v>
      </c>
      <c r="R13" s="749" t="s">
        <v>28</v>
      </c>
      <c r="S13" s="750">
        <f t="shared" si="0"/>
        <v>100</v>
      </c>
      <c r="T13" s="749" t="s">
        <v>28</v>
      </c>
      <c r="U13" s="750">
        <f t="shared" si="1"/>
        <v>100</v>
      </c>
      <c r="V13" s="749" t="s">
        <v>28</v>
      </c>
      <c r="W13" s="750">
        <f t="shared" si="2"/>
        <v>100</v>
      </c>
      <c r="X13" s="751"/>
      <c r="Y13" s="2846"/>
      <c r="Z13" s="23">
        <f t="shared" si="7"/>
        <v>0</v>
      </c>
      <c r="AA13" s="752">
        <f t="shared" si="3"/>
        <v>1</v>
      </c>
      <c r="AB13" s="752">
        <f t="shared" si="4"/>
        <v>1</v>
      </c>
      <c r="AC13" s="752">
        <f t="shared" si="5"/>
        <v>1</v>
      </c>
    </row>
    <row r="14" spans="1:29" ht="15.75" hidden="1" thickBot="1">
      <c r="A14" s="416"/>
      <c r="B14" s="2399"/>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41"/>
      <c r="Q14" s="2723">
        <f t="shared" si="6"/>
        <v>0</v>
      </c>
      <c r="R14" s="749" t="s">
        <v>28</v>
      </c>
      <c r="S14" s="750">
        <f t="shared" si="0"/>
        <v>100</v>
      </c>
      <c r="T14" s="749" t="s">
        <v>28</v>
      </c>
      <c r="U14" s="750">
        <f t="shared" si="1"/>
        <v>100</v>
      </c>
      <c r="V14" s="749" t="s">
        <v>28</v>
      </c>
      <c r="W14" s="750">
        <f t="shared" si="2"/>
        <v>100</v>
      </c>
      <c r="X14" s="751"/>
      <c r="Y14" s="2846"/>
      <c r="Z14" s="23">
        <f t="shared" si="7"/>
        <v>0</v>
      </c>
      <c r="AA14" s="752">
        <f t="shared" si="3"/>
        <v>1</v>
      </c>
      <c r="AB14" s="752">
        <f t="shared" si="4"/>
        <v>1</v>
      </c>
      <c r="AC14" s="752">
        <f t="shared" si="5"/>
        <v>1</v>
      </c>
    </row>
    <row r="15" spans="1:29" ht="99.75">
      <c r="A15" s="419" t="s">
        <v>2363</v>
      </c>
      <c r="B15" s="26" t="s">
        <v>1739</v>
      </c>
      <c r="C15" s="2401" t="str">
        <f>估价对象房地状况!C3</f>
        <v>估价对象周边居住用地比例、居住小区规模和社区发展完善程度，综合评价居住社区成熟度较好</v>
      </c>
      <c r="D15" s="420">
        <v>100</v>
      </c>
      <c r="E15" s="2738" t="str">
        <f>C15</f>
        <v>估价对象周边居住用地比例、居住小区规模和社区发展完善程度，综合评价居住社区成熟度较好</v>
      </c>
      <c r="F15" s="422">
        <f>SUMIF(76:76,E16,77:77)-SUMIF(76:76,C16,77:77)+100</f>
        <v>100</v>
      </c>
      <c r="G15" s="2738" t="str">
        <f>E15</f>
        <v>估价对象周边居住用地比例、居住小区规模和社区发展完善程度，综合评价居住社区成熟度较好</v>
      </c>
      <c r="H15" s="420">
        <f>SUMIF(76:76,G16,77:77)-SUMIF(76:76,C16,77:77)+100</f>
        <v>100</v>
      </c>
      <c r="I15" s="2738" t="str">
        <f>G15</f>
        <v>估价对象周边居住用地比例、居住小区规模和社区发展完善程度，综合评价居住社区成熟度较好</v>
      </c>
      <c r="J15" s="420">
        <f>SUMIF(76:76,I16,77:77)-SUMIF(76:76,C16,77:77)+100</f>
        <v>100</v>
      </c>
      <c r="K15" s="424"/>
      <c r="L15" s="1253"/>
      <c r="M15" s="1244"/>
      <c r="N15" s="1244"/>
      <c r="O15" s="1244"/>
      <c r="P15" s="3042" t="s">
        <v>2364</v>
      </c>
      <c r="Q15" s="2727" t="str">
        <f t="shared" si="6"/>
        <v>居住社区成熟度</v>
      </c>
      <c r="R15" s="753" t="s">
        <v>28</v>
      </c>
      <c r="S15" s="754">
        <f t="shared" si="0"/>
        <v>100</v>
      </c>
      <c r="T15" s="753" t="s">
        <v>28</v>
      </c>
      <c r="U15" s="754">
        <f t="shared" si="1"/>
        <v>100</v>
      </c>
      <c r="V15" s="753" t="s">
        <v>28</v>
      </c>
      <c r="W15" s="754">
        <f t="shared" si="2"/>
        <v>100</v>
      </c>
      <c r="X15" s="2725"/>
      <c r="Y15" s="3044" t="s">
        <v>2364</v>
      </c>
      <c r="Z15" s="2726" t="str">
        <f t="shared" si="7"/>
        <v>居住社区成熟度</v>
      </c>
      <c r="AA15" s="2728">
        <f t="shared" si="3"/>
        <v>1</v>
      </c>
      <c r="AB15" s="2728">
        <f t="shared" si="4"/>
        <v>1</v>
      </c>
      <c r="AC15" s="2728">
        <f t="shared" si="5"/>
        <v>1</v>
      </c>
    </row>
    <row r="16" spans="1:29" ht="15">
      <c r="A16" s="408"/>
      <c r="B16" s="425"/>
      <c r="C16" s="426" t="s">
        <v>30</v>
      </c>
      <c r="D16" s="427"/>
      <c r="E16" s="426" t="s">
        <v>30</v>
      </c>
      <c r="F16" s="429"/>
      <c r="G16" s="426" t="s">
        <v>30</v>
      </c>
      <c r="H16" s="430"/>
      <c r="I16" s="426" t="s">
        <v>30</v>
      </c>
      <c r="J16" s="427"/>
      <c r="K16" s="2403"/>
      <c r="L16" s="1253"/>
      <c r="M16" s="1244"/>
      <c r="N16" s="1244"/>
      <c r="O16" s="1244"/>
      <c r="P16" s="3043"/>
      <c r="Q16" s="2727"/>
      <c r="R16" s="753"/>
      <c r="S16" s="754"/>
      <c r="T16" s="753"/>
      <c r="U16" s="754"/>
      <c r="V16" s="753"/>
      <c r="W16" s="754"/>
      <c r="X16" s="2725"/>
      <c r="Y16" s="3045"/>
      <c r="Z16" s="2726"/>
      <c r="AA16" s="2728">
        <v>1</v>
      </c>
      <c r="AB16" s="2728">
        <v>1</v>
      </c>
      <c r="AC16" s="2728">
        <v>1</v>
      </c>
    </row>
    <row r="17" spans="1:29" ht="85.5">
      <c r="A17" s="408"/>
      <c r="B17" s="431" t="s">
        <v>1750</v>
      </c>
      <c r="C17" s="2404" t="str">
        <f>估价对象房地状况!C6</f>
        <v>估价对象周边道路状况、公共交通通达情况、停车便捷程度，综合评价交通便捷度较好</v>
      </c>
      <c r="D17" s="430">
        <v>100</v>
      </c>
      <c r="E17" s="2739" t="str">
        <f>C17</f>
        <v>估价对象周边道路状况、公共交通通达情况、停车便捷程度，综合评价交通便捷度较好</v>
      </c>
      <c r="F17" s="433">
        <f>SUMIF(78:78,E18,79:79)-SUMIF(78:78,C18,79:79)+100</f>
        <v>100</v>
      </c>
      <c r="G17" s="2739" t="str">
        <f>E17</f>
        <v>估价对象周边道路状况、公共交通通达情况、停车便捷程度，综合评价交通便捷度较好</v>
      </c>
      <c r="H17" s="435">
        <f>SUMIF(78:78,G18,79:79)-SUMIF(78:78,C18,79:79)+100</f>
        <v>100</v>
      </c>
      <c r="I17" s="2739" t="str">
        <f>G17</f>
        <v>估价对象周边道路状况、公共交通通达情况、停车便捷程度，综合评价交通便捷度较好</v>
      </c>
      <c r="J17" s="435">
        <f>SUMIF(78:78,I18,79:79)-SUMIF(78:78,C18,79:79)+100</f>
        <v>100</v>
      </c>
      <c r="K17" s="424"/>
      <c r="L17" s="1253"/>
      <c r="M17" s="1244"/>
      <c r="N17" s="1244"/>
      <c r="O17" s="1244"/>
      <c r="P17" s="3043"/>
      <c r="Q17" s="2727" t="str">
        <f>B17</f>
        <v>交通便捷度</v>
      </c>
      <c r="R17" s="753" t="s">
        <v>28</v>
      </c>
      <c r="S17" s="754">
        <f>F17</f>
        <v>100</v>
      </c>
      <c r="T17" s="753" t="s">
        <v>28</v>
      </c>
      <c r="U17" s="754">
        <f>H17</f>
        <v>100</v>
      </c>
      <c r="V17" s="753" t="s">
        <v>28</v>
      </c>
      <c r="W17" s="754">
        <f>J17</f>
        <v>100</v>
      </c>
      <c r="X17" s="2725"/>
      <c r="Y17" s="3045"/>
      <c r="Z17" s="2726" t="str">
        <f>Q17</f>
        <v>交通便捷度</v>
      </c>
      <c r="AA17" s="2728">
        <f t="shared" si="3"/>
        <v>1</v>
      </c>
      <c r="AB17" s="2728">
        <f t="shared" si="4"/>
        <v>1</v>
      </c>
      <c r="AC17" s="2728">
        <f t="shared" si="5"/>
        <v>1</v>
      </c>
    </row>
    <row r="18" spans="1:29" ht="15">
      <c r="A18" s="408"/>
      <c r="B18" s="436"/>
      <c r="C18" s="437" t="s">
        <v>30</v>
      </c>
      <c r="D18" s="430"/>
      <c r="E18" s="437" t="s">
        <v>30</v>
      </c>
      <c r="F18" s="433"/>
      <c r="G18" s="437" t="s">
        <v>30</v>
      </c>
      <c r="H18" s="427"/>
      <c r="I18" s="437" t="s">
        <v>30</v>
      </c>
      <c r="J18" s="427"/>
      <c r="K18" s="2403"/>
      <c r="L18" s="1253"/>
      <c r="M18" s="1244"/>
      <c r="N18" s="1244"/>
      <c r="O18" s="1244"/>
      <c r="P18" s="3043"/>
      <c r="Q18" s="2727"/>
      <c r="R18" s="753"/>
      <c r="S18" s="754"/>
      <c r="T18" s="753"/>
      <c r="U18" s="754"/>
      <c r="V18" s="753"/>
      <c r="W18" s="754"/>
      <c r="X18" s="2725"/>
      <c r="Y18" s="3045"/>
      <c r="Z18" s="2726"/>
      <c r="AA18" s="2728">
        <v>1</v>
      </c>
      <c r="AB18" s="2728">
        <v>1</v>
      </c>
      <c r="AC18" s="2728">
        <v>1</v>
      </c>
    </row>
    <row r="19" spans="1:29" ht="42.75">
      <c r="A19" s="408"/>
      <c r="B19" s="431" t="s">
        <v>1748</v>
      </c>
      <c r="C19" s="2404" t="str">
        <f>估价对象房地状况!C7</f>
        <v>估价对象所在区域公共配套设施齐备情况</v>
      </c>
      <c r="D19" s="435">
        <v>100</v>
      </c>
      <c r="E19" s="2739" t="str">
        <f>C19</f>
        <v>估价对象所在区域公共配套设施齐备情况</v>
      </c>
      <c r="F19" s="439">
        <f>SUMIF(80:80,E20,81:81)-SUMIF(80:80,C20,81:81)+100</f>
        <v>100</v>
      </c>
      <c r="G19" s="2739" t="str">
        <f>E19</f>
        <v>估价对象所在区域公共配套设施齐备情况</v>
      </c>
      <c r="H19" s="430">
        <f>SUMIF(80:80,G20,81:81)-SUMIF(80:80,C20,81:81)+100</f>
        <v>100</v>
      </c>
      <c r="I19" s="2739" t="str">
        <f>G19</f>
        <v>估价对象所在区域公共配套设施齐备情况</v>
      </c>
      <c r="J19" s="430">
        <f>SUMIF(80:80,I20,81:81)-SUMIF(80:80,C20,81:81)+100</f>
        <v>100</v>
      </c>
      <c r="K19" s="424"/>
      <c r="L19" s="1253"/>
      <c r="M19" s="1244"/>
      <c r="N19" s="1244"/>
      <c r="O19" s="1244"/>
      <c r="P19" s="3043"/>
      <c r="Q19" s="2727" t="str">
        <f>B19</f>
        <v>公共配套设施</v>
      </c>
      <c r="R19" s="753" t="s">
        <v>28</v>
      </c>
      <c r="S19" s="754">
        <f>F19</f>
        <v>100</v>
      </c>
      <c r="T19" s="753" t="s">
        <v>28</v>
      </c>
      <c r="U19" s="754">
        <f>H19</f>
        <v>100</v>
      </c>
      <c r="V19" s="753" t="s">
        <v>28</v>
      </c>
      <c r="W19" s="754">
        <f>J19</f>
        <v>100</v>
      </c>
      <c r="X19" s="2725"/>
      <c r="Y19" s="3045"/>
      <c r="Z19" s="2726" t="str">
        <f>Q19</f>
        <v>公共配套设施</v>
      </c>
      <c r="AA19" s="2728">
        <f t="shared" si="3"/>
        <v>1</v>
      </c>
      <c r="AB19" s="2728">
        <f t="shared" si="4"/>
        <v>1</v>
      </c>
      <c r="AC19" s="2728">
        <f t="shared" si="5"/>
        <v>1</v>
      </c>
    </row>
    <row r="20" spans="1:29" ht="15">
      <c r="A20" s="408"/>
      <c r="B20" s="436"/>
      <c r="C20" s="426" t="s">
        <v>30</v>
      </c>
      <c r="D20" s="427"/>
      <c r="E20" s="426" t="s">
        <v>30</v>
      </c>
      <c r="F20" s="429"/>
      <c r="G20" s="426" t="s">
        <v>30</v>
      </c>
      <c r="H20" s="427"/>
      <c r="I20" s="426" t="s">
        <v>30</v>
      </c>
      <c r="J20" s="427"/>
      <c r="K20" s="2403"/>
      <c r="L20" s="1253"/>
      <c r="M20" s="1244"/>
      <c r="N20" s="1244"/>
      <c r="O20" s="1244"/>
      <c r="P20" s="3043"/>
      <c r="Q20" s="2727"/>
      <c r="R20" s="753"/>
      <c r="S20" s="754"/>
      <c r="T20" s="753"/>
      <c r="U20" s="754"/>
      <c r="V20" s="753"/>
      <c r="W20" s="754"/>
      <c r="X20" s="2725"/>
      <c r="Y20" s="3045"/>
      <c r="Z20" s="2726"/>
      <c r="AA20" s="2728">
        <v>1</v>
      </c>
      <c r="AB20" s="2728">
        <v>1</v>
      </c>
      <c r="AC20" s="2728">
        <v>1</v>
      </c>
    </row>
    <row r="21" spans="1:29" ht="28.5">
      <c r="A21" s="408"/>
      <c r="B21" s="2406" t="s">
        <v>1751</v>
      </c>
      <c r="C21" s="2404" t="str">
        <f>估价对象房地状况!C8</f>
        <v>估价对象所在区域基础设施水平</v>
      </c>
      <c r="D21" s="435">
        <v>100</v>
      </c>
      <c r="E21" s="2739" t="str">
        <f>C21</f>
        <v>估价对象所在区域基础设施水平</v>
      </c>
      <c r="F21" s="439">
        <f>SUMIF(82:82,E22,83:83)-SUMIF(82:82,C22,83:83)+100</f>
        <v>100</v>
      </c>
      <c r="G21" s="2739" t="str">
        <f>E21</f>
        <v>估价对象所在区域基础设施水平</v>
      </c>
      <c r="H21" s="430">
        <f>SUMIF(82:82,G22,83:83)-SUMIF(82:82,C22,83:83)+100</f>
        <v>100</v>
      </c>
      <c r="I21" s="2739" t="str">
        <f>G21</f>
        <v>估价对象所在区域基础设施水平</v>
      </c>
      <c r="J21" s="430">
        <f>SUMIF(82:82,I22,83:83)-SUMIF(82:82,C22,83:83)+100</f>
        <v>100</v>
      </c>
      <c r="K21" s="424"/>
      <c r="L21" s="1253"/>
      <c r="M21" s="1244"/>
      <c r="N21" s="1244"/>
      <c r="O21" s="1244"/>
      <c r="P21" s="3043"/>
      <c r="Q21" s="2727" t="str">
        <f>B21</f>
        <v>基础设施水平</v>
      </c>
      <c r="R21" s="753" t="s">
        <v>28</v>
      </c>
      <c r="S21" s="754">
        <f>F21</f>
        <v>100</v>
      </c>
      <c r="T21" s="753" t="s">
        <v>28</v>
      </c>
      <c r="U21" s="754">
        <f>H21</f>
        <v>100</v>
      </c>
      <c r="V21" s="753" t="s">
        <v>28</v>
      </c>
      <c r="W21" s="754">
        <f>J21</f>
        <v>100</v>
      </c>
      <c r="X21" s="2725"/>
      <c r="Y21" s="3045"/>
      <c r="Z21" s="2726" t="str">
        <f>Q21</f>
        <v>基础设施水平</v>
      </c>
      <c r="AA21" s="2728">
        <f t="shared" ref="AA21" si="8">D21/F21</f>
        <v>1</v>
      </c>
      <c r="AB21" s="2728">
        <f t="shared" ref="AB21" si="9">D21/H21</f>
        <v>1</v>
      </c>
      <c r="AC21" s="2728">
        <f t="shared" ref="AC21" si="10">D21/J21</f>
        <v>1</v>
      </c>
    </row>
    <row r="22" spans="1:29" ht="15">
      <c r="A22" s="408"/>
      <c r="B22" s="2406"/>
      <c r="C22" s="437" t="s">
        <v>2838</v>
      </c>
      <c r="D22" s="427"/>
      <c r="E22" s="437" t="s">
        <v>2838</v>
      </c>
      <c r="F22" s="429"/>
      <c r="G22" s="437" t="s">
        <v>2838</v>
      </c>
      <c r="H22" s="427"/>
      <c r="I22" s="437" t="s">
        <v>2838</v>
      </c>
      <c r="J22" s="427"/>
      <c r="K22" s="2407"/>
      <c r="L22" s="1253"/>
      <c r="M22" s="1244"/>
      <c r="N22" s="1244"/>
      <c r="O22" s="1244"/>
      <c r="P22" s="3043"/>
      <c r="Q22" s="2727"/>
      <c r="R22" s="753"/>
      <c r="S22" s="754"/>
      <c r="T22" s="753"/>
      <c r="U22" s="754"/>
      <c r="V22" s="753"/>
      <c r="W22" s="754"/>
      <c r="X22" s="2725"/>
      <c r="Y22" s="3045"/>
      <c r="Z22" s="2726"/>
      <c r="AA22" s="2728">
        <v>1</v>
      </c>
      <c r="AB22" s="2728">
        <v>1</v>
      </c>
      <c r="AC22" s="2728">
        <v>1</v>
      </c>
    </row>
    <row r="23" spans="1:29" ht="57">
      <c r="A23" s="408"/>
      <c r="B23" s="431" t="s">
        <v>1755</v>
      </c>
      <c r="C23" s="2404" t="str">
        <f>估价对象房地状况!C9</f>
        <v>区域自然环境：；人文环境；综合评价环境状况一般</v>
      </c>
      <c r="D23" s="430">
        <v>100</v>
      </c>
      <c r="E23" s="2739" t="str">
        <f>C23</f>
        <v>区域自然环境：；人文环境；综合评价环境状况一般</v>
      </c>
      <c r="F23" s="433">
        <f>SUMIF(84:84,E24,85:85)-SUMIF(84:84,C24,85:85)+100</f>
        <v>100</v>
      </c>
      <c r="G23" s="2739" t="str">
        <f>E23</f>
        <v>区域自然环境：；人文环境；综合评价环境状况一般</v>
      </c>
      <c r="H23" s="430">
        <f>SUMIF(84:84,G24,85:85)-SUMIF(84:84,C24,85:85)+100</f>
        <v>100</v>
      </c>
      <c r="I23" s="2739" t="str">
        <f>G23</f>
        <v>区域自然环境：；人文环境；综合评价环境状况一般</v>
      </c>
      <c r="J23" s="430">
        <f>SUMIF(84:84,I24,85:85)-SUMIF(84:84,C24,85:85)+100</f>
        <v>100</v>
      </c>
      <c r="K23" s="424"/>
      <c r="L23" s="1253"/>
      <c r="M23" s="1244"/>
      <c r="N23" s="1244"/>
      <c r="O23" s="1244"/>
      <c r="P23" s="3043"/>
      <c r="Q23" s="2727" t="str">
        <f>B23</f>
        <v>自然及人文环境</v>
      </c>
      <c r="R23" s="753" t="s">
        <v>28</v>
      </c>
      <c r="S23" s="754">
        <f>F23</f>
        <v>100</v>
      </c>
      <c r="T23" s="753" t="s">
        <v>28</v>
      </c>
      <c r="U23" s="754">
        <f>H23</f>
        <v>100</v>
      </c>
      <c r="V23" s="753" t="s">
        <v>28</v>
      </c>
      <c r="W23" s="754">
        <f>J23</f>
        <v>100</v>
      </c>
      <c r="X23" s="2725"/>
      <c r="Y23" s="3045"/>
      <c r="Z23" s="2726" t="str">
        <f>Q23</f>
        <v>自然及人文环境</v>
      </c>
      <c r="AA23" s="2728">
        <f t="shared" si="3"/>
        <v>1</v>
      </c>
      <c r="AB23" s="2728">
        <f t="shared" si="4"/>
        <v>1</v>
      </c>
      <c r="AC23" s="2728">
        <f t="shared" si="5"/>
        <v>1</v>
      </c>
    </row>
    <row r="24" spans="1:29" ht="15">
      <c r="A24" s="408"/>
      <c r="B24" s="436"/>
      <c r="C24" s="426" t="s">
        <v>31</v>
      </c>
      <c r="D24" s="427"/>
      <c r="E24" s="426" t="s">
        <v>31</v>
      </c>
      <c r="F24" s="429"/>
      <c r="G24" s="426" t="s">
        <v>31</v>
      </c>
      <c r="H24" s="427"/>
      <c r="I24" s="426" t="s">
        <v>31</v>
      </c>
      <c r="J24" s="427"/>
      <c r="K24" s="2403"/>
      <c r="L24" s="1253"/>
      <c r="M24" s="1244"/>
      <c r="N24" s="1244"/>
      <c r="O24" s="1244"/>
      <c r="P24" s="3043"/>
      <c r="Q24" s="2727"/>
      <c r="R24" s="753"/>
      <c r="S24" s="754"/>
      <c r="T24" s="753"/>
      <c r="U24" s="754"/>
      <c r="V24" s="753"/>
      <c r="W24" s="754"/>
      <c r="X24" s="2725"/>
      <c r="Y24" s="3045"/>
      <c r="Z24" s="2726"/>
      <c r="AA24" s="2728">
        <v>1</v>
      </c>
      <c r="AB24" s="2728">
        <v>1</v>
      </c>
      <c r="AC24" s="2728">
        <v>1</v>
      </c>
    </row>
    <row r="25" spans="1:29" ht="15">
      <c r="A25" s="408"/>
      <c r="B25" s="2724" t="s">
        <v>2365</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43"/>
      <c r="Q25" s="2727" t="str">
        <f t="shared" ref="Q25:Q46" si="11">B25</f>
        <v>楼层-1</v>
      </c>
      <c r="R25" s="753" t="s">
        <v>28</v>
      </c>
      <c r="S25" s="754">
        <f>F25</f>
        <v>100</v>
      </c>
      <c r="T25" s="753" t="s">
        <v>28</v>
      </c>
      <c r="U25" s="754">
        <f>H25</f>
        <v>100</v>
      </c>
      <c r="V25" s="753" t="s">
        <v>28</v>
      </c>
      <c r="W25" s="754">
        <f>J25</f>
        <v>100</v>
      </c>
      <c r="X25" s="2725"/>
      <c r="Y25" s="3045"/>
      <c r="Z25" s="2726" t="str">
        <f>Q25</f>
        <v>楼层-1</v>
      </c>
      <c r="AA25" s="2728">
        <f t="shared" si="3"/>
        <v>1</v>
      </c>
      <c r="AB25" s="2728">
        <f t="shared" si="4"/>
        <v>1</v>
      </c>
      <c r="AC25" s="2728">
        <f t="shared" si="5"/>
        <v>1</v>
      </c>
    </row>
    <row r="26" spans="1:29" ht="15">
      <c r="A26" s="408"/>
      <c r="B26" s="2724" t="s">
        <v>2366</v>
      </c>
      <c r="C26" s="441" t="s">
        <v>2851</v>
      </c>
      <c r="D26" s="415">
        <v>100</v>
      </c>
      <c r="E26" s="2408" t="s">
        <v>2854</v>
      </c>
      <c r="F26" s="442">
        <f>SUMIF(88:88,E26,89:89)-SUMIF(88:88,C26,89:89)+100</f>
        <v>99</v>
      </c>
      <c r="G26" s="2409" t="s">
        <v>2851</v>
      </c>
      <c r="H26" s="415">
        <f>SUMIF(88:88,G26,89:89)-SUMIF(88:88,C26,89:89)+100</f>
        <v>100</v>
      </c>
      <c r="I26" s="2408" t="s">
        <v>2847</v>
      </c>
      <c r="J26" s="415">
        <f>SUMIF(88:88,I26,89:89)-SUMIF(88:88,C26,89:89)+100</f>
        <v>101.5</v>
      </c>
      <c r="K26" s="406">
        <v>0.5</v>
      </c>
      <c r="L26" s="1253"/>
      <c r="M26" s="1244"/>
      <c r="N26" s="1244"/>
      <c r="O26" s="1244"/>
      <c r="P26" s="3043"/>
      <c r="Q26" s="2727" t="str">
        <f t="shared" si="11"/>
        <v>朝向</v>
      </c>
      <c r="R26" s="753" t="s">
        <v>28</v>
      </c>
      <c r="S26" s="754">
        <f>F26</f>
        <v>99</v>
      </c>
      <c r="T26" s="753" t="s">
        <v>28</v>
      </c>
      <c r="U26" s="754">
        <f>H26</f>
        <v>100</v>
      </c>
      <c r="V26" s="753" t="s">
        <v>28</v>
      </c>
      <c r="W26" s="754">
        <f>J26</f>
        <v>101.5</v>
      </c>
      <c r="X26" s="2725"/>
      <c r="Y26" s="3045"/>
      <c r="Z26" s="2726" t="str">
        <f>Q26</f>
        <v>朝向</v>
      </c>
      <c r="AA26" s="2728">
        <f t="shared" si="3"/>
        <v>1.0101010101010102</v>
      </c>
      <c r="AB26" s="2728">
        <f t="shared" si="4"/>
        <v>1</v>
      </c>
      <c r="AC26" s="2728">
        <f t="shared" si="5"/>
        <v>0.98522167487684731</v>
      </c>
    </row>
    <row r="27" spans="1:29" s="35" customFormat="1" ht="15">
      <c r="A27" s="411"/>
      <c r="B27" s="2397" t="s">
        <v>2367</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43"/>
      <c r="Q27" s="2723" t="str">
        <f t="shared" si="11"/>
        <v>道路级别</v>
      </c>
      <c r="R27" s="749" t="s">
        <v>28</v>
      </c>
      <c r="S27" s="750">
        <f>F27</f>
        <v>100</v>
      </c>
      <c r="T27" s="749" t="s">
        <v>28</v>
      </c>
      <c r="U27" s="750">
        <f>H27</f>
        <v>100</v>
      </c>
      <c r="V27" s="749" t="s">
        <v>28</v>
      </c>
      <c r="W27" s="750">
        <f>J27</f>
        <v>100</v>
      </c>
      <c r="X27" s="751"/>
      <c r="Y27" s="3045"/>
      <c r="Z27" s="23" t="str">
        <f>Q27</f>
        <v>道路级别</v>
      </c>
      <c r="AA27" s="2728">
        <f>D27/F27</f>
        <v>1</v>
      </c>
      <c r="AB27" s="2728">
        <f>D27/H27</f>
        <v>1</v>
      </c>
      <c r="AC27" s="2728">
        <f>D27/J27</f>
        <v>1</v>
      </c>
    </row>
    <row r="28" spans="1:29" ht="15">
      <c r="A28" s="408"/>
      <c r="B28" s="2741" t="s">
        <v>2843</v>
      </c>
      <c r="C28" s="2742" t="s">
        <v>2841</v>
      </c>
      <c r="D28" s="415">
        <v>100</v>
      </c>
      <c r="E28" s="2742" t="s">
        <v>2839</v>
      </c>
      <c r="F28" s="442">
        <f>SUMIF(92:92,E28,93:93)-SUMIF(92:92,C28,93:93)+100</f>
        <v>98</v>
      </c>
      <c r="G28" s="2742" t="s">
        <v>2842</v>
      </c>
      <c r="H28" s="415">
        <f>SUMIF(92:92,G28,93:93)-SUMIF(92:92,C28,93:93)+100</f>
        <v>102</v>
      </c>
      <c r="I28" s="2742" t="s">
        <v>2842</v>
      </c>
      <c r="J28" s="415">
        <f>SUMIF(92:92,I28,93:93)-SUMIF(92:92,C28,93:93)+100</f>
        <v>102</v>
      </c>
      <c r="K28" s="2398"/>
      <c r="L28" s="1253"/>
      <c r="M28" s="1244"/>
      <c r="N28" s="1244"/>
      <c r="O28" s="1244"/>
      <c r="P28" s="3043"/>
      <c r="Q28" s="2727" t="str">
        <f t="shared" si="11"/>
        <v>楼层</v>
      </c>
      <c r="R28" s="753" t="s">
        <v>28</v>
      </c>
      <c r="S28" s="754">
        <f t="shared" ref="S28:S46" si="12">F28</f>
        <v>98</v>
      </c>
      <c r="T28" s="753" t="s">
        <v>28</v>
      </c>
      <c r="U28" s="754">
        <f t="shared" ref="U28:U46" si="13">H28</f>
        <v>102</v>
      </c>
      <c r="V28" s="753" t="s">
        <v>28</v>
      </c>
      <c r="W28" s="754">
        <f t="shared" ref="W28:W46" si="14">J28</f>
        <v>102</v>
      </c>
      <c r="X28" s="2725"/>
      <c r="Y28" s="3045"/>
      <c r="Z28" s="2726" t="str">
        <f t="shared" ref="Z28:Z46" si="15">Q28</f>
        <v>楼层</v>
      </c>
      <c r="AA28" s="2728">
        <f t="shared" si="3"/>
        <v>1.0204081632653061</v>
      </c>
      <c r="AB28" s="2728">
        <f t="shared" si="4"/>
        <v>0.98039215686274506</v>
      </c>
      <c r="AC28" s="2728">
        <f t="shared" si="5"/>
        <v>0.98039215686274506</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43"/>
      <c r="Q29" s="2727">
        <f t="shared" si="11"/>
        <v>111</v>
      </c>
      <c r="R29" s="753" t="s">
        <v>28</v>
      </c>
      <c r="S29" s="754">
        <f t="shared" si="12"/>
        <v>100</v>
      </c>
      <c r="T29" s="753" t="s">
        <v>28</v>
      </c>
      <c r="U29" s="754">
        <f t="shared" si="13"/>
        <v>100</v>
      </c>
      <c r="V29" s="753" t="s">
        <v>28</v>
      </c>
      <c r="W29" s="754">
        <f t="shared" si="14"/>
        <v>100</v>
      </c>
      <c r="X29" s="2725"/>
      <c r="Y29" s="3045"/>
      <c r="Z29" s="2726">
        <f t="shared" si="15"/>
        <v>111</v>
      </c>
      <c r="AA29" s="2728">
        <f t="shared" si="3"/>
        <v>1</v>
      </c>
      <c r="AB29" s="2728">
        <f t="shared" si="4"/>
        <v>1</v>
      </c>
      <c r="AC29" s="2728">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43"/>
      <c r="Q30" s="2727">
        <f t="shared" si="11"/>
        <v>111</v>
      </c>
      <c r="R30" s="753" t="s">
        <v>28</v>
      </c>
      <c r="S30" s="754">
        <f t="shared" si="12"/>
        <v>100</v>
      </c>
      <c r="T30" s="753" t="s">
        <v>28</v>
      </c>
      <c r="U30" s="754">
        <f t="shared" si="13"/>
        <v>100</v>
      </c>
      <c r="V30" s="753" t="s">
        <v>28</v>
      </c>
      <c r="W30" s="754">
        <f t="shared" si="14"/>
        <v>100</v>
      </c>
      <c r="X30" s="2725"/>
      <c r="Y30" s="3045"/>
      <c r="Z30" s="2726">
        <f t="shared" si="15"/>
        <v>111</v>
      </c>
      <c r="AA30" s="2728">
        <f t="shared" si="3"/>
        <v>1</v>
      </c>
      <c r="AB30" s="2728">
        <f t="shared" si="4"/>
        <v>1</v>
      </c>
      <c r="AC30" s="2728">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43"/>
      <c r="Q31" s="2727">
        <f t="shared" si="11"/>
        <v>111</v>
      </c>
      <c r="R31" s="753" t="s">
        <v>28</v>
      </c>
      <c r="S31" s="754">
        <f t="shared" si="12"/>
        <v>100</v>
      </c>
      <c r="T31" s="753" t="s">
        <v>28</v>
      </c>
      <c r="U31" s="754">
        <f t="shared" si="13"/>
        <v>100</v>
      </c>
      <c r="V31" s="753" t="s">
        <v>28</v>
      </c>
      <c r="W31" s="754">
        <f t="shared" si="14"/>
        <v>100</v>
      </c>
      <c r="X31" s="2725"/>
      <c r="Y31" s="3045"/>
      <c r="Z31" s="2726">
        <f t="shared" si="15"/>
        <v>111</v>
      </c>
      <c r="AA31" s="2728">
        <f t="shared" si="3"/>
        <v>1</v>
      </c>
      <c r="AB31" s="2728">
        <f t="shared" si="4"/>
        <v>1</v>
      </c>
      <c r="AC31" s="2728">
        <f t="shared" si="5"/>
        <v>1</v>
      </c>
    </row>
    <row r="32" spans="1:29" ht="15">
      <c r="A32" s="419" t="s">
        <v>2368</v>
      </c>
      <c r="B32" s="28" t="s">
        <v>2369</v>
      </c>
      <c r="C32" s="2411" t="s">
        <v>2858</v>
      </c>
      <c r="D32" s="448">
        <v>100</v>
      </c>
      <c r="E32" s="2411" t="s">
        <v>2858</v>
      </c>
      <c r="F32" s="442">
        <f>SUMIF(100:100,E32,101:101)-SUMIF(100:100,C32,101:101)+100</f>
        <v>100</v>
      </c>
      <c r="G32" s="2411" t="s">
        <v>2858</v>
      </c>
      <c r="H32" s="448">
        <f>SUMIF(100:100,G32,101:101)-SUMIF(100:100,C32,101:101)+100</f>
        <v>100</v>
      </c>
      <c r="I32" s="2411" t="s">
        <v>2858</v>
      </c>
      <c r="J32" s="415">
        <f>SUMIF(100:100,I32,101:101)-SUMIF(100:100,C32,101:101)+100</f>
        <v>100</v>
      </c>
      <c r="K32" s="406">
        <v>1</v>
      </c>
      <c r="L32" s="1253"/>
      <c r="M32" s="1244"/>
      <c r="N32" s="1244"/>
      <c r="O32" s="1244"/>
      <c r="P32" s="3046" t="s">
        <v>2370</v>
      </c>
      <c r="Q32" s="2727" t="str">
        <f t="shared" si="11"/>
        <v>建筑类型</v>
      </c>
      <c r="R32" s="753" t="s">
        <v>28</v>
      </c>
      <c r="S32" s="754">
        <f t="shared" si="12"/>
        <v>100</v>
      </c>
      <c r="T32" s="753" t="s">
        <v>28</v>
      </c>
      <c r="U32" s="754">
        <f t="shared" si="13"/>
        <v>100</v>
      </c>
      <c r="V32" s="753" t="s">
        <v>28</v>
      </c>
      <c r="W32" s="754">
        <f t="shared" si="14"/>
        <v>100</v>
      </c>
      <c r="X32" s="2725"/>
      <c r="Y32" s="3049" t="s">
        <v>2370</v>
      </c>
      <c r="Z32" s="2726" t="str">
        <f t="shared" si="15"/>
        <v>建筑类型</v>
      </c>
      <c r="AA32" s="2728">
        <f t="shared" si="3"/>
        <v>1</v>
      </c>
      <c r="AB32" s="2728">
        <f t="shared" si="4"/>
        <v>1</v>
      </c>
      <c r="AC32" s="2728">
        <f t="shared" si="5"/>
        <v>1</v>
      </c>
    </row>
    <row r="33" spans="1:29" s="452" customFormat="1" ht="15">
      <c r="A33" s="449"/>
      <c r="B33" s="2724" t="s">
        <v>2371</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8"/>
      <c r="L33" s="1251"/>
      <c r="M33" s="1254"/>
      <c r="N33" s="1254"/>
      <c r="O33" s="1254"/>
      <c r="P33" s="3047"/>
      <c r="Q33" s="755" t="str">
        <f t="shared" si="11"/>
        <v>项目建筑规模</v>
      </c>
      <c r="R33" s="756" t="s">
        <v>28</v>
      </c>
      <c r="S33" s="757">
        <f t="shared" si="12"/>
        <v>100</v>
      </c>
      <c r="T33" s="756" t="s">
        <v>28</v>
      </c>
      <c r="U33" s="757">
        <f t="shared" si="13"/>
        <v>100</v>
      </c>
      <c r="V33" s="756" t="s">
        <v>28</v>
      </c>
      <c r="W33" s="757">
        <f t="shared" si="14"/>
        <v>100</v>
      </c>
      <c r="X33" s="758"/>
      <c r="Y33" s="3049"/>
      <c r="Z33" s="759" t="str">
        <f t="shared" si="15"/>
        <v>项目建筑规模</v>
      </c>
      <c r="AA33" s="2728">
        <f t="shared" si="3"/>
        <v>1</v>
      </c>
      <c r="AB33" s="2728">
        <f t="shared" si="4"/>
        <v>1</v>
      </c>
      <c r="AC33" s="2728">
        <f t="shared" si="5"/>
        <v>1</v>
      </c>
    </row>
    <row r="34" spans="1:29" ht="15">
      <c r="A34" s="453"/>
      <c r="B34" s="2724" t="s">
        <v>2372</v>
      </c>
      <c r="C34" s="2413" t="s">
        <v>2860</v>
      </c>
      <c r="D34" s="415">
        <v>100</v>
      </c>
      <c r="E34" s="2413" t="s">
        <v>2860</v>
      </c>
      <c r="F34" s="442">
        <f>SUMIF(105:105,E34,106:106)-SUMIF(105:105,C34,106:106)+100</f>
        <v>100</v>
      </c>
      <c r="G34" s="2413" t="s">
        <v>2860</v>
      </c>
      <c r="H34" s="415">
        <f>SUMIF(105:105,G34,106:106)-SUMIF(105:105,C34,106:106)+100</f>
        <v>100</v>
      </c>
      <c r="I34" s="2413" t="s">
        <v>2860</v>
      </c>
      <c r="J34" s="415">
        <f>SUMIF(105:105,I34,106:106)-SUMIF(105:105,C34,106:106)+100</f>
        <v>100</v>
      </c>
      <c r="K34" s="406">
        <v>1</v>
      </c>
      <c r="L34" s="1253"/>
      <c r="M34" s="1244"/>
      <c r="N34" s="1244"/>
      <c r="O34" s="1244"/>
      <c r="P34" s="3047"/>
      <c r="Q34" s="2727" t="str">
        <f t="shared" si="11"/>
        <v>建筑结构</v>
      </c>
      <c r="R34" s="753" t="s">
        <v>28</v>
      </c>
      <c r="S34" s="754">
        <f t="shared" si="12"/>
        <v>100</v>
      </c>
      <c r="T34" s="753" t="s">
        <v>28</v>
      </c>
      <c r="U34" s="754">
        <f t="shared" si="13"/>
        <v>100</v>
      </c>
      <c r="V34" s="753" t="s">
        <v>28</v>
      </c>
      <c r="W34" s="754">
        <f t="shared" si="14"/>
        <v>100</v>
      </c>
      <c r="X34" s="2725"/>
      <c r="Y34" s="3049"/>
      <c r="Z34" s="2726" t="str">
        <f t="shared" si="15"/>
        <v>建筑结构</v>
      </c>
      <c r="AA34" s="2728">
        <f t="shared" si="3"/>
        <v>1</v>
      </c>
      <c r="AB34" s="2728">
        <f t="shared" si="4"/>
        <v>1</v>
      </c>
      <c r="AC34" s="2728">
        <f t="shared" si="5"/>
        <v>1</v>
      </c>
    </row>
    <row r="35" spans="1:29" ht="15">
      <c r="A35" s="453"/>
      <c r="B35" s="2724" t="s">
        <v>2373</v>
      </c>
      <c r="C35" s="2409" t="s">
        <v>30</v>
      </c>
      <c r="D35" s="415">
        <v>100</v>
      </c>
      <c r="E35" s="2409" t="s">
        <v>30</v>
      </c>
      <c r="F35" s="442">
        <f>SUMIF(107:107,E35,108:108)-SUMIF(107:107,C35,108:108)+100</f>
        <v>100</v>
      </c>
      <c r="G35" s="2409" t="s">
        <v>30</v>
      </c>
      <c r="H35" s="415">
        <f>SUMIF(107:107,G35,108:108)-SUMIF(107:107,C35,108:108)+100</f>
        <v>100</v>
      </c>
      <c r="I35" s="2409" t="s">
        <v>30</v>
      </c>
      <c r="J35" s="415">
        <f>SUMIF(107:107,I35,108:108)-SUMIF(107:107,C35,108:108)+100</f>
        <v>100</v>
      </c>
      <c r="K35" s="406">
        <v>1</v>
      </c>
      <c r="L35" s="1253"/>
      <c r="M35" s="1244"/>
      <c r="N35" s="1244"/>
      <c r="O35" s="1244"/>
      <c r="P35" s="3047"/>
      <c r="Q35" s="2727" t="str">
        <f t="shared" si="11"/>
        <v>建筑品质</v>
      </c>
      <c r="R35" s="753" t="s">
        <v>28</v>
      </c>
      <c r="S35" s="754">
        <f t="shared" si="12"/>
        <v>100</v>
      </c>
      <c r="T35" s="753" t="s">
        <v>28</v>
      </c>
      <c r="U35" s="754">
        <f t="shared" si="13"/>
        <v>100</v>
      </c>
      <c r="V35" s="753" t="s">
        <v>28</v>
      </c>
      <c r="W35" s="754">
        <f t="shared" si="14"/>
        <v>100</v>
      </c>
      <c r="X35" s="2725"/>
      <c r="Y35" s="3049"/>
      <c r="Z35" s="2726" t="str">
        <f t="shared" si="15"/>
        <v>建筑品质</v>
      </c>
      <c r="AA35" s="2728">
        <f t="shared" si="3"/>
        <v>1</v>
      </c>
      <c r="AB35" s="2728">
        <f t="shared" si="4"/>
        <v>1</v>
      </c>
      <c r="AC35" s="2728">
        <f t="shared" si="5"/>
        <v>1</v>
      </c>
    </row>
    <row r="36" spans="1:29" ht="15">
      <c r="A36" s="453"/>
      <c r="B36" s="2724" t="s">
        <v>2374</v>
      </c>
      <c r="C36" s="2409" t="s">
        <v>2869</v>
      </c>
      <c r="D36" s="415">
        <v>100</v>
      </c>
      <c r="E36" s="2409" t="s">
        <v>2869</v>
      </c>
      <c r="F36" s="442">
        <f>SUMIF(109:109,E36,110:110)-SUMIF(109:109,C36,110:110)+100</f>
        <v>100</v>
      </c>
      <c r="G36" s="2409" t="s">
        <v>2869</v>
      </c>
      <c r="H36" s="415">
        <f>SUMIF(109:109,G36,110:110)-SUMIF(109:109,C36,110:110)+100</f>
        <v>100</v>
      </c>
      <c r="I36" s="2409" t="s">
        <v>2869</v>
      </c>
      <c r="J36" s="415">
        <f>SUMIF(109:109,I36,110:110)-SUMIF(109:109,C36,110:110)+100</f>
        <v>100</v>
      </c>
      <c r="K36" s="406">
        <v>2</v>
      </c>
      <c r="L36" s="1253"/>
      <c r="M36" s="1244"/>
      <c r="N36" s="1244"/>
      <c r="O36" s="1244"/>
      <c r="P36" s="3047"/>
      <c r="Q36" s="2727" t="str">
        <f t="shared" si="11"/>
        <v>公共部分装修</v>
      </c>
      <c r="R36" s="753" t="s">
        <v>28</v>
      </c>
      <c r="S36" s="754">
        <f t="shared" si="12"/>
        <v>100</v>
      </c>
      <c r="T36" s="753" t="s">
        <v>28</v>
      </c>
      <c r="U36" s="754">
        <f t="shared" si="13"/>
        <v>100</v>
      </c>
      <c r="V36" s="753" t="s">
        <v>28</v>
      </c>
      <c r="W36" s="754">
        <f t="shared" si="14"/>
        <v>100</v>
      </c>
      <c r="X36" s="2725"/>
      <c r="Y36" s="3049"/>
      <c r="Z36" s="2726" t="str">
        <f t="shared" si="15"/>
        <v>公共部分装修</v>
      </c>
      <c r="AA36" s="2728">
        <f t="shared" si="3"/>
        <v>1</v>
      </c>
      <c r="AB36" s="2728">
        <f t="shared" si="4"/>
        <v>1</v>
      </c>
      <c r="AC36" s="2728">
        <f t="shared" si="5"/>
        <v>1</v>
      </c>
    </row>
    <row r="37" spans="1:29" s="35" customFormat="1" ht="15">
      <c r="A37" s="454"/>
      <c r="B37" s="2724" t="s">
        <v>2375</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5"/>
      <c r="M37" s="1246"/>
      <c r="N37" s="1246"/>
      <c r="O37" s="1246"/>
      <c r="P37" s="3047"/>
      <c r="Q37" s="2723" t="str">
        <f t="shared" si="11"/>
        <v>成新度</v>
      </c>
      <c r="R37" s="749" t="s">
        <v>28</v>
      </c>
      <c r="S37" s="750">
        <f t="shared" si="12"/>
        <v>100</v>
      </c>
      <c r="T37" s="749" t="s">
        <v>28</v>
      </c>
      <c r="U37" s="750">
        <f t="shared" si="13"/>
        <v>100</v>
      </c>
      <c r="V37" s="749" t="s">
        <v>28</v>
      </c>
      <c r="W37" s="750">
        <f t="shared" si="14"/>
        <v>100</v>
      </c>
      <c r="X37" s="751"/>
      <c r="Y37" s="3049"/>
      <c r="Z37" s="23" t="str">
        <f t="shared" si="15"/>
        <v>成新度</v>
      </c>
      <c r="AA37" s="752">
        <f t="shared" si="3"/>
        <v>1</v>
      </c>
      <c r="AB37" s="752">
        <f t="shared" si="4"/>
        <v>1</v>
      </c>
      <c r="AC37" s="752">
        <f t="shared" si="5"/>
        <v>1</v>
      </c>
    </row>
    <row r="38" spans="1:29" ht="15">
      <c r="A38" s="453"/>
      <c r="B38" s="2724" t="s">
        <v>2376</v>
      </c>
      <c r="C38" s="2409" t="s">
        <v>30</v>
      </c>
      <c r="D38" s="415">
        <v>100</v>
      </c>
      <c r="E38" s="2409" t="s">
        <v>30</v>
      </c>
      <c r="F38" s="442">
        <f>SUMIF(114:114,E38,115:115)-SUMIF(114:114,C38,115:115)+100</f>
        <v>100</v>
      </c>
      <c r="G38" s="2409" t="s">
        <v>30</v>
      </c>
      <c r="H38" s="415">
        <f>SUMIF(114:114,G38,115:115)-SUMIF(114:114,C38,115:115)+100</f>
        <v>100</v>
      </c>
      <c r="I38" s="2409" t="s">
        <v>30</v>
      </c>
      <c r="J38" s="415">
        <f>SUMIF(114:114,I38,115:115)-SUMIF(114:114,C38,115:115)+100</f>
        <v>100</v>
      </c>
      <c r="K38" s="406">
        <v>1</v>
      </c>
      <c r="L38" s="1253"/>
      <c r="M38" s="1244"/>
      <c r="N38" s="1244"/>
      <c r="O38" s="1244"/>
      <c r="P38" s="3047" t="s">
        <v>2370</v>
      </c>
      <c r="Q38" s="2727" t="str">
        <f t="shared" si="11"/>
        <v>物业管理</v>
      </c>
      <c r="R38" s="753" t="s">
        <v>28</v>
      </c>
      <c r="S38" s="754">
        <f t="shared" si="12"/>
        <v>100</v>
      </c>
      <c r="T38" s="753" t="s">
        <v>28</v>
      </c>
      <c r="U38" s="754">
        <f t="shared" si="13"/>
        <v>100</v>
      </c>
      <c r="V38" s="753" t="s">
        <v>28</v>
      </c>
      <c r="W38" s="754">
        <f t="shared" si="14"/>
        <v>100</v>
      </c>
      <c r="X38" s="2725"/>
      <c r="Y38" s="3049" t="s">
        <v>2370</v>
      </c>
      <c r="Z38" s="2726" t="str">
        <f t="shared" si="15"/>
        <v>物业管理</v>
      </c>
      <c r="AA38" s="2728">
        <f t="shared" si="3"/>
        <v>1</v>
      </c>
      <c r="AB38" s="2728">
        <f t="shared" si="4"/>
        <v>1</v>
      </c>
      <c r="AC38" s="2728">
        <f t="shared" si="5"/>
        <v>1</v>
      </c>
    </row>
    <row r="39" spans="1:29" ht="15">
      <c r="A39" s="453"/>
      <c r="B39" s="2724" t="s">
        <v>2377</v>
      </c>
      <c r="C39" s="2409" t="s">
        <v>2838</v>
      </c>
      <c r="D39" s="415">
        <v>100</v>
      </c>
      <c r="E39" s="2409" t="s">
        <v>2838</v>
      </c>
      <c r="F39" s="442">
        <f>SUMIF(116:116,E39,117:117)-SUMIF(116:116,C39,117:117)+100</f>
        <v>100</v>
      </c>
      <c r="G39" s="2409" t="s">
        <v>2838</v>
      </c>
      <c r="H39" s="415">
        <f>SUMIF(116:116,G39,117:117)-SUMIF(116:116,C39,117:117)+100</f>
        <v>100</v>
      </c>
      <c r="I39" s="2409" t="s">
        <v>2838</v>
      </c>
      <c r="J39" s="415">
        <f>SUMIF(116:116,I39,117:117)-SUMIF(116:116,C39,117:117)+100</f>
        <v>100</v>
      </c>
      <c r="K39" s="406">
        <v>1</v>
      </c>
      <c r="L39" s="1253"/>
      <c r="M39" s="1244"/>
      <c r="N39" s="1244"/>
      <c r="O39" s="1244"/>
      <c r="P39" s="3047"/>
      <c r="Q39" s="2727" t="str">
        <f t="shared" si="11"/>
        <v>市政基础设施</v>
      </c>
      <c r="R39" s="753" t="s">
        <v>28</v>
      </c>
      <c r="S39" s="754">
        <f t="shared" si="12"/>
        <v>100</v>
      </c>
      <c r="T39" s="753" t="s">
        <v>28</v>
      </c>
      <c r="U39" s="754">
        <f t="shared" si="13"/>
        <v>100</v>
      </c>
      <c r="V39" s="753" t="s">
        <v>28</v>
      </c>
      <c r="W39" s="754">
        <f t="shared" si="14"/>
        <v>100</v>
      </c>
      <c r="X39" s="2725"/>
      <c r="Y39" s="3049"/>
      <c r="Z39" s="2726" t="str">
        <f t="shared" si="15"/>
        <v>市政基础设施</v>
      </c>
      <c r="AA39" s="2728">
        <f t="shared" si="3"/>
        <v>1</v>
      </c>
      <c r="AB39" s="2728">
        <f t="shared" si="4"/>
        <v>1</v>
      </c>
      <c r="AC39" s="2728">
        <f t="shared" si="5"/>
        <v>1</v>
      </c>
    </row>
    <row r="40" spans="1:29" ht="15">
      <c r="A40" s="453"/>
      <c r="B40" s="2724" t="s">
        <v>2378</v>
      </c>
      <c r="C40" s="2409" t="s">
        <v>2881</v>
      </c>
      <c r="D40" s="415">
        <v>100</v>
      </c>
      <c r="E40" s="2409" t="s">
        <v>2886</v>
      </c>
      <c r="F40" s="442">
        <f>SUMIF(118:118,E40,119:119)-SUMIF(118:118,C40,119:119)+100</f>
        <v>98</v>
      </c>
      <c r="G40" s="2409" t="s">
        <v>2881</v>
      </c>
      <c r="H40" s="415">
        <f>SUMIF(118:118,G40,119:119)-SUMIF(118:118,C40,119:119)+100</f>
        <v>100</v>
      </c>
      <c r="I40" s="2409" t="s">
        <v>2879</v>
      </c>
      <c r="J40" s="415">
        <f>SUMIF(118:118,I40,119:119)-SUMIF(118:118,C40,119:119)+100</f>
        <v>101</v>
      </c>
      <c r="K40" s="406">
        <v>1</v>
      </c>
      <c r="L40" s="1253"/>
      <c r="M40" s="1244"/>
      <c r="N40" s="1244"/>
      <c r="O40" s="1244"/>
      <c r="P40" s="3047"/>
      <c r="Q40" s="2727" t="str">
        <f t="shared" si="11"/>
        <v>房型</v>
      </c>
      <c r="R40" s="753" t="s">
        <v>28</v>
      </c>
      <c r="S40" s="754">
        <f t="shared" si="12"/>
        <v>98</v>
      </c>
      <c r="T40" s="753" t="s">
        <v>28</v>
      </c>
      <c r="U40" s="754">
        <f t="shared" si="13"/>
        <v>100</v>
      </c>
      <c r="V40" s="753" t="s">
        <v>28</v>
      </c>
      <c r="W40" s="754">
        <f t="shared" si="14"/>
        <v>101</v>
      </c>
      <c r="X40" s="2725"/>
      <c r="Y40" s="3049"/>
      <c r="Z40" s="2726" t="str">
        <f t="shared" si="15"/>
        <v>房型</v>
      </c>
      <c r="AA40" s="2728">
        <f t="shared" si="3"/>
        <v>1.0204081632653061</v>
      </c>
      <c r="AB40" s="2728">
        <f t="shared" si="4"/>
        <v>1</v>
      </c>
      <c r="AC40" s="2728">
        <f t="shared" si="5"/>
        <v>0.99009900990099009</v>
      </c>
    </row>
    <row r="41" spans="1:29" s="452" customFormat="1" ht="28.5">
      <c r="A41" s="449"/>
      <c r="B41" s="2724" t="s">
        <v>2379</v>
      </c>
      <c r="C41" s="450">
        <f>'数据-取费表'!E5</f>
        <v>142.82</v>
      </c>
      <c r="D41" s="52">
        <v>100</v>
      </c>
      <c r="E41" s="410">
        <v>263.83999999999997</v>
      </c>
      <c r="F41" s="405">
        <f>SUMIF(120:120,E41,121:121)-SUMIF(120:120,C41,121:121)+100</f>
        <v>96</v>
      </c>
      <c r="G41" s="409">
        <v>142.82</v>
      </c>
      <c r="H41" s="52">
        <f>SUMIF(120:120,G41,121:121)-SUMIF(120:120,C41,121:121)+100</f>
        <v>100</v>
      </c>
      <c r="I41" s="458">
        <v>111</v>
      </c>
      <c r="J41" s="415">
        <f>SUMIF(120:120,I41,121:121)-SUMIF(120:120,C41,121:121)+100</f>
        <v>102</v>
      </c>
      <c r="K41" s="2398"/>
      <c r="L41" s="1251"/>
      <c r="M41" s="1254"/>
      <c r="N41" s="1254"/>
      <c r="O41" s="1254"/>
      <c r="P41" s="3047"/>
      <c r="Q41" s="755" t="str">
        <f t="shared" si="11"/>
        <v>单套/主力户型建筑面积</v>
      </c>
      <c r="R41" s="756" t="s">
        <v>28</v>
      </c>
      <c r="S41" s="757">
        <f t="shared" si="12"/>
        <v>96</v>
      </c>
      <c r="T41" s="756" t="s">
        <v>28</v>
      </c>
      <c r="U41" s="757">
        <f t="shared" si="13"/>
        <v>100</v>
      </c>
      <c r="V41" s="756" t="s">
        <v>28</v>
      </c>
      <c r="W41" s="757">
        <f t="shared" si="14"/>
        <v>102</v>
      </c>
      <c r="X41" s="758"/>
      <c r="Y41" s="3049"/>
      <c r="Z41" s="759" t="str">
        <f t="shared" si="15"/>
        <v>单套/主力户型建筑面积</v>
      </c>
      <c r="AA41" s="2728">
        <f t="shared" si="3"/>
        <v>1.0416666666666667</v>
      </c>
      <c r="AB41" s="2728">
        <f t="shared" si="4"/>
        <v>1</v>
      </c>
      <c r="AC41" s="2728">
        <f t="shared" si="5"/>
        <v>0.98039215686274506</v>
      </c>
    </row>
    <row r="42" spans="1:29" ht="15">
      <c r="A42" s="453"/>
      <c r="B42" s="2724" t="s">
        <v>2380</v>
      </c>
      <c r="C42" s="2409" t="s">
        <v>2869</v>
      </c>
      <c r="D42" s="415">
        <v>100</v>
      </c>
      <c r="E42" s="2409" t="s">
        <v>2869</v>
      </c>
      <c r="F42" s="442">
        <f>SUMIF(122:122,E42,123:123)-SUMIF(122:122,C42,123:123)+100</f>
        <v>100</v>
      </c>
      <c r="G42" s="2409" t="s">
        <v>2867</v>
      </c>
      <c r="H42" s="415">
        <f>SUMIF(122:122,G42,123:123)-SUMIF(122:122,C42,123:123)+100</f>
        <v>104</v>
      </c>
      <c r="I42" s="2409" t="s">
        <v>2869</v>
      </c>
      <c r="J42" s="415">
        <f>SUMIF(122:122,I42,123:123)-SUMIF(122:122,C42,123:123)+100</f>
        <v>100</v>
      </c>
      <c r="K42" s="406">
        <v>4</v>
      </c>
      <c r="L42" s="1253"/>
      <c r="M42" s="1244"/>
      <c r="N42" s="1244"/>
      <c r="O42" s="1244"/>
      <c r="P42" s="3047"/>
      <c r="Q42" s="2727" t="str">
        <f t="shared" si="11"/>
        <v>内部装修</v>
      </c>
      <c r="R42" s="753" t="s">
        <v>28</v>
      </c>
      <c r="S42" s="754">
        <f t="shared" si="12"/>
        <v>100</v>
      </c>
      <c r="T42" s="753" t="s">
        <v>28</v>
      </c>
      <c r="U42" s="754">
        <f t="shared" si="13"/>
        <v>104</v>
      </c>
      <c r="V42" s="753" t="s">
        <v>28</v>
      </c>
      <c r="W42" s="754">
        <f t="shared" si="14"/>
        <v>100</v>
      </c>
      <c r="X42" s="2725"/>
      <c r="Y42" s="3049"/>
      <c r="Z42" s="2726" t="str">
        <f t="shared" si="15"/>
        <v>内部装修</v>
      </c>
      <c r="AA42" s="2728">
        <f t="shared" si="3"/>
        <v>1</v>
      </c>
      <c r="AB42" s="2728">
        <f t="shared" si="4"/>
        <v>0.96153846153846156</v>
      </c>
      <c r="AC42" s="2728">
        <f t="shared" si="5"/>
        <v>1</v>
      </c>
    </row>
    <row r="43" spans="1:29" ht="15">
      <c r="A43" s="453"/>
      <c r="B43" s="2724" t="s">
        <v>2381</v>
      </c>
      <c r="C43" s="2409" t="s">
        <v>31</v>
      </c>
      <c r="D43" s="415">
        <v>100</v>
      </c>
      <c r="E43" s="2409" t="s">
        <v>31</v>
      </c>
      <c r="F43" s="442">
        <f>SUMIF(124:124,E43,125:125)-SUMIF(124:124,C43,125:125)+100</f>
        <v>100</v>
      </c>
      <c r="G43" s="2409" t="s">
        <v>31</v>
      </c>
      <c r="H43" s="415">
        <f>SUMIF(124:124,G43,125:125)-SUMIF(124:124,C43,125:125)+100</f>
        <v>100</v>
      </c>
      <c r="I43" s="2409" t="s">
        <v>31</v>
      </c>
      <c r="J43" s="415">
        <f>SUMIF(124:124,I43,125:125)-SUMIF(124:124,C43,125:125)+100</f>
        <v>100</v>
      </c>
      <c r="K43" s="406">
        <v>1</v>
      </c>
      <c r="L43" s="1253"/>
      <c r="M43" s="1244"/>
      <c r="N43" s="1244"/>
      <c r="O43" s="1244"/>
      <c r="P43" s="3047"/>
      <c r="Q43" s="2727" t="str">
        <f t="shared" si="11"/>
        <v>内部装修维护情况</v>
      </c>
      <c r="R43" s="753" t="s">
        <v>28</v>
      </c>
      <c r="S43" s="754">
        <f t="shared" si="12"/>
        <v>100</v>
      </c>
      <c r="T43" s="753" t="s">
        <v>28</v>
      </c>
      <c r="U43" s="754">
        <f t="shared" si="13"/>
        <v>100</v>
      </c>
      <c r="V43" s="753" t="s">
        <v>28</v>
      </c>
      <c r="W43" s="754">
        <f t="shared" si="14"/>
        <v>100</v>
      </c>
      <c r="X43" s="2725"/>
      <c r="Y43" s="3049"/>
      <c r="Z43" s="2726" t="str">
        <f t="shared" si="15"/>
        <v>内部装修维护情况</v>
      </c>
      <c r="AA43" s="2728">
        <f t="shared" si="3"/>
        <v>1</v>
      </c>
      <c r="AB43" s="2728">
        <f t="shared" si="4"/>
        <v>1</v>
      </c>
      <c r="AC43" s="2728">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7"/>
      <c r="Q44" s="2723">
        <f t="shared" si="11"/>
        <v>111</v>
      </c>
      <c r="R44" s="749" t="s">
        <v>28</v>
      </c>
      <c r="S44" s="750">
        <f t="shared" si="12"/>
        <v>100</v>
      </c>
      <c r="T44" s="749" t="s">
        <v>28</v>
      </c>
      <c r="U44" s="750">
        <f t="shared" si="13"/>
        <v>100</v>
      </c>
      <c r="V44" s="749" t="s">
        <v>28</v>
      </c>
      <c r="W44" s="750">
        <f t="shared" si="14"/>
        <v>100</v>
      </c>
      <c r="X44" s="751"/>
      <c r="Y44" s="3049"/>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7"/>
      <c r="Q45" s="2727">
        <f t="shared" si="11"/>
        <v>111</v>
      </c>
      <c r="R45" s="753" t="s">
        <v>28</v>
      </c>
      <c r="S45" s="754">
        <f t="shared" si="12"/>
        <v>100</v>
      </c>
      <c r="T45" s="753" t="s">
        <v>28</v>
      </c>
      <c r="U45" s="754">
        <f t="shared" si="13"/>
        <v>100</v>
      </c>
      <c r="V45" s="753" t="s">
        <v>28</v>
      </c>
      <c r="W45" s="754">
        <f t="shared" si="14"/>
        <v>100</v>
      </c>
      <c r="X45" s="2725"/>
      <c r="Y45" s="3049"/>
      <c r="Z45" s="2726">
        <f t="shared" si="15"/>
        <v>111</v>
      </c>
      <c r="AA45" s="2728">
        <f t="shared" si="3"/>
        <v>1</v>
      </c>
      <c r="AB45" s="2728">
        <f t="shared" si="4"/>
        <v>1</v>
      </c>
      <c r="AC45" s="2728">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8"/>
      <c r="Q46" s="2727">
        <f t="shared" si="11"/>
        <v>111</v>
      </c>
      <c r="R46" s="753" t="s">
        <v>27</v>
      </c>
      <c r="S46" s="754">
        <f t="shared" si="12"/>
        <v>100</v>
      </c>
      <c r="T46" s="753" t="s">
        <v>27</v>
      </c>
      <c r="U46" s="754">
        <f t="shared" si="13"/>
        <v>100</v>
      </c>
      <c r="V46" s="753" t="s">
        <v>27</v>
      </c>
      <c r="W46" s="754">
        <f t="shared" si="14"/>
        <v>100</v>
      </c>
      <c r="X46" s="2725"/>
      <c r="Y46" s="3050"/>
      <c r="Z46" s="2726">
        <f t="shared" si="15"/>
        <v>111</v>
      </c>
      <c r="AA46" s="2728">
        <f t="shared" si="3"/>
        <v>1</v>
      </c>
      <c r="AB46" s="2728">
        <f t="shared" si="4"/>
        <v>1</v>
      </c>
      <c r="AC46" s="2728">
        <f t="shared" si="5"/>
        <v>1</v>
      </c>
    </row>
    <row r="47" spans="1:29" ht="15">
      <c r="A47" s="460" t="s">
        <v>2382</v>
      </c>
      <c r="B47" s="461"/>
      <c r="C47" s="1501" t="s">
        <v>26</v>
      </c>
      <c r="D47" s="1502"/>
      <c r="E47" s="1503">
        <v>9779</v>
      </c>
      <c r="F47" s="1504"/>
      <c r="G47" s="1505">
        <v>11834</v>
      </c>
      <c r="H47" s="1506"/>
      <c r="I47" s="1503">
        <v>10811</v>
      </c>
      <c r="J47" s="1506"/>
      <c r="K47" s="2415"/>
      <c r="L47" s="1256"/>
      <c r="M47" s="1257"/>
      <c r="N47" s="1244"/>
      <c r="O47" s="1257"/>
      <c r="P47" s="3051" t="str">
        <f>A47</f>
        <v>成交单价（元/平方米）</v>
      </c>
      <c r="Q47" s="3051"/>
      <c r="R47" s="3052">
        <f>E47</f>
        <v>9779</v>
      </c>
      <c r="S47" s="3052"/>
      <c r="T47" s="3052">
        <f>G47</f>
        <v>11834</v>
      </c>
      <c r="U47" s="3052"/>
      <c r="V47" s="3052">
        <f>I47</f>
        <v>10811</v>
      </c>
      <c r="W47" s="3052"/>
      <c r="X47" s="738"/>
      <c r="Y47" s="760"/>
      <c r="Z47" s="738"/>
      <c r="AA47" s="738"/>
      <c r="AB47" s="738"/>
      <c r="AC47" s="738"/>
    </row>
    <row r="48" spans="1:29" ht="15.75" thickBot="1">
      <c r="A48" s="467" t="s">
        <v>2383</v>
      </c>
      <c r="B48" s="468"/>
      <c r="C48" s="1507">
        <f>R49</f>
        <v>10706</v>
      </c>
      <c r="D48" s="1508"/>
      <c r="E48" s="1509">
        <f>R48</f>
        <v>10714</v>
      </c>
      <c r="F48" s="1509"/>
      <c r="G48" s="1507">
        <f>T48</f>
        <v>11268</v>
      </c>
      <c r="H48" s="1508"/>
      <c r="I48" s="1509">
        <f>V48</f>
        <v>10136</v>
      </c>
      <c r="J48" s="1508"/>
      <c r="K48" s="2416"/>
      <c r="L48" s="1256"/>
      <c r="M48" s="1257"/>
      <c r="N48" s="1257"/>
      <c r="O48" s="1257"/>
      <c r="P48" s="3051" t="str">
        <f>A48</f>
        <v>比较价值（元/平方米）</v>
      </c>
      <c r="Q48" s="3051"/>
      <c r="R48" s="3052">
        <f>IF(E1="售价",ROUND(PRODUCT(R47,AA7:AA46),0),ROUND(PRODUCT(R47,AA7:AA46),1))</f>
        <v>10714</v>
      </c>
      <c r="S48" s="3052"/>
      <c r="T48" s="3053">
        <f>IF(E1="售价",ROUND(PRODUCT(T47,AB7:AB46),0),ROUND(PRODUCT(T47,AB7:AB46),1))</f>
        <v>11268</v>
      </c>
      <c r="U48" s="3054"/>
      <c r="V48" s="3052">
        <f>IF(E1="售价",ROUND(PRODUCT(V47,AC7:AC46),0),ROUND(PRODUCT(V47,AC7:AC46),1))</f>
        <v>10136</v>
      </c>
      <c r="W48" s="3052"/>
      <c r="X48" s="738"/>
      <c r="Y48" s="738"/>
      <c r="Z48" s="738"/>
      <c r="AA48" s="738"/>
      <c r="AB48" s="738"/>
      <c r="AC48" s="738"/>
    </row>
    <row r="49" spans="1:29" ht="15.75" thickBot="1">
      <c r="A49" s="473" t="s">
        <v>2384</v>
      </c>
      <c r="B49" s="474"/>
      <c r="C49" s="1510">
        <f>R49</f>
        <v>10706</v>
      </c>
      <c r="D49" s="1511"/>
      <c r="E49" s="1511"/>
      <c r="F49" s="1511"/>
      <c r="G49" s="1511"/>
      <c r="H49" s="1511"/>
      <c r="I49" s="1511"/>
      <c r="J49" s="1511"/>
      <c r="K49" s="2417"/>
      <c r="L49" s="1256"/>
      <c r="M49" s="1257"/>
      <c r="N49" s="1257"/>
      <c r="O49" s="1257"/>
      <c r="P49" s="3055" t="str">
        <f>A49</f>
        <v>估价对象XX用房的比较价值（楼面单价，元/平方米）</v>
      </c>
      <c r="Q49" s="3056"/>
      <c r="R49" s="3057">
        <f>IF(E1="售价",ROUND(AVERAGE(R48:V48),0),ROUND(AVERAGE(R48:V48),1))</f>
        <v>10706</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9.5613048368953901E-2</v>
      </c>
      <c r="F52" s="481" t="str">
        <f>IF(OR(E52&gt;=0.3,E52&lt;=-0.3),"超过30%","")</f>
        <v/>
      </c>
      <c r="G52" s="480">
        <f>IF(G47&lt;G48,G48/G47-1,G47/G48-1)</f>
        <v>5.0230741924032651E-2</v>
      </c>
      <c r="H52" s="481" t="str">
        <f>IF(OR(G52&gt;=0.3,G52&lt;=-0.3),"超过30%","")</f>
        <v/>
      </c>
      <c r="I52" s="480">
        <f>IF(I47&lt;I48,I48/I47-1,I47/I48-1)</f>
        <v>6.6594317284925042E-2</v>
      </c>
      <c r="J52" s="481" t="str">
        <f>IF(OR(I52&gt;=0.3,I52&lt;=-0.3),"超过30%","")</f>
        <v/>
      </c>
      <c r="K52" s="1262"/>
      <c r="L52" s="1258"/>
      <c r="M52" s="1257"/>
      <c r="N52" s="1257"/>
      <c r="O52" s="1257"/>
    </row>
    <row r="53" spans="1:29" ht="13.5" customHeight="1">
      <c r="A53" s="1257"/>
      <c r="B53" s="1257"/>
      <c r="C53" s="478" t="s">
        <v>2386</v>
      </c>
      <c r="D53" s="482"/>
      <c r="E53" s="480">
        <f>IF(E48&lt;G48,G48/E48-1,E48/G48-1)</f>
        <v>5.1708045547881332E-2</v>
      </c>
      <c r="F53" s="481" t="str">
        <f>IF(OR(E53&gt;=0.2,E53&lt;=-0.2),"超过20%","")</f>
        <v/>
      </c>
      <c r="G53" s="480">
        <f>IF(G48&lt;I48,I48/G48-1,G48/I48-1)</f>
        <v>0.11168113654301504</v>
      </c>
      <c r="H53" s="481" t="str">
        <f>IF(OR(G53&gt;=0.2,G53&lt;=-0.2),"超过20%","")</f>
        <v/>
      </c>
      <c r="I53" s="480">
        <f>IF(I48&lt;E48,E48/I48-1,I48/E48-1)</f>
        <v>5.7024467245461619E-2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0.21014418652213918</v>
      </c>
      <c r="F54" s="481" t="str">
        <f>IF(OR(E54&gt;=0.3,E54&lt;=-0.3),"超过30%","")</f>
        <v/>
      </c>
      <c r="G54" s="480">
        <f>IF(G47&lt;I47,I47/G47-1,G47/I47-1)</f>
        <v>9.4625844047729224E-2</v>
      </c>
      <c r="H54" s="481" t="str">
        <f>IF(OR(G54&gt;=0.3,G54&lt;=-0.3),"超过30%","")</f>
        <v/>
      </c>
      <c r="I54" s="480">
        <f>IF(I47&lt;E47,E47/I47-1,I47/E47-1)</f>
        <v>0.1055322630125779</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2352</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2354</v>
      </c>
      <c r="B61" s="491"/>
      <c r="C61" s="503" t="s">
        <v>2355</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v>2</v>
      </c>
      <c r="F68" s="532">
        <v>3</v>
      </c>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0</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0</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0</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2409</v>
      </c>
      <c r="D82" s="522" t="s">
        <v>2410</v>
      </c>
      <c r="E82" s="522" t="s">
        <v>2411</v>
      </c>
      <c r="F82" s="522" t="s">
        <v>2412</v>
      </c>
      <c r="G82" s="522" t="s">
        <v>2413</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40" t="s">
        <v>2844</v>
      </c>
      <c r="D88" s="2740" t="s">
        <v>2845</v>
      </c>
      <c r="E88" s="2740" t="s">
        <v>2846</v>
      </c>
      <c r="F88" s="2743" t="s">
        <v>2848</v>
      </c>
      <c r="G88" s="2740" t="s">
        <v>2849</v>
      </c>
      <c r="H88" s="2740" t="s">
        <v>2850</v>
      </c>
      <c r="I88" s="2740" t="s">
        <v>2852</v>
      </c>
      <c r="J88" s="2740" t="s">
        <v>2853</v>
      </c>
      <c r="K88" s="2740" t="s">
        <v>2855</v>
      </c>
      <c r="L88" s="2740" t="s">
        <v>2857</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2740" t="s">
        <v>2839</v>
      </c>
      <c r="D92" s="2740" t="s">
        <v>2841</v>
      </c>
      <c r="E92" s="2740" t="s">
        <v>2842</v>
      </c>
      <c r="F92" s="537"/>
      <c r="G92" s="567"/>
      <c r="H92" s="567"/>
      <c r="I92" s="567"/>
      <c r="J92" s="567"/>
      <c r="K92" s="568"/>
      <c r="L92" s="569"/>
      <c r="M92" s="570"/>
      <c r="N92" s="1267"/>
      <c r="O92" s="1267"/>
      <c r="P92" s="2424"/>
      <c r="Q92" s="485"/>
    </row>
    <row r="93" spans="1:17" ht="15.75" thickBot="1">
      <c r="A93" s="516"/>
      <c r="B93" s="526"/>
      <c r="C93" s="544">
        <v>98</v>
      </c>
      <c r="D93" s="518">
        <v>100</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2368</v>
      </c>
      <c r="B100" s="509" t="s">
        <v>2417</v>
      </c>
      <c r="C100" s="2744" t="s">
        <v>2859</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5"/>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5"/>
      <c r="Q104" s="543"/>
    </row>
    <row r="105" spans="1:17" ht="15" thickTop="1">
      <c r="A105" s="583"/>
      <c r="B105" s="521" t="s">
        <v>2419</v>
      </c>
      <c r="C105" s="2740" t="s">
        <v>2861</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2420</v>
      </c>
      <c r="C107" s="2745" t="s">
        <v>2862</v>
      </c>
      <c r="D107" s="2745" t="s">
        <v>2863</v>
      </c>
      <c r="E107" s="2745" t="s">
        <v>2864</v>
      </c>
      <c r="F107" s="2745" t="s">
        <v>2865</v>
      </c>
      <c r="G107" s="2745" t="s">
        <v>2866</v>
      </c>
      <c r="H107" s="567"/>
      <c r="I107" s="567"/>
      <c r="J107" s="567"/>
      <c r="K107" s="568"/>
      <c r="L107" s="569"/>
      <c r="M107" s="570"/>
      <c r="N107" s="1267"/>
      <c r="O107" s="1267"/>
      <c r="P107" s="2424"/>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4"/>
      <c r="Q108" s="485"/>
    </row>
    <row r="109" spans="1:17" ht="15" thickTop="1">
      <c r="A109" s="583"/>
      <c r="B109" s="521" t="s">
        <v>2421</v>
      </c>
      <c r="C109" s="2740" t="s">
        <v>2868</v>
      </c>
      <c r="D109" s="2740" t="s">
        <v>2870</v>
      </c>
      <c r="E109" s="2740" t="s">
        <v>2871</v>
      </c>
      <c r="F109" s="2745" t="s">
        <v>2872</v>
      </c>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5"/>
      <c r="Q113" s="543"/>
    </row>
    <row r="114" spans="1:17" ht="15" thickTop="1">
      <c r="A114" s="583"/>
      <c r="B114" s="521" t="s">
        <v>2423</v>
      </c>
      <c r="C114" s="2745" t="s">
        <v>2862</v>
      </c>
      <c r="D114" s="2745" t="s">
        <v>2863</v>
      </c>
      <c r="E114" s="2745" t="s">
        <v>2864</v>
      </c>
      <c r="F114" s="2745" t="s">
        <v>2865</v>
      </c>
      <c r="G114" s="2745" t="s">
        <v>2866</v>
      </c>
      <c r="H114" s="567"/>
      <c r="I114" s="567"/>
      <c r="J114" s="567"/>
      <c r="K114" s="568"/>
      <c r="L114" s="569"/>
      <c r="M114" s="570"/>
      <c r="N114" s="1267"/>
      <c r="O114" s="1267"/>
      <c r="P114" s="2424"/>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4"/>
      <c r="Q115" s="485"/>
    </row>
    <row r="116" spans="1:17" ht="15" thickTop="1">
      <c r="A116" s="583"/>
      <c r="B116" s="521" t="s">
        <v>2424</v>
      </c>
      <c r="C116" s="2740" t="s">
        <v>2873</v>
      </c>
      <c r="D116" s="2740" t="s">
        <v>2874</v>
      </c>
      <c r="E116" s="2740" t="s">
        <v>2875</v>
      </c>
      <c r="F116" s="2740" t="s">
        <v>2876</v>
      </c>
      <c r="G116" s="537"/>
      <c r="H116" s="567"/>
      <c r="I116" s="567"/>
      <c r="J116" s="567"/>
      <c r="K116" s="568"/>
      <c r="L116" s="569"/>
      <c r="M116" s="570"/>
      <c r="N116" s="1267"/>
      <c r="O116" s="1267"/>
      <c r="P116" s="2424"/>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4"/>
      <c r="Q117" s="485"/>
    </row>
    <row r="118" spans="1:17" ht="15" thickTop="1">
      <c r="A118" s="583"/>
      <c r="B118" s="521" t="s">
        <v>2425</v>
      </c>
      <c r="C118" s="2745" t="s">
        <v>2877</v>
      </c>
      <c r="D118" s="2745" t="s">
        <v>2878</v>
      </c>
      <c r="E118" s="2745" t="s">
        <v>2880</v>
      </c>
      <c r="F118" s="2745" t="s">
        <v>2882</v>
      </c>
      <c r="G118" s="2745" t="s">
        <v>2885</v>
      </c>
      <c r="H118" s="2745" t="s">
        <v>2887</v>
      </c>
      <c r="I118" s="567"/>
      <c r="J118" s="567"/>
      <c r="K118" s="568"/>
      <c r="L118" s="569"/>
      <c r="M118" s="570"/>
      <c r="N118" s="1267"/>
      <c r="O118" s="1267"/>
      <c r="P118" s="2424"/>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4"/>
      <c r="Q119" s="485"/>
    </row>
    <row r="120" spans="1:17" s="452" customFormat="1" ht="28.5" thickTop="1">
      <c r="A120" s="577"/>
      <c r="B120" s="521" t="s">
        <v>2379</v>
      </c>
      <c r="C120" s="537">
        <v>142.82</v>
      </c>
      <c r="D120" s="537">
        <v>263.83999999999997</v>
      </c>
      <c r="E120" s="537">
        <v>99</v>
      </c>
      <c r="F120" s="537">
        <v>111</v>
      </c>
      <c r="G120" s="537"/>
      <c r="H120" s="537"/>
      <c r="I120" s="537"/>
      <c r="J120" s="537"/>
      <c r="K120" s="537"/>
      <c r="L120" s="564"/>
      <c r="M120" s="565"/>
      <c r="N120" s="1269"/>
      <c r="O120" s="1269"/>
      <c r="P120" s="2425"/>
      <c r="Q120" s="543"/>
    </row>
    <row r="121" spans="1:17" s="452" customFormat="1" ht="15.75" thickBot="1">
      <c r="A121" s="536"/>
      <c r="B121" s="517"/>
      <c r="C121" s="544">
        <v>100</v>
      </c>
      <c r="D121" s="518">
        <v>96</v>
      </c>
      <c r="E121" s="518">
        <v>102</v>
      </c>
      <c r="F121" s="518">
        <v>102</v>
      </c>
      <c r="G121" s="518"/>
      <c r="H121" s="518"/>
      <c r="I121" s="518"/>
      <c r="J121" s="518"/>
      <c r="K121" s="518"/>
      <c r="L121" s="518"/>
      <c r="M121" s="518"/>
      <c r="N121" s="1269"/>
      <c r="O121" s="1269"/>
      <c r="P121" s="2425"/>
      <c r="Q121" s="543"/>
    </row>
    <row r="122" spans="1:17" ht="15" thickTop="1">
      <c r="A122" s="583"/>
      <c r="B122" s="521" t="s">
        <v>2426</v>
      </c>
      <c r="C122" s="2740" t="s">
        <v>2868</v>
      </c>
      <c r="D122" s="2740" t="s">
        <v>2870</v>
      </c>
      <c r="E122" s="2740" t="s">
        <v>2871</v>
      </c>
      <c r="F122" s="2745" t="s">
        <v>2872</v>
      </c>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20</v>
      </c>
      <c r="K139" s="1127">
        <f>C145/(J139-2)</f>
        <v>4.0555555555555553E-3</v>
      </c>
    </row>
    <row r="140" spans="1:17" ht="15">
      <c r="B140" s="1126">
        <v>5</v>
      </c>
      <c r="C140" s="1137">
        <v>100</v>
      </c>
      <c r="D140" s="1137"/>
      <c r="E140" s="1138"/>
      <c r="F140" s="1139">
        <v>102</v>
      </c>
      <c r="G140" s="1137"/>
      <c r="H140" s="1140"/>
      <c r="I140" s="2444" t="s">
        <v>2439</v>
      </c>
      <c r="J140" s="217">
        <f>ROUNDUP((J139-1)/2,0)</f>
        <v>10</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20</v>
      </c>
      <c r="K142" s="1142">
        <v>95</v>
      </c>
    </row>
    <row r="143" spans="1:17" ht="15">
      <c r="B143" s="1126">
        <v>2</v>
      </c>
      <c r="C143" s="1137">
        <v>100</v>
      </c>
      <c r="D143" s="1137"/>
      <c r="E143" s="1138"/>
      <c r="F143" s="1139">
        <v>100.5</v>
      </c>
      <c r="G143" s="1137"/>
      <c r="H143" s="1140"/>
      <c r="I143" s="2444" t="s">
        <v>2442</v>
      </c>
      <c r="J143" s="1137">
        <v>15</v>
      </c>
      <c r="K143" s="1129">
        <f>ROUND(100+(J143-J140)*K139*100,1)</f>
        <v>102</v>
      </c>
    </row>
    <row r="144" spans="1:17" ht="15">
      <c r="B144" s="1126">
        <v>1</v>
      </c>
      <c r="C144" s="1137">
        <v>98</v>
      </c>
      <c r="D144" s="2445" t="s">
        <v>2443</v>
      </c>
      <c r="E144" s="1138">
        <v>102</v>
      </c>
      <c r="F144" s="1141">
        <v>100</v>
      </c>
      <c r="G144" s="2445" t="s">
        <v>2443</v>
      </c>
      <c r="H144" s="1140">
        <v>105</v>
      </c>
      <c r="I144" s="2444" t="s">
        <v>2442</v>
      </c>
      <c r="J144" s="1137">
        <v>18</v>
      </c>
      <c r="K144" s="1129">
        <f>ROUND(100+(J144-J140)*K139*100,1)</f>
        <v>103.2</v>
      </c>
    </row>
    <row r="145" spans="2:11" ht="15.75" thickBot="1">
      <c r="B145" s="2446" t="s">
        <v>2444</v>
      </c>
      <c r="C145" s="1131">
        <f>ROUND(MAX(C139:C144)/MIN(C139:C144)-1,3)</f>
        <v>7.2999999999999995E-2</v>
      </c>
      <c r="D145" s="1132"/>
      <c r="E145" s="1132"/>
      <c r="F145" s="2447" t="s">
        <v>2445</v>
      </c>
      <c r="G145" s="2448"/>
      <c r="H145" s="2449"/>
      <c r="I145" s="2450" t="s">
        <v>2442</v>
      </c>
      <c r="J145" s="1143">
        <v>8</v>
      </c>
      <c r="K145" s="1130">
        <f>ROUND(100+(J145-J140)*K139*100,1)</f>
        <v>99.2</v>
      </c>
    </row>
    <row r="147" spans="2:11">
      <c r="B147" s="2431" t="s">
        <v>2446</v>
      </c>
    </row>
    <row r="148" spans="2:11">
      <c r="B148" s="2431" t="s">
        <v>2447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53" priority="14" stopIfTrue="1" operator="containsText" text="超过">
      <formula>NOT(ISERROR(SEARCH("超过",F52)))</formula>
    </cfRule>
  </conditionalFormatting>
  <conditionalFormatting sqref="J54">
    <cfRule type="containsText" dxfId="152" priority="13" stopIfTrue="1" operator="containsText" text="超过">
      <formula>NOT(ISERROR(SEARCH("超过",J54)))</formula>
    </cfRule>
  </conditionalFormatting>
  <conditionalFormatting sqref="H54">
    <cfRule type="containsText" dxfId="151" priority="12" stopIfTrue="1" operator="containsText" text="超过">
      <formula>NOT(ISERROR(SEARCH("超过",H54)))</formula>
    </cfRule>
  </conditionalFormatting>
  <conditionalFormatting sqref="F54">
    <cfRule type="containsText" dxfId="150" priority="11" stopIfTrue="1" operator="containsText" text="超过">
      <formula>NOT(ISERROR(SEARCH("超过",F54)))</formula>
    </cfRule>
  </conditionalFormatting>
  <conditionalFormatting sqref="F53 H53 J53">
    <cfRule type="containsText" dxfId="149" priority="10" stopIfTrue="1" operator="containsText" text="超过">
      <formula>NOT(ISERROR(SEARCH("超过",F53)))</formula>
    </cfRule>
  </conditionalFormatting>
  <conditionalFormatting sqref="E52">
    <cfRule type="expression" dxfId="148" priority="9" stopIfTrue="1">
      <formula>$F$52="超过30%"</formula>
    </cfRule>
  </conditionalFormatting>
  <conditionalFormatting sqref="G54">
    <cfRule type="expression" dxfId="147" priority="8" stopIfTrue="1">
      <formula>$H$54="超过30%"</formula>
    </cfRule>
  </conditionalFormatting>
  <conditionalFormatting sqref="E53">
    <cfRule type="expression" dxfId="146" priority="7" stopIfTrue="1">
      <formula>$F$53="超过20%"</formula>
    </cfRule>
  </conditionalFormatting>
  <conditionalFormatting sqref="E54">
    <cfRule type="expression" dxfId="145" priority="6" stopIfTrue="1">
      <formula>$F$54="超过30%"</formula>
    </cfRule>
  </conditionalFormatting>
  <conditionalFormatting sqref="G52">
    <cfRule type="expression" dxfId="144" priority="5" stopIfTrue="1">
      <formula>$H$52="超过30%"</formula>
    </cfRule>
  </conditionalFormatting>
  <conditionalFormatting sqref="G53">
    <cfRule type="expression" dxfId="143" priority="4" stopIfTrue="1">
      <formula>$H$53="超过20%"</formula>
    </cfRule>
  </conditionalFormatting>
  <conditionalFormatting sqref="I52">
    <cfRule type="expression" dxfId="142" priority="3" stopIfTrue="1">
      <formula>$J$52="超过30%"</formula>
    </cfRule>
  </conditionalFormatting>
  <conditionalFormatting sqref="I53">
    <cfRule type="expression" dxfId="141" priority="2" stopIfTrue="1">
      <formula>$J$53="超过20%"</formula>
    </cfRule>
  </conditionalFormatting>
  <conditionalFormatting sqref="I54">
    <cfRule type="expression" dxfId="14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39" zoomScale="90" zoomScaleNormal="90" workbookViewId="0">
      <selection activeCell="C49" sqref="C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2832</v>
      </c>
      <c r="D1" s="2379"/>
      <c r="E1" s="2380" t="s">
        <v>2884</v>
      </c>
      <c r="F1" s="1740" t="s">
        <v>2337</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1305</v>
      </c>
      <c r="B2" s="1725">
        <f>IF(D2="——",IF(C2="元",ROUND(C49*D3,0),ROUND(C49*D3/10000,0)),IF(C2="元",ROUND(C49*D3,0),ROUND(C49*D3/10000,0))-E2)</f>
        <v>609984</v>
      </c>
      <c r="C2" s="163" t="str">
        <f>'数据-取费表'!B3</f>
        <v>元</v>
      </c>
      <c r="D2" s="2382" t="s">
        <v>1255</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1306</v>
      </c>
      <c r="B3" s="378">
        <f>ROUND(IF(D2="——",C49,IF(C2="万元",B2*10000/D3,B2/D3)),0)</f>
        <v>4271</v>
      </c>
      <c r="C3" s="379" t="s">
        <v>2338</v>
      </c>
      <c r="D3" s="378">
        <f>IF(C1="仅计算典型户型",'数据-取费表'!E5,'数据-取费表'!B5)</f>
        <v>142.82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2339</v>
      </c>
      <c r="B4" s="381"/>
      <c r="C4" s="3017" t="s">
        <v>2340</v>
      </c>
      <c r="D4" s="3018"/>
      <c r="E4" s="3019" t="s">
        <v>2341</v>
      </c>
      <c r="F4" s="3020"/>
      <c r="G4" s="3017" t="s">
        <v>2342</v>
      </c>
      <c r="H4" s="3018"/>
      <c r="I4" s="3017" t="s">
        <v>2343</v>
      </c>
      <c r="J4" s="3018"/>
      <c r="K4" s="2393" t="s">
        <v>2344</v>
      </c>
      <c r="L4" s="1243"/>
      <c r="M4" s="1244"/>
      <c r="N4" s="1244"/>
      <c r="O4" s="1244"/>
      <c r="P4" s="3021" t="s">
        <v>2345</v>
      </c>
      <c r="Q4" s="3022"/>
      <c r="R4" s="3027" t="s">
        <v>2341</v>
      </c>
      <c r="S4" s="3028"/>
      <c r="T4" s="3027" t="s">
        <v>2342</v>
      </c>
      <c r="U4" s="3028"/>
      <c r="V4" s="3037" t="s">
        <v>2343</v>
      </c>
      <c r="W4" s="3037"/>
      <c r="X4" s="2719"/>
      <c r="Y4" s="3027" t="s">
        <v>2345</v>
      </c>
      <c r="Z4" s="3028"/>
      <c r="AA4" s="3014" t="s">
        <v>2341</v>
      </c>
      <c r="AB4" s="3014" t="s">
        <v>2342</v>
      </c>
      <c r="AC4" s="3014" t="s">
        <v>2343</v>
      </c>
    </row>
    <row r="5" spans="1:29" ht="15">
      <c r="A5" s="383"/>
      <c r="B5" s="384"/>
      <c r="C5" s="3031" t="s">
        <v>2833</v>
      </c>
      <c r="D5" s="3032"/>
      <c r="E5" s="3031" t="s">
        <v>2833</v>
      </c>
      <c r="F5" s="3032"/>
      <c r="G5" s="3031" t="s">
        <v>2833</v>
      </c>
      <c r="H5" s="3032"/>
      <c r="I5" s="3031" t="s">
        <v>2833</v>
      </c>
      <c r="J5" s="3032"/>
      <c r="K5" s="2394"/>
      <c r="L5" s="1243"/>
      <c r="M5" s="1244"/>
      <c r="N5" s="1244"/>
      <c r="O5" s="1244"/>
      <c r="P5" s="3023"/>
      <c r="Q5" s="3024"/>
      <c r="R5" s="3029"/>
      <c r="S5" s="3030"/>
      <c r="T5" s="3029"/>
      <c r="U5" s="3030"/>
      <c r="V5" s="3037"/>
      <c r="W5" s="3037"/>
      <c r="X5" s="2719"/>
      <c r="Y5" s="3029"/>
      <c r="Z5" s="3030"/>
      <c r="AA5" s="3015"/>
      <c r="AB5" s="3015"/>
      <c r="AC5" s="3015"/>
    </row>
    <row r="6" spans="1:29" ht="15.75" thickBot="1">
      <c r="A6" s="385"/>
      <c r="B6" s="386"/>
      <c r="C6" s="3033" t="s">
        <v>2834</v>
      </c>
      <c r="D6" s="3034"/>
      <c r="E6" s="3033" t="s">
        <v>2834</v>
      </c>
      <c r="F6" s="3034"/>
      <c r="G6" s="3033" t="s">
        <v>2834</v>
      </c>
      <c r="H6" s="3034"/>
      <c r="I6" s="3033" t="s">
        <v>2834</v>
      </c>
      <c r="J6" s="3034"/>
      <c r="K6" s="2394" t="s">
        <v>2351</v>
      </c>
      <c r="L6" s="1243"/>
      <c r="M6" s="1244"/>
      <c r="N6" s="1244"/>
      <c r="O6" s="1244"/>
      <c r="P6" s="3025"/>
      <c r="Q6" s="3026"/>
      <c r="R6" s="3029"/>
      <c r="S6" s="3030"/>
      <c r="T6" s="3035"/>
      <c r="U6" s="3036"/>
      <c r="V6" s="3037"/>
      <c r="W6" s="3037"/>
      <c r="X6" s="2719"/>
      <c r="Y6" s="3035"/>
      <c r="Z6" s="3036"/>
      <c r="AA6" s="3016"/>
      <c r="AB6" s="3016"/>
      <c r="AC6" s="3016"/>
    </row>
    <row r="7" spans="1:29" s="35" customFormat="1" ht="15.75" thickBot="1">
      <c r="A7" s="387" t="s">
        <v>2352</v>
      </c>
      <c r="B7" s="388"/>
      <c r="C7" s="389">
        <f>'数据-取费表'!B2</f>
        <v>43074</v>
      </c>
      <c r="D7" s="390">
        <v>100</v>
      </c>
      <c r="E7" s="391">
        <v>43040</v>
      </c>
      <c r="F7" s="392">
        <f>SUMIF(58:58,YEAR(E7)&amp;"-"&amp;MONTH(E7),59:59)</f>
        <v>100</v>
      </c>
      <c r="G7" s="391">
        <v>42917</v>
      </c>
      <c r="H7" s="390">
        <f>SUMIF(58:58,YEAR(G7)&amp;"-"&amp;MONTH(G7),59:59)</f>
        <v>99</v>
      </c>
      <c r="I7" s="391">
        <v>43040</v>
      </c>
      <c r="J7" s="390">
        <f>SUMIF(58:58,YEAR(I7)&amp;"-"&amp;MONTH(I7),59:59)</f>
        <v>100</v>
      </c>
      <c r="K7" s="2395"/>
      <c r="L7" s="1245"/>
      <c r="M7" s="1246"/>
      <c r="N7" s="1246"/>
      <c r="O7" s="1246"/>
      <c r="P7" s="3038" t="s">
        <v>2353</v>
      </c>
      <c r="Q7" s="3039"/>
      <c r="R7" s="749" t="s">
        <v>34</v>
      </c>
      <c r="S7" s="750">
        <f t="shared" ref="S7:S15" si="0">F7</f>
        <v>100</v>
      </c>
      <c r="T7" s="749" t="s">
        <v>34</v>
      </c>
      <c r="U7" s="750">
        <f t="shared" ref="U7:U15" si="1">H7</f>
        <v>99</v>
      </c>
      <c r="V7" s="749" t="s">
        <v>34</v>
      </c>
      <c r="W7" s="750">
        <f t="shared" ref="W7:W15" si="2">J7</f>
        <v>100</v>
      </c>
      <c r="X7" s="751"/>
      <c r="Y7" s="3038" t="s">
        <v>2353</v>
      </c>
      <c r="Z7" s="3040"/>
      <c r="AA7" s="752">
        <f>D7/F7</f>
        <v>1</v>
      </c>
      <c r="AB7" s="752">
        <f>D7/H7</f>
        <v>1.0101010101010102</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5"/>
      <c r="L8" s="1245"/>
      <c r="M8" s="1246"/>
      <c r="N8" s="1246"/>
      <c r="O8" s="1246"/>
      <c r="P8" s="3038" t="s">
        <v>2356</v>
      </c>
      <c r="Q8" s="3040"/>
      <c r="R8" s="749" t="s">
        <v>34</v>
      </c>
      <c r="S8" s="750">
        <f t="shared" si="0"/>
        <v>100</v>
      </c>
      <c r="T8" s="749" t="s">
        <v>34</v>
      </c>
      <c r="U8" s="750">
        <f t="shared" si="1"/>
        <v>100</v>
      </c>
      <c r="V8" s="749" t="s">
        <v>34</v>
      </c>
      <c r="W8" s="750">
        <f t="shared" si="2"/>
        <v>100</v>
      </c>
      <c r="X8" s="751"/>
      <c r="Y8" s="3038" t="s">
        <v>2356</v>
      </c>
      <c r="Z8" s="3040"/>
      <c r="AA8" s="752">
        <f t="shared" ref="AA8:AA46" si="3">D8/F8</f>
        <v>1</v>
      </c>
      <c r="AB8" s="752">
        <f t="shared" ref="AB8:AB46" si="4">D8/H8</f>
        <v>1</v>
      </c>
      <c r="AC8" s="752">
        <f t="shared" ref="AC8:AC46" si="5">D8/J8</f>
        <v>1</v>
      </c>
    </row>
    <row r="9" spans="1:29" s="35" customFormat="1">
      <c r="A9" s="395" t="s">
        <v>2357</v>
      </c>
      <c r="B9" s="28" t="s">
        <v>2358</v>
      </c>
      <c r="C9" s="2736" t="s">
        <v>2835</v>
      </c>
      <c r="D9" s="51">
        <v>100</v>
      </c>
      <c r="E9" s="397" t="s">
        <v>2822</v>
      </c>
      <c r="F9" s="398">
        <f>SUMIF(63:63,E9,64:64)-SUMIF(63:63,C9,64:64)+100</f>
        <v>100</v>
      </c>
      <c r="G9" s="397" t="s">
        <v>2822</v>
      </c>
      <c r="H9" s="51">
        <f>SUMIF(63:63,G9,64:64)-SUMIF(63:63,C9,64:64)+100</f>
        <v>100</v>
      </c>
      <c r="I9" s="397" t="s">
        <v>2822</v>
      </c>
      <c r="J9" s="51">
        <f>SUMIF(63:63,I9,64:64)-SUMIF(63:63,C9,64:64)+100</f>
        <v>100</v>
      </c>
      <c r="K9" s="2395"/>
      <c r="L9" s="1245"/>
      <c r="M9" s="1246"/>
      <c r="N9" s="1246"/>
      <c r="O9" s="1246"/>
      <c r="P9" s="3041" t="s">
        <v>2359</v>
      </c>
      <c r="Q9" s="2715"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2716" t="s">
        <v>2361</v>
      </c>
      <c r="C10" s="403" t="s">
        <v>2836</v>
      </c>
      <c r="D10" s="52">
        <v>100</v>
      </c>
      <c r="E10" s="403" t="s">
        <v>2836</v>
      </c>
      <c r="F10" s="405">
        <f>SUMIF(65:65,E10,66:66)-SUMIF(65:65,C10,66:66)+100</f>
        <v>100</v>
      </c>
      <c r="G10" s="403" t="s">
        <v>2836</v>
      </c>
      <c r="H10" s="52">
        <f>SUMIF(65:65,G10,66:66)-SUMIF(65:65,C10,66:66)+100</f>
        <v>100</v>
      </c>
      <c r="I10" s="403" t="s">
        <v>2836</v>
      </c>
      <c r="J10" s="52">
        <f>SUMIF(65:65,I10,66:66)-SUMIF(65:65,C10,66:66)+100</f>
        <v>100</v>
      </c>
      <c r="K10" s="406"/>
      <c r="L10" s="1248"/>
      <c r="M10" s="1249"/>
      <c r="N10" s="1249"/>
      <c r="O10" s="1249"/>
      <c r="P10" s="3041"/>
      <c r="Q10" s="2715"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75" thickBot="1">
      <c r="A11" s="408"/>
      <c r="B11" s="2716" t="s">
        <v>2362</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1"/>
      <c r="M11" s="1244"/>
      <c r="N11" s="1244"/>
      <c r="O11" s="1244"/>
      <c r="P11" s="3041"/>
      <c r="Q11" s="2715"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7"/>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41"/>
      <c r="Q12" s="2715">
        <f t="shared" si="6"/>
        <v>0</v>
      </c>
      <c r="R12" s="749" t="s">
        <v>28</v>
      </c>
      <c r="S12" s="750">
        <f t="shared" si="0"/>
        <v>100</v>
      </c>
      <c r="T12" s="749" t="s">
        <v>28</v>
      </c>
      <c r="U12" s="750">
        <f t="shared" si="1"/>
        <v>100</v>
      </c>
      <c r="V12" s="749" t="s">
        <v>28</v>
      </c>
      <c r="W12" s="750">
        <f t="shared" si="2"/>
        <v>100</v>
      </c>
      <c r="X12" s="751"/>
      <c r="Y12" s="2846"/>
      <c r="Z12" s="23">
        <f t="shared" si="7"/>
        <v>0</v>
      </c>
      <c r="AA12" s="752">
        <f>D12/F12</f>
        <v>1</v>
      </c>
      <c r="AB12" s="752">
        <f>D12/H12</f>
        <v>1</v>
      </c>
      <c r="AC12" s="752">
        <f>D12/J12</f>
        <v>1</v>
      </c>
    </row>
    <row r="13" spans="1:29" ht="15" hidden="1">
      <c r="A13" s="408"/>
      <c r="B13" s="2397"/>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41"/>
      <c r="Q13" s="2715">
        <f t="shared" si="6"/>
        <v>0</v>
      </c>
      <c r="R13" s="749" t="s">
        <v>28</v>
      </c>
      <c r="S13" s="750">
        <f t="shared" si="0"/>
        <v>100</v>
      </c>
      <c r="T13" s="749" t="s">
        <v>28</v>
      </c>
      <c r="U13" s="750">
        <f t="shared" si="1"/>
        <v>100</v>
      </c>
      <c r="V13" s="749" t="s">
        <v>28</v>
      </c>
      <c r="W13" s="750">
        <f t="shared" si="2"/>
        <v>100</v>
      </c>
      <c r="X13" s="751"/>
      <c r="Y13" s="2846"/>
      <c r="Z13" s="23">
        <f t="shared" si="7"/>
        <v>0</v>
      </c>
      <c r="AA13" s="752">
        <f t="shared" si="3"/>
        <v>1</v>
      </c>
      <c r="AB13" s="752">
        <f t="shared" si="4"/>
        <v>1</v>
      </c>
      <c r="AC13" s="752">
        <f t="shared" si="5"/>
        <v>1</v>
      </c>
    </row>
    <row r="14" spans="1:29" ht="15.75" hidden="1" thickBot="1">
      <c r="A14" s="416"/>
      <c r="B14" s="2399"/>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41"/>
      <c r="Q14" s="2715">
        <f t="shared" si="6"/>
        <v>0</v>
      </c>
      <c r="R14" s="749" t="s">
        <v>28</v>
      </c>
      <c r="S14" s="750">
        <f t="shared" si="0"/>
        <v>100</v>
      </c>
      <c r="T14" s="749" t="s">
        <v>28</v>
      </c>
      <c r="U14" s="750">
        <f t="shared" si="1"/>
        <v>100</v>
      </c>
      <c r="V14" s="749" t="s">
        <v>28</v>
      </c>
      <c r="W14" s="750">
        <f t="shared" si="2"/>
        <v>100</v>
      </c>
      <c r="X14" s="751"/>
      <c r="Y14" s="2846"/>
      <c r="Z14" s="23">
        <f t="shared" si="7"/>
        <v>0</v>
      </c>
      <c r="AA14" s="752">
        <f t="shared" si="3"/>
        <v>1</v>
      </c>
      <c r="AB14" s="752">
        <f t="shared" si="4"/>
        <v>1</v>
      </c>
      <c r="AC14" s="752">
        <f t="shared" si="5"/>
        <v>1</v>
      </c>
    </row>
    <row r="15" spans="1:29" ht="99.75">
      <c r="A15" s="419" t="s">
        <v>2363</v>
      </c>
      <c r="B15" s="26" t="s">
        <v>1739</v>
      </c>
      <c r="C15" s="2401" t="str">
        <f>估价对象房地状况!C3</f>
        <v>估价对象周边居住用地比例、居住小区规模和社区发展完善程度，综合评价居住社区成熟度较好</v>
      </c>
      <c r="D15" s="420">
        <v>100</v>
      </c>
      <c r="E15" s="2738" t="str">
        <f>C15</f>
        <v>估价对象周边居住用地比例、居住小区规模和社区发展完善程度，综合评价居住社区成熟度较好</v>
      </c>
      <c r="F15" s="422">
        <f>SUMIF(76:76,E16,77:77)-SUMIF(76:76,C16,77:77)+100</f>
        <v>100</v>
      </c>
      <c r="G15" s="2738" t="str">
        <f>E15</f>
        <v>估价对象周边居住用地比例、居住小区规模和社区发展完善程度，综合评价居住社区成熟度较好</v>
      </c>
      <c r="H15" s="420">
        <f>SUMIF(76:76,G16,77:77)-SUMIF(76:76,C16,77:77)+100</f>
        <v>100</v>
      </c>
      <c r="I15" s="2738" t="str">
        <f>G15</f>
        <v>估价对象周边居住用地比例、居住小区规模和社区发展完善程度，综合评价居住社区成熟度较好</v>
      </c>
      <c r="J15" s="420">
        <f>SUMIF(76:76,I16,77:77)-SUMIF(76:76,C16,77:77)+100</f>
        <v>100</v>
      </c>
      <c r="K15" s="424"/>
      <c r="L15" s="1253"/>
      <c r="M15" s="1244"/>
      <c r="N15" s="1244"/>
      <c r="O15" s="1244"/>
      <c r="P15" s="3042" t="s">
        <v>2364</v>
      </c>
      <c r="Q15" s="2718" t="str">
        <f t="shared" si="6"/>
        <v>居住社区成熟度</v>
      </c>
      <c r="R15" s="753" t="s">
        <v>28</v>
      </c>
      <c r="S15" s="754">
        <f t="shared" si="0"/>
        <v>100</v>
      </c>
      <c r="T15" s="753" t="s">
        <v>28</v>
      </c>
      <c r="U15" s="754">
        <f t="shared" si="1"/>
        <v>100</v>
      </c>
      <c r="V15" s="753" t="s">
        <v>28</v>
      </c>
      <c r="W15" s="754">
        <f t="shared" si="2"/>
        <v>100</v>
      </c>
      <c r="X15" s="2719"/>
      <c r="Y15" s="3044" t="s">
        <v>2364</v>
      </c>
      <c r="Z15" s="2720" t="str">
        <f t="shared" si="7"/>
        <v>居住社区成熟度</v>
      </c>
      <c r="AA15" s="2717">
        <f t="shared" si="3"/>
        <v>1</v>
      </c>
      <c r="AB15" s="2717">
        <f t="shared" si="4"/>
        <v>1</v>
      </c>
      <c r="AC15" s="2717">
        <f t="shared" si="5"/>
        <v>1</v>
      </c>
    </row>
    <row r="16" spans="1:29" ht="15">
      <c r="A16" s="408"/>
      <c r="B16" s="425"/>
      <c r="C16" s="426" t="s">
        <v>30</v>
      </c>
      <c r="D16" s="427"/>
      <c r="E16" s="426" t="s">
        <v>30</v>
      </c>
      <c r="F16" s="429"/>
      <c r="G16" s="426" t="s">
        <v>30</v>
      </c>
      <c r="H16" s="430"/>
      <c r="I16" s="426" t="s">
        <v>30</v>
      </c>
      <c r="J16" s="427"/>
      <c r="K16" s="2403"/>
      <c r="L16" s="1253"/>
      <c r="M16" s="1244"/>
      <c r="N16" s="1244"/>
      <c r="O16" s="1244"/>
      <c r="P16" s="3043"/>
      <c r="Q16" s="2718"/>
      <c r="R16" s="753"/>
      <c r="S16" s="754"/>
      <c r="T16" s="753"/>
      <c r="U16" s="754"/>
      <c r="V16" s="753"/>
      <c r="W16" s="754"/>
      <c r="X16" s="2719"/>
      <c r="Y16" s="3045"/>
      <c r="Z16" s="2720"/>
      <c r="AA16" s="2717">
        <v>1</v>
      </c>
      <c r="AB16" s="2717">
        <v>1</v>
      </c>
      <c r="AC16" s="2717">
        <v>1</v>
      </c>
    </row>
    <row r="17" spans="1:29" ht="85.5">
      <c r="A17" s="408"/>
      <c r="B17" s="431" t="s">
        <v>1750</v>
      </c>
      <c r="C17" s="2404" t="str">
        <f>估价对象房地状况!C6</f>
        <v>估价对象周边道路状况、公共交通通达情况、停车便捷程度，综合评价交通便捷度较好</v>
      </c>
      <c r="D17" s="430">
        <v>100</v>
      </c>
      <c r="E17" s="2739" t="str">
        <f>C17</f>
        <v>估价对象周边道路状况、公共交通通达情况、停车便捷程度，综合评价交通便捷度较好</v>
      </c>
      <c r="F17" s="433">
        <f>SUMIF(78:78,E18,79:79)-SUMIF(78:78,C18,79:79)+100</f>
        <v>100</v>
      </c>
      <c r="G17" s="2739" t="str">
        <f>E17</f>
        <v>估价对象周边道路状况、公共交通通达情况、停车便捷程度，综合评价交通便捷度较好</v>
      </c>
      <c r="H17" s="435">
        <f>SUMIF(78:78,G18,79:79)-SUMIF(78:78,C18,79:79)+100</f>
        <v>100</v>
      </c>
      <c r="I17" s="2739" t="str">
        <f>G17</f>
        <v>估价对象周边道路状况、公共交通通达情况、停车便捷程度，综合评价交通便捷度较好</v>
      </c>
      <c r="J17" s="435">
        <f>SUMIF(78:78,I18,79:79)-SUMIF(78:78,C18,79:79)+100</f>
        <v>100</v>
      </c>
      <c r="K17" s="424"/>
      <c r="L17" s="1253"/>
      <c r="M17" s="1244"/>
      <c r="N17" s="1244"/>
      <c r="O17" s="1244"/>
      <c r="P17" s="3043"/>
      <c r="Q17" s="2718" t="str">
        <f>B17</f>
        <v>交通便捷度</v>
      </c>
      <c r="R17" s="753" t="s">
        <v>28</v>
      </c>
      <c r="S17" s="754">
        <f>F17</f>
        <v>100</v>
      </c>
      <c r="T17" s="753" t="s">
        <v>28</v>
      </c>
      <c r="U17" s="754">
        <f>H17</f>
        <v>100</v>
      </c>
      <c r="V17" s="753" t="s">
        <v>28</v>
      </c>
      <c r="W17" s="754">
        <f>J17</f>
        <v>100</v>
      </c>
      <c r="X17" s="2719"/>
      <c r="Y17" s="3045"/>
      <c r="Z17" s="2720" t="str">
        <f>Q17</f>
        <v>交通便捷度</v>
      </c>
      <c r="AA17" s="2717">
        <f t="shared" si="3"/>
        <v>1</v>
      </c>
      <c r="AB17" s="2717">
        <f t="shared" si="4"/>
        <v>1</v>
      </c>
      <c r="AC17" s="2717">
        <f t="shared" si="5"/>
        <v>1</v>
      </c>
    </row>
    <row r="18" spans="1:29" ht="15">
      <c r="A18" s="408"/>
      <c r="B18" s="436"/>
      <c r="C18" s="437" t="s">
        <v>30</v>
      </c>
      <c r="D18" s="430"/>
      <c r="E18" s="437" t="s">
        <v>30</v>
      </c>
      <c r="F18" s="433"/>
      <c r="G18" s="437" t="s">
        <v>30</v>
      </c>
      <c r="H18" s="427"/>
      <c r="I18" s="437" t="s">
        <v>30</v>
      </c>
      <c r="J18" s="427"/>
      <c r="K18" s="2403"/>
      <c r="L18" s="1253"/>
      <c r="M18" s="1244"/>
      <c r="N18" s="1244"/>
      <c r="O18" s="1244"/>
      <c r="P18" s="3043"/>
      <c r="Q18" s="2718"/>
      <c r="R18" s="753"/>
      <c r="S18" s="754"/>
      <c r="T18" s="753"/>
      <c r="U18" s="754"/>
      <c r="V18" s="753"/>
      <c r="W18" s="754"/>
      <c r="X18" s="2719"/>
      <c r="Y18" s="3045"/>
      <c r="Z18" s="2720"/>
      <c r="AA18" s="2717">
        <v>1</v>
      </c>
      <c r="AB18" s="2717">
        <v>1</v>
      </c>
      <c r="AC18" s="2717">
        <v>1</v>
      </c>
    </row>
    <row r="19" spans="1:29" ht="42.75">
      <c r="A19" s="408"/>
      <c r="B19" s="431" t="s">
        <v>1748</v>
      </c>
      <c r="C19" s="2404" t="str">
        <f>估价对象房地状况!C7</f>
        <v>估价对象所在区域公共配套设施齐备情况</v>
      </c>
      <c r="D19" s="435">
        <v>100</v>
      </c>
      <c r="E19" s="2739" t="str">
        <f>C19</f>
        <v>估价对象所在区域公共配套设施齐备情况</v>
      </c>
      <c r="F19" s="439">
        <f>SUMIF(80:80,E20,81:81)-SUMIF(80:80,C20,81:81)+100</f>
        <v>100</v>
      </c>
      <c r="G19" s="2739" t="str">
        <f>E19</f>
        <v>估价对象所在区域公共配套设施齐备情况</v>
      </c>
      <c r="H19" s="430">
        <f>SUMIF(80:80,G20,81:81)-SUMIF(80:80,C20,81:81)+100</f>
        <v>100</v>
      </c>
      <c r="I19" s="2739" t="str">
        <f>G19</f>
        <v>估价对象所在区域公共配套设施齐备情况</v>
      </c>
      <c r="J19" s="430">
        <f>SUMIF(80:80,I20,81:81)-SUMIF(80:80,C20,81:81)+100</f>
        <v>100</v>
      </c>
      <c r="K19" s="424"/>
      <c r="L19" s="1253"/>
      <c r="M19" s="1244"/>
      <c r="N19" s="1244"/>
      <c r="O19" s="1244"/>
      <c r="P19" s="3043"/>
      <c r="Q19" s="2718" t="str">
        <f>B19</f>
        <v>公共配套设施</v>
      </c>
      <c r="R19" s="753" t="s">
        <v>28</v>
      </c>
      <c r="S19" s="754">
        <f>F19</f>
        <v>100</v>
      </c>
      <c r="T19" s="753" t="s">
        <v>28</v>
      </c>
      <c r="U19" s="754">
        <f>H19</f>
        <v>100</v>
      </c>
      <c r="V19" s="753" t="s">
        <v>28</v>
      </c>
      <c r="W19" s="754">
        <f>J19</f>
        <v>100</v>
      </c>
      <c r="X19" s="2719"/>
      <c r="Y19" s="3045"/>
      <c r="Z19" s="2720" t="str">
        <f>Q19</f>
        <v>公共配套设施</v>
      </c>
      <c r="AA19" s="2717">
        <f t="shared" si="3"/>
        <v>1</v>
      </c>
      <c r="AB19" s="2717">
        <f t="shared" si="4"/>
        <v>1</v>
      </c>
      <c r="AC19" s="2717">
        <f t="shared" si="5"/>
        <v>1</v>
      </c>
    </row>
    <row r="20" spans="1:29" ht="15">
      <c r="A20" s="408"/>
      <c r="B20" s="436"/>
      <c r="C20" s="426" t="s">
        <v>30</v>
      </c>
      <c r="D20" s="427"/>
      <c r="E20" s="426" t="s">
        <v>30</v>
      </c>
      <c r="F20" s="429"/>
      <c r="G20" s="426" t="s">
        <v>30</v>
      </c>
      <c r="H20" s="427"/>
      <c r="I20" s="426" t="s">
        <v>30</v>
      </c>
      <c r="J20" s="427"/>
      <c r="K20" s="2403"/>
      <c r="L20" s="1253"/>
      <c r="M20" s="1244"/>
      <c r="N20" s="1244"/>
      <c r="O20" s="1244"/>
      <c r="P20" s="3043"/>
      <c r="Q20" s="2718"/>
      <c r="R20" s="753"/>
      <c r="S20" s="754"/>
      <c r="T20" s="753"/>
      <c r="U20" s="754"/>
      <c r="V20" s="753"/>
      <c r="W20" s="754"/>
      <c r="X20" s="2719"/>
      <c r="Y20" s="3045"/>
      <c r="Z20" s="2720"/>
      <c r="AA20" s="2717">
        <v>1</v>
      </c>
      <c r="AB20" s="2717">
        <v>1</v>
      </c>
      <c r="AC20" s="2717">
        <v>1</v>
      </c>
    </row>
    <row r="21" spans="1:29" ht="28.5">
      <c r="A21" s="408"/>
      <c r="B21" s="2406" t="s">
        <v>1751</v>
      </c>
      <c r="C21" s="2404" t="str">
        <f>估价对象房地状况!C8</f>
        <v>估价对象所在区域基础设施水平</v>
      </c>
      <c r="D21" s="435">
        <v>100</v>
      </c>
      <c r="E21" s="2739" t="str">
        <f>C21</f>
        <v>估价对象所在区域基础设施水平</v>
      </c>
      <c r="F21" s="439">
        <f>SUMIF(82:82,E22,83:83)-SUMIF(82:82,C22,83:83)+100</f>
        <v>100</v>
      </c>
      <c r="G21" s="2739" t="str">
        <f>E21</f>
        <v>估价对象所在区域基础设施水平</v>
      </c>
      <c r="H21" s="430">
        <f>SUMIF(82:82,G22,83:83)-SUMIF(82:82,C22,83:83)+100</f>
        <v>100</v>
      </c>
      <c r="I21" s="2739" t="str">
        <f>G21</f>
        <v>估价对象所在区域基础设施水平</v>
      </c>
      <c r="J21" s="430">
        <f>SUMIF(82:82,I22,83:83)-SUMIF(82:82,C22,83:83)+100</f>
        <v>100</v>
      </c>
      <c r="K21" s="424"/>
      <c r="L21" s="1253"/>
      <c r="M21" s="1244"/>
      <c r="N21" s="1244"/>
      <c r="O21" s="1244"/>
      <c r="P21" s="3043"/>
      <c r="Q21" s="2718" t="str">
        <f>B21</f>
        <v>基础设施水平</v>
      </c>
      <c r="R21" s="753" t="s">
        <v>28</v>
      </c>
      <c r="S21" s="754">
        <f>F21</f>
        <v>100</v>
      </c>
      <c r="T21" s="753" t="s">
        <v>28</v>
      </c>
      <c r="U21" s="754">
        <f>H21</f>
        <v>100</v>
      </c>
      <c r="V21" s="753" t="s">
        <v>28</v>
      </c>
      <c r="W21" s="754">
        <f>J21</f>
        <v>100</v>
      </c>
      <c r="X21" s="2719"/>
      <c r="Y21" s="3045"/>
      <c r="Z21" s="2720" t="str">
        <f>Q21</f>
        <v>基础设施水平</v>
      </c>
      <c r="AA21" s="2717">
        <f t="shared" ref="AA21" si="8">D21/F21</f>
        <v>1</v>
      </c>
      <c r="AB21" s="2717">
        <f t="shared" ref="AB21" si="9">D21/H21</f>
        <v>1</v>
      </c>
      <c r="AC21" s="2717">
        <f t="shared" ref="AC21" si="10">D21/J21</f>
        <v>1</v>
      </c>
    </row>
    <row r="22" spans="1:29" ht="15">
      <c r="A22" s="408"/>
      <c r="B22" s="2406"/>
      <c r="C22" s="437" t="s">
        <v>2838</v>
      </c>
      <c r="D22" s="427"/>
      <c r="E22" s="437" t="s">
        <v>2838</v>
      </c>
      <c r="F22" s="429"/>
      <c r="G22" s="437" t="s">
        <v>2838</v>
      </c>
      <c r="H22" s="427"/>
      <c r="I22" s="437" t="s">
        <v>2838</v>
      </c>
      <c r="J22" s="427"/>
      <c r="K22" s="2407"/>
      <c r="L22" s="1253"/>
      <c r="M22" s="1244"/>
      <c r="N22" s="1244"/>
      <c r="O22" s="1244"/>
      <c r="P22" s="3043"/>
      <c r="Q22" s="2718"/>
      <c r="R22" s="753"/>
      <c r="S22" s="754"/>
      <c r="T22" s="753"/>
      <c r="U22" s="754"/>
      <c r="V22" s="753"/>
      <c r="W22" s="754"/>
      <c r="X22" s="2719"/>
      <c r="Y22" s="3045"/>
      <c r="Z22" s="2720"/>
      <c r="AA22" s="2717">
        <v>1</v>
      </c>
      <c r="AB22" s="2717">
        <v>1</v>
      </c>
      <c r="AC22" s="2717">
        <v>1</v>
      </c>
    </row>
    <row r="23" spans="1:29" ht="57">
      <c r="A23" s="408"/>
      <c r="B23" s="431" t="s">
        <v>1755</v>
      </c>
      <c r="C23" s="2404" t="str">
        <f>估价对象房地状况!C9</f>
        <v>区域自然环境：；人文环境；综合评价环境状况一般</v>
      </c>
      <c r="D23" s="430">
        <v>100</v>
      </c>
      <c r="E23" s="2739" t="str">
        <f>C23</f>
        <v>区域自然环境：；人文环境；综合评价环境状况一般</v>
      </c>
      <c r="F23" s="433">
        <f>SUMIF(84:84,E24,85:85)-SUMIF(84:84,C24,85:85)+100</f>
        <v>100</v>
      </c>
      <c r="G23" s="2739" t="str">
        <f>E23</f>
        <v>区域自然环境：；人文环境；综合评价环境状况一般</v>
      </c>
      <c r="H23" s="430">
        <f>SUMIF(84:84,G24,85:85)-SUMIF(84:84,C24,85:85)+100</f>
        <v>100</v>
      </c>
      <c r="I23" s="2739" t="str">
        <f>G23</f>
        <v>区域自然环境：；人文环境；综合评价环境状况一般</v>
      </c>
      <c r="J23" s="430">
        <f>SUMIF(84:84,I24,85:85)-SUMIF(84:84,C24,85:85)+100</f>
        <v>100</v>
      </c>
      <c r="K23" s="424"/>
      <c r="L23" s="1253"/>
      <c r="M23" s="1244"/>
      <c r="N23" s="1244"/>
      <c r="O23" s="1244"/>
      <c r="P23" s="3043"/>
      <c r="Q23" s="2718" t="str">
        <f>B23</f>
        <v>自然及人文环境</v>
      </c>
      <c r="R23" s="753" t="s">
        <v>28</v>
      </c>
      <c r="S23" s="754">
        <f>F23</f>
        <v>100</v>
      </c>
      <c r="T23" s="753" t="s">
        <v>28</v>
      </c>
      <c r="U23" s="754">
        <f>H23</f>
        <v>100</v>
      </c>
      <c r="V23" s="753" t="s">
        <v>28</v>
      </c>
      <c r="W23" s="754">
        <f>J23</f>
        <v>100</v>
      </c>
      <c r="X23" s="2719"/>
      <c r="Y23" s="3045"/>
      <c r="Z23" s="2720" t="str">
        <f>Q23</f>
        <v>自然及人文环境</v>
      </c>
      <c r="AA23" s="2717">
        <f t="shared" si="3"/>
        <v>1</v>
      </c>
      <c r="AB23" s="2717">
        <f t="shared" si="4"/>
        <v>1</v>
      </c>
      <c r="AC23" s="2717">
        <f t="shared" si="5"/>
        <v>1</v>
      </c>
    </row>
    <row r="24" spans="1:29" ht="15">
      <c r="A24" s="408"/>
      <c r="B24" s="436"/>
      <c r="C24" s="426" t="s">
        <v>31</v>
      </c>
      <c r="D24" s="427"/>
      <c r="E24" s="426" t="s">
        <v>31</v>
      </c>
      <c r="F24" s="429"/>
      <c r="G24" s="426" t="s">
        <v>31</v>
      </c>
      <c r="H24" s="427"/>
      <c r="I24" s="426" t="s">
        <v>31</v>
      </c>
      <c r="J24" s="427"/>
      <c r="K24" s="2403"/>
      <c r="L24" s="1253"/>
      <c r="M24" s="1244"/>
      <c r="N24" s="1244"/>
      <c r="O24" s="1244"/>
      <c r="P24" s="3043"/>
      <c r="Q24" s="2718"/>
      <c r="R24" s="753"/>
      <c r="S24" s="754"/>
      <c r="T24" s="753"/>
      <c r="U24" s="754"/>
      <c r="V24" s="753"/>
      <c r="W24" s="754"/>
      <c r="X24" s="2719"/>
      <c r="Y24" s="3045"/>
      <c r="Z24" s="2720"/>
      <c r="AA24" s="2717">
        <v>1</v>
      </c>
      <c r="AB24" s="2717">
        <v>1</v>
      </c>
      <c r="AC24" s="2717">
        <v>1</v>
      </c>
    </row>
    <row r="25" spans="1:29" ht="15">
      <c r="A25" s="408"/>
      <c r="B25" s="2716" t="s">
        <v>2365</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43"/>
      <c r="Q25" s="2718" t="str">
        <f t="shared" ref="Q25:Q46" si="11">B25</f>
        <v>楼层-1</v>
      </c>
      <c r="R25" s="753" t="s">
        <v>28</v>
      </c>
      <c r="S25" s="754">
        <f>F25</f>
        <v>100</v>
      </c>
      <c r="T25" s="753" t="s">
        <v>28</v>
      </c>
      <c r="U25" s="754">
        <f>H25</f>
        <v>100</v>
      </c>
      <c r="V25" s="753" t="s">
        <v>28</v>
      </c>
      <c r="W25" s="754">
        <f>J25</f>
        <v>100</v>
      </c>
      <c r="X25" s="2719"/>
      <c r="Y25" s="3045"/>
      <c r="Z25" s="2720" t="str">
        <f>Q25</f>
        <v>楼层-1</v>
      </c>
      <c r="AA25" s="2717">
        <f t="shared" si="3"/>
        <v>1</v>
      </c>
      <c r="AB25" s="2717">
        <f t="shared" si="4"/>
        <v>1</v>
      </c>
      <c r="AC25" s="2717">
        <f t="shared" si="5"/>
        <v>1</v>
      </c>
    </row>
    <row r="26" spans="1:29" ht="15">
      <c r="A26" s="408"/>
      <c r="B26" s="2716" t="s">
        <v>2366</v>
      </c>
      <c r="C26" s="441" t="s">
        <v>2851</v>
      </c>
      <c r="D26" s="415">
        <v>100</v>
      </c>
      <c r="E26" s="2408" t="s">
        <v>2854</v>
      </c>
      <c r="F26" s="442">
        <f>SUMIF(88:88,E26,89:89)-SUMIF(88:88,C26,89:89)+100</f>
        <v>99</v>
      </c>
      <c r="G26" s="2409" t="s">
        <v>2856</v>
      </c>
      <c r="H26" s="415">
        <f>SUMIF(88:88,G26,89:89)-SUMIF(88:88,C26,89:89)+100</f>
        <v>98.5</v>
      </c>
      <c r="I26" s="2408" t="s">
        <v>2851</v>
      </c>
      <c r="J26" s="415">
        <f>SUMIF(88:88,I26,89:89)-SUMIF(88:88,C26,89:89)+100</f>
        <v>100</v>
      </c>
      <c r="K26" s="406">
        <v>0.5</v>
      </c>
      <c r="L26" s="1253"/>
      <c r="M26" s="1244"/>
      <c r="N26" s="1244"/>
      <c r="O26" s="1244"/>
      <c r="P26" s="3043"/>
      <c r="Q26" s="2718" t="str">
        <f t="shared" si="11"/>
        <v>朝向</v>
      </c>
      <c r="R26" s="753" t="s">
        <v>28</v>
      </c>
      <c r="S26" s="754">
        <f>F26</f>
        <v>99</v>
      </c>
      <c r="T26" s="753" t="s">
        <v>28</v>
      </c>
      <c r="U26" s="754">
        <f>H26</f>
        <v>98.5</v>
      </c>
      <c r="V26" s="753" t="s">
        <v>28</v>
      </c>
      <c r="W26" s="754">
        <f>J26</f>
        <v>100</v>
      </c>
      <c r="X26" s="2719"/>
      <c r="Y26" s="3045"/>
      <c r="Z26" s="2720" t="str">
        <f>Q26</f>
        <v>朝向</v>
      </c>
      <c r="AA26" s="2717">
        <f t="shared" si="3"/>
        <v>1.0101010101010102</v>
      </c>
      <c r="AB26" s="2717">
        <f t="shared" si="4"/>
        <v>1.015228426395939</v>
      </c>
      <c r="AC26" s="2717">
        <f t="shared" si="5"/>
        <v>1</v>
      </c>
    </row>
    <row r="27" spans="1:29" s="35" customFormat="1" ht="15">
      <c r="A27" s="411"/>
      <c r="B27" s="2397" t="s">
        <v>2367</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43"/>
      <c r="Q27" s="2715" t="str">
        <f t="shared" si="11"/>
        <v>道路级别</v>
      </c>
      <c r="R27" s="749" t="s">
        <v>28</v>
      </c>
      <c r="S27" s="750">
        <f>F27</f>
        <v>100</v>
      </c>
      <c r="T27" s="749" t="s">
        <v>28</v>
      </c>
      <c r="U27" s="750">
        <f>H27</f>
        <v>100</v>
      </c>
      <c r="V27" s="749" t="s">
        <v>28</v>
      </c>
      <c r="W27" s="750">
        <f>J27</f>
        <v>100</v>
      </c>
      <c r="X27" s="751"/>
      <c r="Y27" s="3045"/>
      <c r="Z27" s="23" t="str">
        <f>Q27</f>
        <v>道路级别</v>
      </c>
      <c r="AA27" s="2717">
        <f>D27/F27</f>
        <v>1</v>
      </c>
      <c r="AB27" s="2717">
        <f>D27/H27</f>
        <v>1</v>
      </c>
      <c r="AC27" s="2717">
        <f>D27/J27</f>
        <v>1</v>
      </c>
    </row>
    <row r="28" spans="1:29" ht="15">
      <c r="A28" s="408"/>
      <c r="B28" s="2741" t="s">
        <v>2843</v>
      </c>
      <c r="C28" s="2742" t="s">
        <v>2841</v>
      </c>
      <c r="D28" s="415">
        <v>100</v>
      </c>
      <c r="E28" s="2742" t="s">
        <v>2839</v>
      </c>
      <c r="F28" s="442">
        <f>SUMIF(92:92,E28,93:93)-SUMIF(92:92,C28,93:93)+100</f>
        <v>98</v>
      </c>
      <c r="G28" s="2742" t="s">
        <v>2842</v>
      </c>
      <c r="H28" s="415">
        <f>SUMIF(92:92,G28,93:93)-SUMIF(92:92,C28,93:93)+100</f>
        <v>102</v>
      </c>
      <c r="I28" s="2742" t="s">
        <v>2842</v>
      </c>
      <c r="J28" s="415">
        <f>SUMIF(92:92,I28,93:93)-SUMIF(92:92,C28,93:93)+100</f>
        <v>102</v>
      </c>
      <c r="K28" s="2398"/>
      <c r="L28" s="1253"/>
      <c r="M28" s="1244"/>
      <c r="N28" s="1244"/>
      <c r="O28" s="1244"/>
      <c r="P28" s="3043"/>
      <c r="Q28" s="2718" t="str">
        <f t="shared" si="11"/>
        <v>楼层</v>
      </c>
      <c r="R28" s="753" t="s">
        <v>28</v>
      </c>
      <c r="S28" s="754">
        <f t="shared" ref="S28:S46" si="12">F28</f>
        <v>98</v>
      </c>
      <c r="T28" s="753" t="s">
        <v>28</v>
      </c>
      <c r="U28" s="754">
        <f t="shared" ref="U28:U46" si="13">H28</f>
        <v>102</v>
      </c>
      <c r="V28" s="753" t="s">
        <v>28</v>
      </c>
      <c r="W28" s="754">
        <f t="shared" ref="W28:W46" si="14">J28</f>
        <v>102</v>
      </c>
      <c r="X28" s="2719"/>
      <c r="Y28" s="3045"/>
      <c r="Z28" s="2720" t="str">
        <f t="shared" ref="Z28:Z46" si="15">Q28</f>
        <v>楼层</v>
      </c>
      <c r="AA28" s="2717">
        <f t="shared" si="3"/>
        <v>1.0204081632653061</v>
      </c>
      <c r="AB28" s="2717">
        <f t="shared" si="4"/>
        <v>0.98039215686274506</v>
      </c>
      <c r="AC28" s="2717">
        <f t="shared" si="5"/>
        <v>0.98039215686274506</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43"/>
      <c r="Q29" s="2718">
        <f t="shared" si="11"/>
        <v>111</v>
      </c>
      <c r="R29" s="753" t="s">
        <v>28</v>
      </c>
      <c r="S29" s="754">
        <f t="shared" si="12"/>
        <v>100</v>
      </c>
      <c r="T29" s="753" t="s">
        <v>28</v>
      </c>
      <c r="U29" s="754">
        <f t="shared" si="13"/>
        <v>100</v>
      </c>
      <c r="V29" s="753" t="s">
        <v>28</v>
      </c>
      <c r="W29" s="754">
        <f t="shared" si="14"/>
        <v>100</v>
      </c>
      <c r="X29" s="2719"/>
      <c r="Y29" s="3045"/>
      <c r="Z29" s="2720">
        <f t="shared" si="15"/>
        <v>111</v>
      </c>
      <c r="AA29" s="2717">
        <f t="shared" si="3"/>
        <v>1</v>
      </c>
      <c r="AB29" s="2717">
        <f t="shared" si="4"/>
        <v>1</v>
      </c>
      <c r="AC29" s="2717">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43"/>
      <c r="Q30" s="2718">
        <f t="shared" si="11"/>
        <v>111</v>
      </c>
      <c r="R30" s="753" t="s">
        <v>28</v>
      </c>
      <c r="S30" s="754">
        <f t="shared" si="12"/>
        <v>100</v>
      </c>
      <c r="T30" s="753" t="s">
        <v>28</v>
      </c>
      <c r="U30" s="754">
        <f t="shared" si="13"/>
        <v>100</v>
      </c>
      <c r="V30" s="753" t="s">
        <v>28</v>
      </c>
      <c r="W30" s="754">
        <f t="shared" si="14"/>
        <v>100</v>
      </c>
      <c r="X30" s="2719"/>
      <c r="Y30" s="3045"/>
      <c r="Z30" s="2720">
        <f t="shared" si="15"/>
        <v>111</v>
      </c>
      <c r="AA30" s="2717">
        <f t="shared" si="3"/>
        <v>1</v>
      </c>
      <c r="AB30" s="2717">
        <f t="shared" si="4"/>
        <v>1</v>
      </c>
      <c r="AC30" s="2717">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43"/>
      <c r="Q31" s="2718">
        <f t="shared" si="11"/>
        <v>111</v>
      </c>
      <c r="R31" s="753" t="s">
        <v>28</v>
      </c>
      <c r="S31" s="754">
        <f t="shared" si="12"/>
        <v>100</v>
      </c>
      <c r="T31" s="753" t="s">
        <v>28</v>
      </c>
      <c r="U31" s="754">
        <f t="shared" si="13"/>
        <v>100</v>
      </c>
      <c r="V31" s="753" t="s">
        <v>28</v>
      </c>
      <c r="W31" s="754">
        <f t="shared" si="14"/>
        <v>100</v>
      </c>
      <c r="X31" s="2719"/>
      <c r="Y31" s="3045"/>
      <c r="Z31" s="2720">
        <f t="shared" si="15"/>
        <v>111</v>
      </c>
      <c r="AA31" s="2717">
        <f t="shared" si="3"/>
        <v>1</v>
      </c>
      <c r="AB31" s="2717">
        <f t="shared" si="4"/>
        <v>1</v>
      </c>
      <c r="AC31" s="2717">
        <f t="shared" si="5"/>
        <v>1</v>
      </c>
    </row>
    <row r="32" spans="1:29" ht="15">
      <c r="A32" s="419" t="s">
        <v>2368</v>
      </c>
      <c r="B32" s="28" t="s">
        <v>2369</v>
      </c>
      <c r="C32" s="2411" t="s">
        <v>2858</v>
      </c>
      <c r="D32" s="448">
        <v>100</v>
      </c>
      <c r="E32" s="2411" t="s">
        <v>2858</v>
      </c>
      <c r="F32" s="442">
        <f>SUMIF(100:100,E32,101:101)-SUMIF(100:100,C32,101:101)+100</f>
        <v>100</v>
      </c>
      <c r="G32" s="2411" t="s">
        <v>2858</v>
      </c>
      <c r="H32" s="448">
        <f>SUMIF(100:100,G32,101:101)-SUMIF(100:100,C32,101:101)+100</f>
        <v>100</v>
      </c>
      <c r="I32" s="2411" t="s">
        <v>2858</v>
      </c>
      <c r="J32" s="415">
        <f>SUMIF(100:100,I32,101:101)-SUMIF(100:100,C32,101:101)+100</f>
        <v>100</v>
      </c>
      <c r="K32" s="406">
        <v>1</v>
      </c>
      <c r="L32" s="1253"/>
      <c r="M32" s="1244"/>
      <c r="N32" s="1244"/>
      <c r="O32" s="1244"/>
      <c r="P32" s="3046" t="s">
        <v>2370</v>
      </c>
      <c r="Q32" s="2718" t="str">
        <f t="shared" si="11"/>
        <v>建筑类型</v>
      </c>
      <c r="R32" s="753" t="s">
        <v>28</v>
      </c>
      <c r="S32" s="754">
        <f t="shared" si="12"/>
        <v>100</v>
      </c>
      <c r="T32" s="753" t="s">
        <v>28</v>
      </c>
      <c r="U32" s="754">
        <f t="shared" si="13"/>
        <v>100</v>
      </c>
      <c r="V32" s="753" t="s">
        <v>28</v>
      </c>
      <c r="W32" s="754">
        <f t="shared" si="14"/>
        <v>100</v>
      </c>
      <c r="X32" s="2719"/>
      <c r="Y32" s="3049" t="s">
        <v>2370</v>
      </c>
      <c r="Z32" s="2720" t="str">
        <f t="shared" si="15"/>
        <v>建筑类型</v>
      </c>
      <c r="AA32" s="2717">
        <f t="shared" si="3"/>
        <v>1</v>
      </c>
      <c r="AB32" s="2717">
        <f t="shared" si="4"/>
        <v>1</v>
      </c>
      <c r="AC32" s="2717">
        <f t="shared" si="5"/>
        <v>1</v>
      </c>
    </row>
    <row r="33" spans="1:29" s="452" customFormat="1" ht="15">
      <c r="A33" s="449"/>
      <c r="B33" s="2716" t="s">
        <v>2371</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8"/>
      <c r="L33" s="1251"/>
      <c r="M33" s="1254"/>
      <c r="N33" s="1254"/>
      <c r="O33" s="1254"/>
      <c r="P33" s="3047"/>
      <c r="Q33" s="755" t="str">
        <f t="shared" si="11"/>
        <v>项目建筑规模</v>
      </c>
      <c r="R33" s="756" t="s">
        <v>28</v>
      </c>
      <c r="S33" s="757">
        <f t="shared" si="12"/>
        <v>100</v>
      </c>
      <c r="T33" s="756" t="s">
        <v>28</v>
      </c>
      <c r="U33" s="757">
        <f t="shared" si="13"/>
        <v>100</v>
      </c>
      <c r="V33" s="756" t="s">
        <v>28</v>
      </c>
      <c r="W33" s="757">
        <f t="shared" si="14"/>
        <v>100</v>
      </c>
      <c r="X33" s="758"/>
      <c r="Y33" s="3049"/>
      <c r="Z33" s="759" t="str">
        <f t="shared" si="15"/>
        <v>项目建筑规模</v>
      </c>
      <c r="AA33" s="2717">
        <f t="shared" si="3"/>
        <v>1</v>
      </c>
      <c r="AB33" s="2717">
        <f t="shared" si="4"/>
        <v>1</v>
      </c>
      <c r="AC33" s="2717">
        <f t="shared" si="5"/>
        <v>1</v>
      </c>
    </row>
    <row r="34" spans="1:29" ht="15">
      <c r="A34" s="453"/>
      <c r="B34" s="2716" t="s">
        <v>2372</v>
      </c>
      <c r="C34" s="2413" t="s">
        <v>2860</v>
      </c>
      <c r="D34" s="415">
        <v>100</v>
      </c>
      <c r="E34" s="2413" t="s">
        <v>2860</v>
      </c>
      <c r="F34" s="442">
        <f>SUMIF(105:105,E34,106:106)-SUMIF(105:105,C34,106:106)+100</f>
        <v>100</v>
      </c>
      <c r="G34" s="2413" t="s">
        <v>2860</v>
      </c>
      <c r="H34" s="415">
        <f>SUMIF(105:105,G34,106:106)-SUMIF(105:105,C34,106:106)+100</f>
        <v>100</v>
      </c>
      <c r="I34" s="2413" t="s">
        <v>2860</v>
      </c>
      <c r="J34" s="415">
        <f>SUMIF(105:105,I34,106:106)-SUMIF(105:105,C34,106:106)+100</f>
        <v>100</v>
      </c>
      <c r="K34" s="406">
        <v>1</v>
      </c>
      <c r="L34" s="1253"/>
      <c r="M34" s="1244"/>
      <c r="N34" s="1244"/>
      <c r="O34" s="1244"/>
      <c r="P34" s="3047"/>
      <c r="Q34" s="2718" t="str">
        <f t="shared" si="11"/>
        <v>建筑结构</v>
      </c>
      <c r="R34" s="753" t="s">
        <v>28</v>
      </c>
      <c r="S34" s="754">
        <f t="shared" si="12"/>
        <v>100</v>
      </c>
      <c r="T34" s="753" t="s">
        <v>28</v>
      </c>
      <c r="U34" s="754">
        <f t="shared" si="13"/>
        <v>100</v>
      </c>
      <c r="V34" s="753" t="s">
        <v>28</v>
      </c>
      <c r="W34" s="754">
        <f t="shared" si="14"/>
        <v>100</v>
      </c>
      <c r="X34" s="2719"/>
      <c r="Y34" s="3049"/>
      <c r="Z34" s="2720" t="str">
        <f t="shared" si="15"/>
        <v>建筑结构</v>
      </c>
      <c r="AA34" s="2717">
        <f t="shared" si="3"/>
        <v>1</v>
      </c>
      <c r="AB34" s="2717">
        <f t="shared" si="4"/>
        <v>1</v>
      </c>
      <c r="AC34" s="2717">
        <f t="shared" si="5"/>
        <v>1</v>
      </c>
    </row>
    <row r="35" spans="1:29" ht="15">
      <c r="A35" s="453"/>
      <c r="B35" s="2716" t="s">
        <v>2373</v>
      </c>
      <c r="C35" s="2409" t="s">
        <v>30</v>
      </c>
      <c r="D35" s="415">
        <v>100</v>
      </c>
      <c r="E35" s="2409" t="s">
        <v>30</v>
      </c>
      <c r="F35" s="442">
        <f>SUMIF(107:107,E35,108:108)-SUMIF(107:107,C35,108:108)+100</f>
        <v>100</v>
      </c>
      <c r="G35" s="2409" t="s">
        <v>30</v>
      </c>
      <c r="H35" s="415">
        <f>SUMIF(107:107,G35,108:108)-SUMIF(107:107,C35,108:108)+100</f>
        <v>100</v>
      </c>
      <c r="I35" s="2409" t="s">
        <v>30</v>
      </c>
      <c r="J35" s="415">
        <f>SUMIF(107:107,I35,108:108)-SUMIF(107:107,C35,108:108)+100</f>
        <v>100</v>
      </c>
      <c r="K35" s="406">
        <v>1</v>
      </c>
      <c r="L35" s="1253"/>
      <c r="M35" s="1244"/>
      <c r="N35" s="1244"/>
      <c r="O35" s="1244"/>
      <c r="P35" s="3047"/>
      <c r="Q35" s="2718" t="str">
        <f t="shared" si="11"/>
        <v>建筑品质</v>
      </c>
      <c r="R35" s="753" t="s">
        <v>28</v>
      </c>
      <c r="S35" s="754">
        <f t="shared" si="12"/>
        <v>100</v>
      </c>
      <c r="T35" s="753" t="s">
        <v>28</v>
      </c>
      <c r="U35" s="754">
        <f t="shared" si="13"/>
        <v>100</v>
      </c>
      <c r="V35" s="753" t="s">
        <v>28</v>
      </c>
      <c r="W35" s="754">
        <f t="shared" si="14"/>
        <v>100</v>
      </c>
      <c r="X35" s="2719"/>
      <c r="Y35" s="3049"/>
      <c r="Z35" s="2720" t="str">
        <f t="shared" si="15"/>
        <v>建筑品质</v>
      </c>
      <c r="AA35" s="2717">
        <f t="shared" si="3"/>
        <v>1</v>
      </c>
      <c r="AB35" s="2717">
        <f t="shared" si="4"/>
        <v>1</v>
      </c>
      <c r="AC35" s="2717">
        <f t="shared" si="5"/>
        <v>1</v>
      </c>
    </row>
    <row r="36" spans="1:29" ht="15">
      <c r="A36" s="453"/>
      <c r="B36" s="2716" t="s">
        <v>2374</v>
      </c>
      <c r="C36" s="2409" t="s">
        <v>2869</v>
      </c>
      <c r="D36" s="415">
        <v>100</v>
      </c>
      <c r="E36" s="2409" t="s">
        <v>2869</v>
      </c>
      <c r="F36" s="442">
        <f>SUMIF(109:109,E36,110:110)-SUMIF(109:109,C36,110:110)+100</f>
        <v>100</v>
      </c>
      <c r="G36" s="2409" t="s">
        <v>2869</v>
      </c>
      <c r="H36" s="415">
        <f>SUMIF(109:109,G36,110:110)-SUMIF(109:109,C36,110:110)+100</f>
        <v>100</v>
      </c>
      <c r="I36" s="2409" t="s">
        <v>2869</v>
      </c>
      <c r="J36" s="415">
        <f>SUMIF(109:109,I36,110:110)-SUMIF(109:109,C36,110:110)+100</f>
        <v>100</v>
      </c>
      <c r="K36" s="406">
        <v>2</v>
      </c>
      <c r="L36" s="1253"/>
      <c r="M36" s="1244"/>
      <c r="N36" s="1244"/>
      <c r="O36" s="1244"/>
      <c r="P36" s="3047"/>
      <c r="Q36" s="2718" t="str">
        <f t="shared" si="11"/>
        <v>公共部分装修</v>
      </c>
      <c r="R36" s="753" t="s">
        <v>28</v>
      </c>
      <c r="S36" s="754">
        <f t="shared" si="12"/>
        <v>100</v>
      </c>
      <c r="T36" s="753" t="s">
        <v>28</v>
      </c>
      <c r="U36" s="754">
        <f t="shared" si="13"/>
        <v>100</v>
      </c>
      <c r="V36" s="753" t="s">
        <v>28</v>
      </c>
      <c r="W36" s="754">
        <f t="shared" si="14"/>
        <v>100</v>
      </c>
      <c r="X36" s="2719"/>
      <c r="Y36" s="3049"/>
      <c r="Z36" s="2720" t="str">
        <f t="shared" si="15"/>
        <v>公共部分装修</v>
      </c>
      <c r="AA36" s="2717">
        <f t="shared" si="3"/>
        <v>1</v>
      </c>
      <c r="AB36" s="2717">
        <f t="shared" si="4"/>
        <v>1</v>
      </c>
      <c r="AC36" s="2717">
        <f t="shared" si="5"/>
        <v>1</v>
      </c>
    </row>
    <row r="37" spans="1:29" s="35" customFormat="1" ht="15">
      <c r="A37" s="454"/>
      <c r="B37" s="2716" t="s">
        <v>2375</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5"/>
      <c r="M37" s="1246"/>
      <c r="N37" s="1246"/>
      <c r="O37" s="1246"/>
      <c r="P37" s="3047"/>
      <c r="Q37" s="2715" t="str">
        <f t="shared" si="11"/>
        <v>成新度</v>
      </c>
      <c r="R37" s="749" t="s">
        <v>28</v>
      </c>
      <c r="S37" s="750">
        <f t="shared" si="12"/>
        <v>100</v>
      </c>
      <c r="T37" s="749" t="s">
        <v>28</v>
      </c>
      <c r="U37" s="750">
        <f t="shared" si="13"/>
        <v>100</v>
      </c>
      <c r="V37" s="749" t="s">
        <v>28</v>
      </c>
      <c r="W37" s="750">
        <f t="shared" si="14"/>
        <v>100</v>
      </c>
      <c r="X37" s="751"/>
      <c r="Y37" s="3049"/>
      <c r="Z37" s="23" t="str">
        <f t="shared" si="15"/>
        <v>成新度</v>
      </c>
      <c r="AA37" s="752">
        <f t="shared" si="3"/>
        <v>1</v>
      </c>
      <c r="AB37" s="752">
        <f t="shared" si="4"/>
        <v>1</v>
      </c>
      <c r="AC37" s="752">
        <f t="shared" si="5"/>
        <v>1</v>
      </c>
    </row>
    <row r="38" spans="1:29" ht="15">
      <c r="A38" s="453"/>
      <c r="B38" s="2716" t="s">
        <v>2376</v>
      </c>
      <c r="C38" s="2409" t="s">
        <v>30</v>
      </c>
      <c r="D38" s="415">
        <v>100</v>
      </c>
      <c r="E38" s="2409" t="s">
        <v>30</v>
      </c>
      <c r="F38" s="442">
        <f>SUMIF(114:114,E38,115:115)-SUMIF(114:114,C38,115:115)+100</f>
        <v>100</v>
      </c>
      <c r="G38" s="2409" t="s">
        <v>30</v>
      </c>
      <c r="H38" s="415">
        <f>SUMIF(114:114,G38,115:115)-SUMIF(114:114,C38,115:115)+100</f>
        <v>100</v>
      </c>
      <c r="I38" s="2409" t="s">
        <v>30</v>
      </c>
      <c r="J38" s="415">
        <f>SUMIF(114:114,I38,115:115)-SUMIF(114:114,C38,115:115)+100</f>
        <v>100</v>
      </c>
      <c r="K38" s="406">
        <v>1</v>
      </c>
      <c r="L38" s="1253"/>
      <c r="M38" s="1244"/>
      <c r="N38" s="1244"/>
      <c r="O38" s="1244"/>
      <c r="P38" s="3047" t="s">
        <v>2370</v>
      </c>
      <c r="Q38" s="2718" t="str">
        <f t="shared" si="11"/>
        <v>物业管理</v>
      </c>
      <c r="R38" s="753" t="s">
        <v>28</v>
      </c>
      <c r="S38" s="754">
        <f t="shared" si="12"/>
        <v>100</v>
      </c>
      <c r="T38" s="753" t="s">
        <v>28</v>
      </c>
      <c r="U38" s="754">
        <f t="shared" si="13"/>
        <v>100</v>
      </c>
      <c r="V38" s="753" t="s">
        <v>28</v>
      </c>
      <c r="W38" s="754">
        <f t="shared" si="14"/>
        <v>100</v>
      </c>
      <c r="X38" s="2719"/>
      <c r="Y38" s="3049" t="s">
        <v>2370</v>
      </c>
      <c r="Z38" s="2720" t="str">
        <f t="shared" si="15"/>
        <v>物业管理</v>
      </c>
      <c r="AA38" s="2717">
        <f t="shared" si="3"/>
        <v>1</v>
      </c>
      <c r="AB38" s="2717">
        <f t="shared" si="4"/>
        <v>1</v>
      </c>
      <c r="AC38" s="2717">
        <f t="shared" si="5"/>
        <v>1</v>
      </c>
    </row>
    <row r="39" spans="1:29" ht="15">
      <c r="A39" s="453"/>
      <c r="B39" s="2716" t="s">
        <v>2377</v>
      </c>
      <c r="C39" s="2409" t="s">
        <v>2838</v>
      </c>
      <c r="D39" s="415">
        <v>100</v>
      </c>
      <c r="E39" s="2409" t="s">
        <v>2838</v>
      </c>
      <c r="F39" s="442">
        <f>SUMIF(116:116,E39,117:117)-SUMIF(116:116,C39,117:117)+100</f>
        <v>100</v>
      </c>
      <c r="G39" s="2409" t="s">
        <v>2838</v>
      </c>
      <c r="H39" s="415">
        <f>SUMIF(116:116,G39,117:117)-SUMIF(116:116,C39,117:117)+100</f>
        <v>100</v>
      </c>
      <c r="I39" s="2409" t="s">
        <v>2838</v>
      </c>
      <c r="J39" s="415">
        <f>SUMIF(116:116,I39,117:117)-SUMIF(116:116,C39,117:117)+100</f>
        <v>100</v>
      </c>
      <c r="K39" s="406">
        <v>1</v>
      </c>
      <c r="L39" s="1253"/>
      <c r="M39" s="1244"/>
      <c r="N39" s="1244"/>
      <c r="O39" s="1244"/>
      <c r="P39" s="3047"/>
      <c r="Q39" s="2718" t="str">
        <f t="shared" si="11"/>
        <v>市政基础设施</v>
      </c>
      <c r="R39" s="753" t="s">
        <v>28</v>
      </c>
      <c r="S39" s="754">
        <f t="shared" si="12"/>
        <v>100</v>
      </c>
      <c r="T39" s="753" t="s">
        <v>28</v>
      </c>
      <c r="U39" s="754">
        <f t="shared" si="13"/>
        <v>100</v>
      </c>
      <c r="V39" s="753" t="s">
        <v>28</v>
      </c>
      <c r="W39" s="754">
        <f t="shared" si="14"/>
        <v>100</v>
      </c>
      <c r="X39" s="2719"/>
      <c r="Y39" s="3049"/>
      <c r="Z39" s="2720" t="str">
        <f t="shared" si="15"/>
        <v>市政基础设施</v>
      </c>
      <c r="AA39" s="2717">
        <f t="shared" si="3"/>
        <v>1</v>
      </c>
      <c r="AB39" s="2717">
        <f t="shared" si="4"/>
        <v>1</v>
      </c>
      <c r="AC39" s="2717">
        <f t="shared" si="5"/>
        <v>1</v>
      </c>
    </row>
    <row r="40" spans="1:29" ht="15">
      <c r="A40" s="453"/>
      <c r="B40" s="2716" t="s">
        <v>2378</v>
      </c>
      <c r="C40" s="2409" t="s">
        <v>2881</v>
      </c>
      <c r="D40" s="415">
        <v>100</v>
      </c>
      <c r="E40" s="2409" t="s">
        <v>2881</v>
      </c>
      <c r="F40" s="442">
        <f>SUMIF(118:118,E40,119:119)-SUMIF(118:118,C40,119:119)+100</f>
        <v>100</v>
      </c>
      <c r="G40" s="2409" t="s">
        <v>2881</v>
      </c>
      <c r="H40" s="415">
        <f>SUMIF(118:118,G40,119:119)-SUMIF(118:118,C40,119:119)+100</f>
        <v>100</v>
      </c>
      <c r="I40" s="2409" t="s">
        <v>2881</v>
      </c>
      <c r="J40" s="415">
        <f>SUMIF(118:118,I40,119:119)-SUMIF(118:118,C40,119:119)+100</f>
        <v>100</v>
      </c>
      <c r="K40" s="406">
        <v>1</v>
      </c>
      <c r="L40" s="1253"/>
      <c r="M40" s="1244"/>
      <c r="N40" s="1244"/>
      <c r="O40" s="1244"/>
      <c r="P40" s="3047"/>
      <c r="Q40" s="2718" t="str">
        <f t="shared" si="11"/>
        <v>房型</v>
      </c>
      <c r="R40" s="753" t="s">
        <v>28</v>
      </c>
      <c r="S40" s="754">
        <f t="shared" si="12"/>
        <v>100</v>
      </c>
      <c r="T40" s="753" t="s">
        <v>28</v>
      </c>
      <c r="U40" s="754">
        <f t="shared" si="13"/>
        <v>100</v>
      </c>
      <c r="V40" s="753" t="s">
        <v>28</v>
      </c>
      <c r="W40" s="754">
        <f t="shared" si="14"/>
        <v>100</v>
      </c>
      <c r="X40" s="2719"/>
      <c r="Y40" s="3049"/>
      <c r="Z40" s="2720" t="str">
        <f t="shared" si="15"/>
        <v>房型</v>
      </c>
      <c r="AA40" s="2717">
        <f t="shared" si="3"/>
        <v>1</v>
      </c>
      <c r="AB40" s="2717">
        <f t="shared" si="4"/>
        <v>1</v>
      </c>
      <c r="AC40" s="2717">
        <f t="shared" si="5"/>
        <v>1</v>
      </c>
    </row>
    <row r="41" spans="1:29" s="452" customFormat="1" ht="28.5">
      <c r="A41" s="449"/>
      <c r="B41" s="2716" t="s">
        <v>2379</v>
      </c>
      <c r="C41" s="450">
        <f>'数据-取费表'!E5</f>
        <v>142.82</v>
      </c>
      <c r="D41" s="52">
        <v>100</v>
      </c>
      <c r="E41" s="410">
        <v>143</v>
      </c>
      <c r="F41" s="405">
        <f>SUMIF(120:120,E41,121:121)-SUMIF(120:120,C41,121:121)+100</f>
        <v>100</v>
      </c>
      <c r="G41" s="409">
        <v>156</v>
      </c>
      <c r="H41" s="52">
        <f>SUMIF(120:120,G41,121:121)-SUMIF(120:120,C41,121:121)+100</f>
        <v>100</v>
      </c>
      <c r="I41" s="458">
        <v>156</v>
      </c>
      <c r="J41" s="415">
        <f>SUMIF(120:120,I41,121:121)-SUMIF(120:120,C41,121:121)+100</f>
        <v>100</v>
      </c>
      <c r="K41" s="2398"/>
      <c r="L41" s="1251"/>
      <c r="M41" s="1254"/>
      <c r="N41" s="1254"/>
      <c r="O41" s="1254"/>
      <c r="P41" s="3047"/>
      <c r="Q41" s="755" t="str">
        <f t="shared" si="11"/>
        <v>单套/主力户型建筑面积</v>
      </c>
      <c r="R41" s="756" t="s">
        <v>28</v>
      </c>
      <c r="S41" s="757">
        <f t="shared" si="12"/>
        <v>100</v>
      </c>
      <c r="T41" s="756" t="s">
        <v>28</v>
      </c>
      <c r="U41" s="757">
        <f t="shared" si="13"/>
        <v>100</v>
      </c>
      <c r="V41" s="756" t="s">
        <v>28</v>
      </c>
      <c r="W41" s="757">
        <f t="shared" si="14"/>
        <v>100</v>
      </c>
      <c r="X41" s="758"/>
      <c r="Y41" s="3049"/>
      <c r="Z41" s="759" t="str">
        <f t="shared" si="15"/>
        <v>单套/主力户型建筑面积</v>
      </c>
      <c r="AA41" s="2717">
        <f t="shared" si="3"/>
        <v>1</v>
      </c>
      <c r="AB41" s="2717">
        <f t="shared" si="4"/>
        <v>1</v>
      </c>
      <c r="AC41" s="2717">
        <f t="shared" si="5"/>
        <v>1</v>
      </c>
    </row>
    <row r="42" spans="1:29" ht="15">
      <c r="A42" s="453"/>
      <c r="B42" s="2716" t="s">
        <v>2380</v>
      </c>
      <c r="C42" s="2409" t="s">
        <v>2869</v>
      </c>
      <c r="D42" s="415">
        <v>100</v>
      </c>
      <c r="E42" s="2409" t="s">
        <v>2869</v>
      </c>
      <c r="F42" s="442">
        <f>SUMIF(122:122,E42,123:123)-SUMIF(122:122,C42,123:123)+100</f>
        <v>100</v>
      </c>
      <c r="G42" s="2409" t="s">
        <v>2869</v>
      </c>
      <c r="H42" s="415">
        <f>SUMIF(122:122,G42,123:123)-SUMIF(122:122,C42,123:123)+100</f>
        <v>100</v>
      </c>
      <c r="I42" s="2409" t="s">
        <v>2867</v>
      </c>
      <c r="J42" s="415">
        <f>SUMIF(122:122,I42,123:123)-SUMIF(122:122,C42,123:123)+100</f>
        <v>104</v>
      </c>
      <c r="K42" s="406">
        <v>4</v>
      </c>
      <c r="L42" s="1253"/>
      <c r="M42" s="1244"/>
      <c r="N42" s="1244"/>
      <c r="O42" s="1244"/>
      <c r="P42" s="3047"/>
      <c r="Q42" s="2718" t="str">
        <f t="shared" si="11"/>
        <v>内部装修</v>
      </c>
      <c r="R42" s="753" t="s">
        <v>28</v>
      </c>
      <c r="S42" s="754">
        <f t="shared" si="12"/>
        <v>100</v>
      </c>
      <c r="T42" s="753" t="s">
        <v>28</v>
      </c>
      <c r="U42" s="754">
        <f t="shared" si="13"/>
        <v>100</v>
      </c>
      <c r="V42" s="753" t="s">
        <v>28</v>
      </c>
      <c r="W42" s="754">
        <f t="shared" si="14"/>
        <v>104</v>
      </c>
      <c r="X42" s="2719"/>
      <c r="Y42" s="3049"/>
      <c r="Z42" s="2720" t="str">
        <f t="shared" si="15"/>
        <v>内部装修</v>
      </c>
      <c r="AA42" s="2717">
        <f t="shared" si="3"/>
        <v>1</v>
      </c>
      <c r="AB42" s="2717">
        <f t="shared" si="4"/>
        <v>1</v>
      </c>
      <c r="AC42" s="2717">
        <f t="shared" si="5"/>
        <v>0.96153846153846156</v>
      </c>
    </row>
    <row r="43" spans="1:29" ht="15">
      <c r="A43" s="453"/>
      <c r="B43" s="2716" t="s">
        <v>2381</v>
      </c>
      <c r="C43" s="2409" t="s">
        <v>31</v>
      </c>
      <c r="D43" s="415">
        <v>100</v>
      </c>
      <c r="E43" s="2409" t="s">
        <v>31</v>
      </c>
      <c r="F43" s="442">
        <f>SUMIF(124:124,E43,125:125)-SUMIF(124:124,C43,125:125)+100</f>
        <v>100</v>
      </c>
      <c r="G43" s="2409" t="s">
        <v>31</v>
      </c>
      <c r="H43" s="415">
        <f>SUMIF(124:124,G43,125:125)-SUMIF(124:124,C43,125:125)+100</f>
        <v>100</v>
      </c>
      <c r="I43" s="2409" t="s">
        <v>30</v>
      </c>
      <c r="J43" s="415">
        <f>SUMIF(124:124,I43,125:125)-SUMIF(124:124,C43,125:125)+100</f>
        <v>101</v>
      </c>
      <c r="K43" s="406">
        <v>1</v>
      </c>
      <c r="L43" s="1253"/>
      <c r="M43" s="1244"/>
      <c r="N43" s="1244"/>
      <c r="O43" s="1244"/>
      <c r="P43" s="3047"/>
      <c r="Q43" s="2718" t="str">
        <f t="shared" si="11"/>
        <v>内部装修维护情况</v>
      </c>
      <c r="R43" s="753" t="s">
        <v>28</v>
      </c>
      <c r="S43" s="754">
        <f t="shared" si="12"/>
        <v>100</v>
      </c>
      <c r="T43" s="753" t="s">
        <v>28</v>
      </c>
      <c r="U43" s="754">
        <f t="shared" si="13"/>
        <v>100</v>
      </c>
      <c r="V43" s="753" t="s">
        <v>28</v>
      </c>
      <c r="W43" s="754">
        <f t="shared" si="14"/>
        <v>101</v>
      </c>
      <c r="X43" s="2719"/>
      <c r="Y43" s="3049"/>
      <c r="Z43" s="2720" t="str">
        <f t="shared" si="15"/>
        <v>内部装修维护情况</v>
      </c>
      <c r="AA43" s="2717">
        <f t="shared" si="3"/>
        <v>1</v>
      </c>
      <c r="AB43" s="2717">
        <f t="shared" si="4"/>
        <v>1</v>
      </c>
      <c r="AC43" s="2717">
        <f t="shared" si="5"/>
        <v>0.99009900990099009</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7"/>
      <c r="Q44" s="2715">
        <f t="shared" si="11"/>
        <v>111</v>
      </c>
      <c r="R44" s="749" t="s">
        <v>28</v>
      </c>
      <c r="S44" s="750">
        <f t="shared" si="12"/>
        <v>100</v>
      </c>
      <c r="T44" s="749" t="s">
        <v>28</v>
      </c>
      <c r="U44" s="750">
        <f t="shared" si="13"/>
        <v>100</v>
      </c>
      <c r="V44" s="749" t="s">
        <v>28</v>
      </c>
      <c r="W44" s="750">
        <f t="shared" si="14"/>
        <v>100</v>
      </c>
      <c r="X44" s="751"/>
      <c r="Y44" s="3049"/>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7"/>
      <c r="Q45" s="2718">
        <f t="shared" si="11"/>
        <v>111</v>
      </c>
      <c r="R45" s="753" t="s">
        <v>28</v>
      </c>
      <c r="S45" s="754">
        <f t="shared" si="12"/>
        <v>100</v>
      </c>
      <c r="T45" s="753" t="s">
        <v>28</v>
      </c>
      <c r="U45" s="754">
        <f t="shared" si="13"/>
        <v>100</v>
      </c>
      <c r="V45" s="753" t="s">
        <v>28</v>
      </c>
      <c r="W45" s="754">
        <f t="shared" si="14"/>
        <v>100</v>
      </c>
      <c r="X45" s="2719"/>
      <c r="Y45" s="3049"/>
      <c r="Z45" s="2720">
        <f t="shared" si="15"/>
        <v>111</v>
      </c>
      <c r="AA45" s="2717">
        <f t="shared" si="3"/>
        <v>1</v>
      </c>
      <c r="AB45" s="2717">
        <f t="shared" si="4"/>
        <v>1</v>
      </c>
      <c r="AC45" s="2717">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8"/>
      <c r="Q46" s="2718">
        <f t="shared" si="11"/>
        <v>111</v>
      </c>
      <c r="R46" s="753" t="s">
        <v>27</v>
      </c>
      <c r="S46" s="754">
        <f t="shared" si="12"/>
        <v>100</v>
      </c>
      <c r="T46" s="753" t="s">
        <v>27</v>
      </c>
      <c r="U46" s="754">
        <f t="shared" si="13"/>
        <v>100</v>
      </c>
      <c r="V46" s="753" t="s">
        <v>27</v>
      </c>
      <c r="W46" s="754">
        <f t="shared" si="14"/>
        <v>100</v>
      </c>
      <c r="X46" s="2719"/>
      <c r="Y46" s="3050"/>
      <c r="Z46" s="2720">
        <f t="shared" si="15"/>
        <v>111</v>
      </c>
      <c r="AA46" s="2717">
        <f t="shared" si="3"/>
        <v>1</v>
      </c>
      <c r="AB46" s="2717">
        <f t="shared" si="4"/>
        <v>1</v>
      </c>
      <c r="AC46" s="2717">
        <f t="shared" si="5"/>
        <v>1</v>
      </c>
    </row>
    <row r="47" spans="1:29" ht="15">
      <c r="A47" s="460" t="s">
        <v>2382</v>
      </c>
      <c r="B47" s="461"/>
      <c r="C47" s="1501" t="s">
        <v>26</v>
      </c>
      <c r="D47" s="1502"/>
      <c r="E47" s="1503">
        <v>4000</v>
      </c>
      <c r="F47" s="1504"/>
      <c r="G47" s="1505">
        <v>4000</v>
      </c>
      <c r="H47" s="1506"/>
      <c r="I47" s="1503">
        <v>5000</v>
      </c>
      <c r="J47" s="1506"/>
      <c r="K47" s="2415"/>
      <c r="L47" s="1256"/>
      <c r="M47" s="1257"/>
      <c r="N47" s="1244"/>
      <c r="O47" s="1257"/>
      <c r="P47" s="3051" t="str">
        <f>A47</f>
        <v>成交单价（元/平方米）</v>
      </c>
      <c r="Q47" s="3051"/>
      <c r="R47" s="3052">
        <f>E47</f>
        <v>4000</v>
      </c>
      <c r="S47" s="3052"/>
      <c r="T47" s="3052">
        <f>G47</f>
        <v>4000</v>
      </c>
      <c r="U47" s="3052"/>
      <c r="V47" s="3052">
        <f>I47</f>
        <v>5000</v>
      </c>
      <c r="W47" s="3052"/>
      <c r="X47" s="738"/>
      <c r="Y47" s="760"/>
      <c r="Z47" s="738"/>
      <c r="AA47" s="738"/>
      <c r="AB47" s="738"/>
      <c r="AC47" s="738"/>
    </row>
    <row r="48" spans="1:29" ht="15.75" thickBot="1">
      <c r="A48" s="467" t="s">
        <v>2383</v>
      </c>
      <c r="B48" s="468"/>
      <c r="C48" s="1507">
        <f>R49</f>
        <v>4271</v>
      </c>
      <c r="D48" s="1508"/>
      <c r="E48" s="1509">
        <f>R48</f>
        <v>4123</v>
      </c>
      <c r="F48" s="1509"/>
      <c r="G48" s="1507">
        <f>T48</f>
        <v>4022</v>
      </c>
      <c r="H48" s="1508"/>
      <c r="I48" s="1509">
        <f>V48</f>
        <v>4667</v>
      </c>
      <c r="J48" s="1508"/>
      <c r="K48" s="2416"/>
      <c r="L48" s="1256"/>
      <c r="M48" s="1257"/>
      <c r="N48" s="1257"/>
      <c r="O48" s="1257"/>
      <c r="P48" s="3051" t="str">
        <f>A48</f>
        <v>比较价值（元/平方米）</v>
      </c>
      <c r="Q48" s="3051"/>
      <c r="R48" s="3052">
        <f>IF(E1="售价",ROUND(PRODUCT(R47,AA7:AA46),0),ROUND(PRODUCT(R47,AA7:AA46),1))</f>
        <v>4123</v>
      </c>
      <c r="S48" s="3052"/>
      <c r="T48" s="3053">
        <f>IF(E1="售价",ROUND(PRODUCT(T47,AB7:AB46),0),ROUND(PRODUCT(T47,AB7:AB46),1))</f>
        <v>4022</v>
      </c>
      <c r="U48" s="3054"/>
      <c r="V48" s="3052">
        <f>IF(E1="售价",ROUND(PRODUCT(V47,AC7:AC46),0),ROUND(PRODUCT(V47,AC7:AC46),1))</f>
        <v>4667</v>
      </c>
      <c r="W48" s="3052"/>
      <c r="X48" s="738"/>
      <c r="Y48" s="738"/>
      <c r="Z48" s="738"/>
      <c r="AA48" s="738"/>
      <c r="AB48" s="738"/>
      <c r="AC48" s="738"/>
    </row>
    <row r="49" spans="1:29" ht="15.75" thickBot="1">
      <c r="A49" s="473" t="s">
        <v>2384</v>
      </c>
      <c r="B49" s="474"/>
      <c r="C49" s="1510">
        <f>R49</f>
        <v>4271</v>
      </c>
      <c r="D49" s="1511"/>
      <c r="E49" s="1511"/>
      <c r="F49" s="1511"/>
      <c r="G49" s="1511"/>
      <c r="H49" s="1511"/>
      <c r="I49" s="1511"/>
      <c r="J49" s="1511"/>
      <c r="K49" s="2417"/>
      <c r="L49" s="1256"/>
      <c r="M49" s="1257"/>
      <c r="N49" s="1257"/>
      <c r="O49" s="1257"/>
      <c r="P49" s="3055" t="str">
        <f>A49</f>
        <v>估价对象XX用房的比较价值（楼面单价，元/平方米）</v>
      </c>
      <c r="Q49" s="3056"/>
      <c r="R49" s="3057">
        <f>IF(E1="售价",ROUND(AVERAGE(R48:V48),0),ROUND(AVERAGE(R48:V48),1))</f>
        <v>4271</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3.0750000000000055E-2</v>
      </c>
      <c r="F52" s="481" t="str">
        <f>IF(OR(E52&gt;=0.3,E52&lt;=-0.3),"超过30%","")</f>
        <v/>
      </c>
      <c r="G52" s="480">
        <f>IF(G47&lt;G48,G48/G47-1,G47/G48-1)</f>
        <v>5.5000000000000604E-3</v>
      </c>
      <c r="H52" s="481" t="str">
        <f>IF(OR(G52&gt;=0.3,G52&lt;=-0.3),"超过30%","")</f>
        <v/>
      </c>
      <c r="I52" s="480">
        <f>IF(I47&lt;I48,I48/I47-1,I47/I48-1)</f>
        <v>7.1352046282408432E-2</v>
      </c>
      <c r="J52" s="481" t="str">
        <f>IF(OR(I52&gt;=0.3,I52&lt;=-0.3),"超过30%","")</f>
        <v/>
      </c>
      <c r="K52" s="1262"/>
      <c r="L52" s="1258"/>
      <c r="M52" s="1257"/>
      <c r="N52" s="1257"/>
      <c r="O52" s="1257"/>
    </row>
    <row r="53" spans="1:29" ht="13.5" customHeight="1">
      <c r="A53" s="1257"/>
      <c r="B53" s="1257"/>
      <c r="C53" s="478" t="s">
        <v>2386</v>
      </c>
      <c r="D53" s="482"/>
      <c r="E53" s="480">
        <f>IF(E48&lt;G48,G48/E48-1,E48/G48-1)</f>
        <v>2.5111884634510195E-2</v>
      </c>
      <c r="F53" s="481" t="str">
        <f>IF(OR(E53&gt;=0.2,E53&lt;=-0.2),"超过20%","")</f>
        <v/>
      </c>
      <c r="G53" s="480">
        <f>IF(G48&lt;I48,I48/G48-1,G48/I48-1)</f>
        <v>0.16036797613127796</v>
      </c>
      <c r="H53" s="481" t="str">
        <f>IF(OR(G53&gt;=0.2,G53&lt;=-0.2),"超过20%","")</f>
        <v/>
      </c>
      <c r="I53" s="480">
        <f>IF(I48&lt;E48,E48/I48-1,I48/E48-1)</f>
        <v>0.13194276012612183</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0</v>
      </c>
      <c r="F54" s="481" t="str">
        <f>IF(OR(E54&gt;=0.3,E54&lt;=-0.3),"超过30%","")</f>
        <v/>
      </c>
      <c r="G54" s="480">
        <f>IF(G47&lt;I47,I47/G47-1,G47/I47-1)</f>
        <v>0.25</v>
      </c>
      <c r="H54" s="481" t="str">
        <f>IF(OR(G54&gt;=0.3,G54&lt;=-0.3),"超过30%","")</f>
        <v/>
      </c>
      <c r="I54" s="480">
        <f>IF(I47&lt;E47,E47/I47-1,I47/E47-1)</f>
        <v>0.25</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2352</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2354</v>
      </c>
      <c r="B61" s="491"/>
      <c r="C61" s="503" t="s">
        <v>2355</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v>2</v>
      </c>
      <c r="F68" s="532">
        <v>3</v>
      </c>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0</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0</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0</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2409</v>
      </c>
      <c r="D82" s="522" t="s">
        <v>2410</v>
      </c>
      <c r="E82" s="522" t="s">
        <v>2411</v>
      </c>
      <c r="F82" s="522" t="s">
        <v>2412</v>
      </c>
      <c r="G82" s="522" t="s">
        <v>2413</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40" t="s">
        <v>2844</v>
      </c>
      <c r="D88" s="2740" t="s">
        <v>2845</v>
      </c>
      <c r="E88" s="2740" t="s">
        <v>2846</v>
      </c>
      <c r="F88" s="2743" t="s">
        <v>2848</v>
      </c>
      <c r="G88" s="2740" t="s">
        <v>2849</v>
      </c>
      <c r="H88" s="2740" t="s">
        <v>2850</v>
      </c>
      <c r="I88" s="2740" t="s">
        <v>2852</v>
      </c>
      <c r="J88" s="2740" t="s">
        <v>2853</v>
      </c>
      <c r="K88" s="2740" t="s">
        <v>2855</v>
      </c>
      <c r="L88" s="2740" t="s">
        <v>2857</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2740" t="s">
        <v>2839</v>
      </c>
      <c r="D92" s="2740" t="s">
        <v>2841</v>
      </c>
      <c r="E92" s="2740" t="s">
        <v>2842</v>
      </c>
      <c r="F92" s="537"/>
      <c r="G92" s="567"/>
      <c r="H92" s="567"/>
      <c r="I92" s="567"/>
      <c r="J92" s="567"/>
      <c r="K92" s="568"/>
      <c r="L92" s="569"/>
      <c r="M92" s="570"/>
      <c r="N92" s="1267"/>
      <c r="O92" s="1267"/>
      <c r="P92" s="2424"/>
      <c r="Q92" s="485"/>
    </row>
    <row r="93" spans="1:17" ht="15.75" thickBot="1">
      <c r="A93" s="516"/>
      <c r="B93" s="526"/>
      <c r="C93" s="544">
        <v>98</v>
      </c>
      <c r="D93" s="518">
        <v>100</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2368</v>
      </c>
      <c r="B100" s="509" t="s">
        <v>2417</v>
      </c>
      <c r="C100" s="2744" t="s">
        <v>2859</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5"/>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5"/>
      <c r="Q104" s="543"/>
    </row>
    <row r="105" spans="1:17" ht="15" thickTop="1">
      <c r="A105" s="583"/>
      <c r="B105" s="521" t="s">
        <v>2419</v>
      </c>
      <c r="C105" s="2740" t="s">
        <v>2861</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2420</v>
      </c>
      <c r="C107" s="2745" t="s">
        <v>2862</v>
      </c>
      <c r="D107" s="2745" t="s">
        <v>2863</v>
      </c>
      <c r="E107" s="2745" t="s">
        <v>2864</v>
      </c>
      <c r="F107" s="2745" t="s">
        <v>2865</v>
      </c>
      <c r="G107" s="2745" t="s">
        <v>2866</v>
      </c>
      <c r="H107" s="567"/>
      <c r="I107" s="567"/>
      <c r="J107" s="567"/>
      <c r="K107" s="568"/>
      <c r="L107" s="569"/>
      <c r="M107" s="570"/>
      <c r="N107" s="1267"/>
      <c r="O107" s="1267"/>
      <c r="P107" s="2424"/>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4"/>
      <c r="Q108" s="485"/>
    </row>
    <row r="109" spans="1:17" ht="15" thickTop="1">
      <c r="A109" s="583"/>
      <c r="B109" s="521" t="s">
        <v>2421</v>
      </c>
      <c r="C109" s="2740" t="s">
        <v>2868</v>
      </c>
      <c r="D109" s="2740" t="s">
        <v>2870</v>
      </c>
      <c r="E109" s="2740" t="s">
        <v>2871</v>
      </c>
      <c r="F109" s="2745" t="s">
        <v>2872</v>
      </c>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5"/>
      <c r="Q113" s="543"/>
    </row>
    <row r="114" spans="1:17" ht="15" thickTop="1">
      <c r="A114" s="583"/>
      <c r="B114" s="521" t="s">
        <v>2423</v>
      </c>
      <c r="C114" s="2745" t="s">
        <v>2862</v>
      </c>
      <c r="D114" s="2745" t="s">
        <v>2863</v>
      </c>
      <c r="E114" s="2745" t="s">
        <v>2864</v>
      </c>
      <c r="F114" s="2745" t="s">
        <v>2865</v>
      </c>
      <c r="G114" s="2745" t="s">
        <v>2866</v>
      </c>
      <c r="H114" s="567"/>
      <c r="I114" s="567"/>
      <c r="J114" s="567"/>
      <c r="K114" s="568"/>
      <c r="L114" s="569"/>
      <c r="M114" s="570"/>
      <c r="N114" s="1267"/>
      <c r="O114" s="1267"/>
      <c r="P114" s="2424"/>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4"/>
      <c r="Q115" s="485"/>
    </row>
    <row r="116" spans="1:17" ht="15" thickTop="1">
      <c r="A116" s="583"/>
      <c r="B116" s="521" t="s">
        <v>2424</v>
      </c>
      <c r="C116" s="2740" t="s">
        <v>2873</v>
      </c>
      <c r="D116" s="2740" t="s">
        <v>2874</v>
      </c>
      <c r="E116" s="2740" t="s">
        <v>2875</v>
      </c>
      <c r="F116" s="2740" t="s">
        <v>2876</v>
      </c>
      <c r="G116" s="537"/>
      <c r="H116" s="567"/>
      <c r="I116" s="567"/>
      <c r="J116" s="567"/>
      <c r="K116" s="568"/>
      <c r="L116" s="569"/>
      <c r="M116" s="570"/>
      <c r="N116" s="1267"/>
      <c r="O116" s="1267"/>
      <c r="P116" s="2424"/>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4"/>
      <c r="Q117" s="485"/>
    </row>
    <row r="118" spans="1:17" ht="15" thickTop="1">
      <c r="A118" s="583"/>
      <c r="B118" s="521" t="s">
        <v>2425</v>
      </c>
      <c r="C118" s="2745" t="s">
        <v>2877</v>
      </c>
      <c r="D118" s="2745" t="s">
        <v>2878</v>
      </c>
      <c r="E118" s="2745" t="s">
        <v>2880</v>
      </c>
      <c r="F118" s="2745" t="s">
        <v>2882</v>
      </c>
      <c r="G118" s="2745" t="s">
        <v>2885</v>
      </c>
      <c r="H118" s="2745" t="s">
        <v>2887</v>
      </c>
      <c r="I118" s="567"/>
      <c r="J118" s="567"/>
      <c r="K118" s="568"/>
      <c r="L118" s="569"/>
      <c r="M118" s="570"/>
      <c r="N118" s="1267"/>
      <c r="O118" s="1267"/>
      <c r="P118" s="2424"/>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4"/>
      <c r="Q119" s="485"/>
    </row>
    <row r="120" spans="1:17" s="452" customFormat="1" ht="28.5" thickTop="1">
      <c r="A120" s="577"/>
      <c r="B120" s="521" t="s">
        <v>2379</v>
      </c>
      <c r="C120" s="537">
        <v>142.82</v>
      </c>
      <c r="D120" s="537">
        <v>143</v>
      </c>
      <c r="E120" s="537">
        <v>99</v>
      </c>
      <c r="F120" s="537">
        <v>156</v>
      </c>
      <c r="G120" s="537"/>
      <c r="H120" s="537"/>
      <c r="I120" s="537"/>
      <c r="J120" s="537"/>
      <c r="K120" s="537"/>
      <c r="L120" s="564"/>
      <c r="M120" s="565"/>
      <c r="N120" s="1269"/>
      <c r="O120" s="1269"/>
      <c r="P120" s="2425"/>
      <c r="Q120" s="543"/>
    </row>
    <row r="121" spans="1:17" s="452" customFormat="1" ht="15.75" thickBot="1">
      <c r="A121" s="536"/>
      <c r="B121" s="517"/>
      <c r="C121" s="544">
        <v>100</v>
      </c>
      <c r="D121" s="518">
        <v>100</v>
      </c>
      <c r="E121" s="518">
        <v>102</v>
      </c>
      <c r="F121" s="518">
        <v>100</v>
      </c>
      <c r="G121" s="518"/>
      <c r="H121" s="518"/>
      <c r="I121" s="518"/>
      <c r="J121" s="518"/>
      <c r="K121" s="518"/>
      <c r="L121" s="518"/>
      <c r="M121" s="518"/>
      <c r="N121" s="1269"/>
      <c r="O121" s="1269"/>
      <c r="P121" s="2425"/>
      <c r="Q121" s="543"/>
    </row>
    <row r="122" spans="1:17" ht="15" thickTop="1">
      <c r="A122" s="583"/>
      <c r="B122" s="521" t="s">
        <v>2426</v>
      </c>
      <c r="C122" s="2740" t="s">
        <v>2868</v>
      </c>
      <c r="D122" s="2740" t="s">
        <v>2870</v>
      </c>
      <c r="E122" s="2740" t="s">
        <v>2871</v>
      </c>
      <c r="F122" s="2745" t="s">
        <v>2872</v>
      </c>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20</v>
      </c>
      <c r="K139" s="1127">
        <f>C145/(J139-2)</f>
        <v>4.0555555555555553E-3</v>
      </c>
    </row>
    <row r="140" spans="1:17" ht="15">
      <c r="B140" s="1126">
        <v>5</v>
      </c>
      <c r="C140" s="1137">
        <v>100</v>
      </c>
      <c r="D140" s="1137"/>
      <c r="E140" s="1138"/>
      <c r="F140" s="1139">
        <v>102</v>
      </c>
      <c r="G140" s="1137"/>
      <c r="H140" s="1140"/>
      <c r="I140" s="2444" t="s">
        <v>2439</v>
      </c>
      <c r="J140" s="217">
        <f>ROUNDUP((J139-1)/2,0)</f>
        <v>10</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20</v>
      </c>
      <c r="K142" s="1142">
        <v>95</v>
      </c>
    </row>
    <row r="143" spans="1:17" ht="15">
      <c r="B143" s="1126">
        <v>2</v>
      </c>
      <c r="C143" s="1137">
        <v>100</v>
      </c>
      <c r="D143" s="1137"/>
      <c r="E143" s="1138"/>
      <c r="F143" s="1139">
        <v>100.5</v>
      </c>
      <c r="G143" s="1137"/>
      <c r="H143" s="1140"/>
      <c r="I143" s="2444" t="s">
        <v>2442</v>
      </c>
      <c r="J143" s="1137">
        <v>15</v>
      </c>
      <c r="K143" s="1129">
        <f>ROUND(100+(J143-J140)*K139*100,1)</f>
        <v>102</v>
      </c>
    </row>
    <row r="144" spans="1:17" ht="15">
      <c r="B144" s="1126">
        <v>1</v>
      </c>
      <c r="C144" s="1137">
        <v>98</v>
      </c>
      <c r="D144" s="2445" t="s">
        <v>2443</v>
      </c>
      <c r="E144" s="1138">
        <v>102</v>
      </c>
      <c r="F144" s="1141">
        <v>100</v>
      </c>
      <c r="G144" s="2445" t="s">
        <v>2443</v>
      </c>
      <c r="H144" s="1140">
        <v>105</v>
      </c>
      <c r="I144" s="2444" t="s">
        <v>2442</v>
      </c>
      <c r="J144" s="1137">
        <v>18</v>
      </c>
      <c r="K144" s="1129">
        <f>ROUND(100+(J144-J140)*K139*100,1)</f>
        <v>103.2</v>
      </c>
    </row>
    <row r="145" spans="2:11" ht="15.75" thickBot="1">
      <c r="B145" s="2446" t="s">
        <v>2444</v>
      </c>
      <c r="C145" s="1131">
        <f>ROUND(MAX(C139:C144)/MIN(C139:C144)-1,3)</f>
        <v>7.2999999999999995E-2</v>
      </c>
      <c r="D145" s="1132"/>
      <c r="E145" s="1132"/>
      <c r="F145" s="2447" t="s">
        <v>2445</v>
      </c>
      <c r="G145" s="2448"/>
      <c r="H145" s="2449"/>
      <c r="I145" s="2450" t="s">
        <v>2442</v>
      </c>
      <c r="J145" s="1143">
        <v>8</v>
      </c>
      <c r="K145" s="1130">
        <f>ROUND(100+(J145-J140)*K139*100,1)</f>
        <v>99.2</v>
      </c>
    </row>
    <row r="147" spans="2:11">
      <c r="B147" s="2431" t="s">
        <v>2446</v>
      </c>
    </row>
    <row r="148" spans="2:11">
      <c r="B148" s="2431" t="s">
        <v>2447</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c r="D1" s="2379"/>
      <c r="E1" s="2380"/>
      <c r="F1" s="1740" t="s">
        <v>2337</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2008</v>
      </c>
      <c r="B2" s="1725" t="e">
        <f ca="1">IF(D2="——",IF(C2="元",ROUND(C49*D3,0),ROUND(C49*D3/10000,0)),IF(C2="元",ROUND(C49*D3,0),ROUND(C49*D3/10000,0))-E2)</f>
        <v>#DIV/0!</v>
      </c>
      <c r="C2" s="163" t="str">
        <f>'数据-取费表'!B3</f>
        <v>元</v>
      </c>
      <c r="D2" s="2382"/>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2009</v>
      </c>
      <c r="B3" s="378" t="e">
        <f ca="1">ROUND(IF(D2="——",C49,IF(C2="万元",B2*10000/D3,B2/D3)),0)</f>
        <v>#DIV/0!</v>
      </c>
      <c r="C3" s="379" t="s">
        <v>2338</v>
      </c>
      <c r="D3" s="378">
        <f>IF(C1="仅计算典型户型",'数据-取费表'!E5,'数据-取费表'!B5)</f>
        <v>142.82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2339</v>
      </c>
      <c r="B4" s="381"/>
      <c r="C4" s="3017" t="s">
        <v>2340</v>
      </c>
      <c r="D4" s="3018"/>
      <c r="E4" s="3019" t="s">
        <v>2341</v>
      </c>
      <c r="F4" s="3020"/>
      <c r="G4" s="3017" t="s">
        <v>2342</v>
      </c>
      <c r="H4" s="3018"/>
      <c r="I4" s="3017" t="s">
        <v>2343</v>
      </c>
      <c r="J4" s="3018"/>
      <c r="K4" s="2393" t="s">
        <v>2344</v>
      </c>
      <c r="L4" s="1243"/>
      <c r="M4" s="1244"/>
      <c r="N4" s="1244"/>
      <c r="O4" s="1244"/>
      <c r="P4" s="3021" t="s">
        <v>2345</v>
      </c>
      <c r="Q4" s="3022"/>
      <c r="R4" s="3027" t="s">
        <v>2341</v>
      </c>
      <c r="S4" s="3028"/>
      <c r="T4" s="3027" t="s">
        <v>2342</v>
      </c>
      <c r="U4" s="3028"/>
      <c r="V4" s="3037" t="s">
        <v>2343</v>
      </c>
      <c r="W4" s="3037"/>
      <c r="X4" s="1900"/>
      <c r="Y4" s="3027" t="s">
        <v>2345</v>
      </c>
      <c r="Z4" s="3028"/>
      <c r="AA4" s="3014" t="s">
        <v>2341</v>
      </c>
      <c r="AB4" s="3014" t="s">
        <v>2342</v>
      </c>
      <c r="AC4" s="3014" t="s">
        <v>2343</v>
      </c>
    </row>
    <row r="5" spans="1:29" ht="15">
      <c r="A5" s="383"/>
      <c r="B5" s="384"/>
      <c r="C5" s="3059" t="s">
        <v>2346</v>
      </c>
      <c r="D5" s="3032"/>
      <c r="E5" s="3060" t="s">
        <v>2347</v>
      </c>
      <c r="F5" s="3061"/>
      <c r="G5" s="3059" t="s">
        <v>2348</v>
      </c>
      <c r="H5" s="3032"/>
      <c r="I5" s="3059" t="s">
        <v>2349</v>
      </c>
      <c r="J5" s="3032"/>
      <c r="K5" s="2394"/>
      <c r="L5" s="1243"/>
      <c r="M5" s="1244"/>
      <c r="N5" s="1244"/>
      <c r="O5" s="1244"/>
      <c r="P5" s="3023"/>
      <c r="Q5" s="3024"/>
      <c r="R5" s="3029"/>
      <c r="S5" s="3030"/>
      <c r="T5" s="3029"/>
      <c r="U5" s="3030"/>
      <c r="V5" s="3037"/>
      <c r="W5" s="3037"/>
      <c r="X5" s="1900"/>
      <c r="Y5" s="3029"/>
      <c r="Z5" s="3030"/>
      <c r="AA5" s="3015"/>
      <c r="AB5" s="3015"/>
      <c r="AC5" s="3015"/>
    </row>
    <row r="6" spans="1:29" ht="15.75" thickBot="1">
      <c r="A6" s="385"/>
      <c r="B6" s="386"/>
      <c r="C6" s="3058" t="s">
        <v>2350</v>
      </c>
      <c r="D6" s="3034"/>
      <c r="E6" s="3062" t="s">
        <v>2350</v>
      </c>
      <c r="F6" s="3063"/>
      <c r="G6" s="3058" t="s">
        <v>2350</v>
      </c>
      <c r="H6" s="3034"/>
      <c r="I6" s="3058" t="s">
        <v>2350</v>
      </c>
      <c r="J6" s="3034"/>
      <c r="K6" s="2394" t="s">
        <v>2351</v>
      </c>
      <c r="L6" s="1243"/>
      <c r="M6" s="1244"/>
      <c r="N6" s="1244"/>
      <c r="O6" s="1244"/>
      <c r="P6" s="3025"/>
      <c r="Q6" s="3026"/>
      <c r="R6" s="3029"/>
      <c r="S6" s="3030"/>
      <c r="T6" s="3035"/>
      <c r="U6" s="3036"/>
      <c r="V6" s="3037"/>
      <c r="W6" s="3037"/>
      <c r="X6" s="1900"/>
      <c r="Y6" s="3035"/>
      <c r="Z6" s="3036"/>
      <c r="AA6" s="3016"/>
      <c r="AB6" s="3016"/>
      <c r="AC6" s="3016"/>
    </row>
    <row r="7" spans="1:29" s="35" customFormat="1" ht="15.75" thickBot="1">
      <c r="A7" s="387" t="s">
        <v>2352</v>
      </c>
      <c r="B7" s="388"/>
      <c r="C7" s="389">
        <f>'数据-取费表'!B2</f>
        <v>43074</v>
      </c>
      <c r="D7" s="390">
        <v>100</v>
      </c>
      <c r="E7" s="391"/>
      <c r="F7" s="392">
        <f>SUMIF(58:58,YEAR(E7)&amp;"-"&amp;MONTH(E7),59:59)</f>
        <v>0</v>
      </c>
      <c r="G7" s="391"/>
      <c r="H7" s="390">
        <f>SUMIF(58:58,YEAR(G7)&amp;"-"&amp;MONTH(G7),59:59)</f>
        <v>0</v>
      </c>
      <c r="I7" s="391"/>
      <c r="J7" s="390">
        <f>SUMIF(58:58,YEAR(I7)&amp;"-"&amp;MONTH(I7),59:59)</f>
        <v>0</v>
      </c>
      <c r="K7" s="2395"/>
      <c r="L7" s="1245"/>
      <c r="M7" s="1246"/>
      <c r="N7" s="1246"/>
      <c r="O7" s="1246"/>
      <c r="P7" s="3038" t="s">
        <v>2353</v>
      </c>
      <c r="Q7" s="3039"/>
      <c r="R7" s="749" t="s">
        <v>34</v>
      </c>
      <c r="S7" s="750">
        <f t="shared" ref="S7:S15" si="0">F7</f>
        <v>0</v>
      </c>
      <c r="T7" s="749" t="s">
        <v>34</v>
      </c>
      <c r="U7" s="750">
        <f t="shared" ref="U7:U15" si="1">H7</f>
        <v>0</v>
      </c>
      <c r="V7" s="749" t="s">
        <v>34</v>
      </c>
      <c r="W7" s="750">
        <f t="shared" ref="W7:W15" si="2">J7</f>
        <v>0</v>
      </c>
      <c r="X7" s="751"/>
      <c r="Y7" s="3038" t="s">
        <v>2353</v>
      </c>
      <c r="Z7" s="3040"/>
      <c r="AA7" s="752" t="e">
        <f>D7/F7</f>
        <v>#DIV/0!</v>
      </c>
      <c r="AB7" s="752" t="e">
        <f>D7/H7</f>
        <v>#DIV/0!</v>
      </c>
      <c r="AC7" s="752" t="e">
        <f>D7/J7</f>
        <v>#DIV/0!</v>
      </c>
    </row>
    <row r="8" spans="1:29" s="35" customFormat="1" ht="15.75" thickBot="1">
      <c r="A8" s="387" t="s">
        <v>2354</v>
      </c>
      <c r="B8" s="388"/>
      <c r="C8" s="394" t="s">
        <v>2355</v>
      </c>
      <c r="D8" s="390">
        <v>100</v>
      </c>
      <c r="E8" s="2396"/>
      <c r="F8" s="392">
        <f>SUMIF(61:61,E8,62:62)-SUMIF(61:61,C8,62:62)+100</f>
        <v>0</v>
      </c>
      <c r="G8" s="394"/>
      <c r="H8" s="390">
        <f>SUMIF(61:61,G8,62:62)-SUMIF(61:61,C8,62:62)+100</f>
        <v>0</v>
      </c>
      <c r="I8" s="2396"/>
      <c r="J8" s="390">
        <f>SUMIF(61:61,I8,62:62)-SUMIF(61:61,C8,62:62)+100</f>
        <v>0</v>
      </c>
      <c r="K8" s="2395"/>
      <c r="L8" s="1245"/>
      <c r="M8" s="1246"/>
      <c r="N8" s="1246"/>
      <c r="O8" s="1246"/>
      <c r="P8" s="3038" t="s">
        <v>2356</v>
      </c>
      <c r="Q8" s="3040"/>
      <c r="R8" s="749" t="s">
        <v>34</v>
      </c>
      <c r="S8" s="750">
        <f t="shared" si="0"/>
        <v>0</v>
      </c>
      <c r="T8" s="749" t="s">
        <v>34</v>
      </c>
      <c r="U8" s="750">
        <f t="shared" si="1"/>
        <v>0</v>
      </c>
      <c r="V8" s="749" t="s">
        <v>34</v>
      </c>
      <c r="W8" s="750">
        <f t="shared" si="2"/>
        <v>0</v>
      </c>
      <c r="X8" s="751"/>
      <c r="Y8" s="3038" t="s">
        <v>2356</v>
      </c>
      <c r="Z8" s="3040"/>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5"/>
      <c r="L9" s="1245"/>
      <c r="M9" s="1246"/>
      <c r="N9" s="1246"/>
      <c r="O9" s="1246"/>
      <c r="P9" s="304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1"/>
      <c r="Q11" s="1887" t="str">
        <f t="shared" si="6"/>
        <v>容积率</v>
      </c>
      <c r="R11" s="749" t="s">
        <v>28</v>
      </c>
      <c r="S11" s="750" t="e">
        <f t="shared" si="0"/>
        <v>#N/A</v>
      </c>
      <c r="T11" s="749" t="s">
        <v>28</v>
      </c>
      <c r="U11" s="750" t="e">
        <f t="shared" si="1"/>
        <v>#N/A</v>
      </c>
      <c r="V11" s="749" t="s">
        <v>28</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41"/>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41"/>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41"/>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99.75">
      <c r="A15" s="419" t="s">
        <v>2363</v>
      </c>
      <c r="B15" s="26" t="s">
        <v>1739</v>
      </c>
      <c r="C15" s="2401"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42" t="s">
        <v>2364</v>
      </c>
      <c r="Q15" s="1899" t="str">
        <f t="shared" si="6"/>
        <v>居住社区成熟度</v>
      </c>
      <c r="R15" s="753" t="s">
        <v>28</v>
      </c>
      <c r="S15" s="754">
        <f t="shared" si="0"/>
        <v>100</v>
      </c>
      <c r="T15" s="753" t="s">
        <v>28</v>
      </c>
      <c r="U15" s="754">
        <f t="shared" si="1"/>
        <v>100</v>
      </c>
      <c r="V15" s="753" t="s">
        <v>28</v>
      </c>
      <c r="W15" s="754">
        <f t="shared" si="2"/>
        <v>100</v>
      </c>
      <c r="X15" s="1900"/>
      <c r="Y15" s="3044" t="s">
        <v>2364</v>
      </c>
      <c r="Z15" s="1902" t="str">
        <f t="shared" si="7"/>
        <v>居住社区成熟度</v>
      </c>
      <c r="AA15" s="1903">
        <f t="shared" si="3"/>
        <v>1</v>
      </c>
      <c r="AB15" s="1903">
        <f t="shared" si="4"/>
        <v>1</v>
      </c>
      <c r="AC15" s="1903">
        <f t="shared" si="5"/>
        <v>1</v>
      </c>
    </row>
    <row r="16" spans="1:29" ht="15">
      <c r="A16" s="408"/>
      <c r="B16" s="425"/>
      <c r="C16" s="426"/>
      <c r="D16" s="427"/>
      <c r="E16" s="428"/>
      <c r="F16" s="429"/>
      <c r="G16" s="2402"/>
      <c r="H16" s="430"/>
      <c r="I16" s="428"/>
      <c r="J16" s="427"/>
      <c r="K16" s="2403"/>
      <c r="L16" s="1253"/>
      <c r="M16" s="1244"/>
      <c r="N16" s="1244"/>
      <c r="O16" s="1244"/>
      <c r="P16" s="3043"/>
      <c r="Q16" s="1899"/>
      <c r="R16" s="753"/>
      <c r="S16" s="754"/>
      <c r="T16" s="753"/>
      <c r="U16" s="754"/>
      <c r="V16" s="753"/>
      <c r="W16" s="754"/>
      <c r="X16" s="1900"/>
      <c r="Y16" s="3045"/>
      <c r="Z16" s="1902"/>
      <c r="AA16" s="1903">
        <v>1</v>
      </c>
      <c r="AB16" s="1903">
        <v>1</v>
      </c>
      <c r="AC16" s="1903">
        <v>1</v>
      </c>
    </row>
    <row r="17" spans="1:29" ht="85.5">
      <c r="A17" s="408"/>
      <c r="B17" s="431" t="s">
        <v>1750</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43"/>
      <c r="Q17" s="1899" t="str">
        <f>B17</f>
        <v>交通便捷度</v>
      </c>
      <c r="R17" s="753" t="s">
        <v>28</v>
      </c>
      <c r="S17" s="754">
        <f>F17</f>
        <v>100</v>
      </c>
      <c r="T17" s="753" t="s">
        <v>28</v>
      </c>
      <c r="U17" s="754">
        <f>H17</f>
        <v>100</v>
      </c>
      <c r="V17" s="753" t="s">
        <v>28</v>
      </c>
      <c r="W17" s="754">
        <f>J17</f>
        <v>100</v>
      </c>
      <c r="X17" s="1900"/>
      <c r="Y17" s="3045"/>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2403"/>
      <c r="L18" s="1253"/>
      <c r="M18" s="1244"/>
      <c r="N18" s="1244"/>
      <c r="O18" s="1244"/>
      <c r="P18" s="3043"/>
      <c r="Q18" s="1899"/>
      <c r="R18" s="753"/>
      <c r="S18" s="754"/>
      <c r="T18" s="753"/>
      <c r="U18" s="754"/>
      <c r="V18" s="753"/>
      <c r="W18" s="754"/>
      <c r="X18" s="1900"/>
      <c r="Y18" s="3045"/>
      <c r="Z18" s="1902"/>
      <c r="AA18" s="1903">
        <v>1</v>
      </c>
      <c r="AB18" s="1903">
        <v>1</v>
      </c>
      <c r="AC18" s="1903">
        <v>1</v>
      </c>
    </row>
    <row r="19" spans="1:29" ht="42.75">
      <c r="A19" s="408"/>
      <c r="B19" s="431" t="s">
        <v>1748</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43"/>
      <c r="Q19" s="1899" t="str">
        <f>B19</f>
        <v>公共配套设施</v>
      </c>
      <c r="R19" s="753" t="s">
        <v>28</v>
      </c>
      <c r="S19" s="754">
        <f>F19</f>
        <v>100</v>
      </c>
      <c r="T19" s="753" t="s">
        <v>28</v>
      </c>
      <c r="U19" s="754">
        <f>H19</f>
        <v>100</v>
      </c>
      <c r="V19" s="753" t="s">
        <v>28</v>
      </c>
      <c r="W19" s="754">
        <f>J19</f>
        <v>100</v>
      </c>
      <c r="X19" s="1900"/>
      <c r="Y19" s="3045"/>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2403"/>
      <c r="L20" s="1253"/>
      <c r="M20" s="1244"/>
      <c r="N20" s="1244"/>
      <c r="O20" s="1244"/>
      <c r="P20" s="3043"/>
      <c r="Q20" s="1899"/>
      <c r="R20" s="753"/>
      <c r="S20" s="754"/>
      <c r="T20" s="753"/>
      <c r="U20" s="754"/>
      <c r="V20" s="753"/>
      <c r="W20" s="754"/>
      <c r="X20" s="1900"/>
      <c r="Y20" s="3045"/>
      <c r="Z20" s="1902"/>
      <c r="AA20" s="1903">
        <v>1</v>
      </c>
      <c r="AB20" s="1903">
        <v>1</v>
      </c>
      <c r="AC20" s="1903">
        <v>1</v>
      </c>
    </row>
    <row r="21" spans="1:29" ht="28.5">
      <c r="A21" s="408"/>
      <c r="B21" s="2406" t="s">
        <v>1751</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43"/>
      <c r="Q21" s="1899" t="str">
        <f>B21</f>
        <v>基础设施水平</v>
      </c>
      <c r="R21" s="753" t="s">
        <v>28</v>
      </c>
      <c r="S21" s="754">
        <f>F21</f>
        <v>100</v>
      </c>
      <c r="T21" s="753" t="s">
        <v>28</v>
      </c>
      <c r="U21" s="754">
        <f>H21</f>
        <v>100</v>
      </c>
      <c r="V21" s="753" t="s">
        <v>28</v>
      </c>
      <c r="W21" s="754">
        <f>J21</f>
        <v>100</v>
      </c>
      <c r="X21" s="1900"/>
      <c r="Y21" s="3045"/>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2407"/>
      <c r="L22" s="1253"/>
      <c r="M22" s="1244"/>
      <c r="N22" s="1244"/>
      <c r="O22" s="1244"/>
      <c r="P22" s="3043"/>
      <c r="Q22" s="1899"/>
      <c r="R22" s="753"/>
      <c r="S22" s="754"/>
      <c r="T22" s="753"/>
      <c r="U22" s="754"/>
      <c r="V22" s="753"/>
      <c r="W22" s="754"/>
      <c r="X22" s="1900"/>
      <c r="Y22" s="3045"/>
      <c r="Z22" s="1902"/>
      <c r="AA22" s="1903">
        <v>1</v>
      </c>
      <c r="AB22" s="1903">
        <v>1</v>
      </c>
      <c r="AC22" s="1903">
        <v>1</v>
      </c>
    </row>
    <row r="23" spans="1:29" ht="57">
      <c r="A23" s="408"/>
      <c r="B23" s="431" t="s">
        <v>1755</v>
      </c>
      <c r="C23" s="240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43"/>
      <c r="Q23" s="1899" t="str">
        <f>B23</f>
        <v>自然及人文环境</v>
      </c>
      <c r="R23" s="753" t="s">
        <v>28</v>
      </c>
      <c r="S23" s="754">
        <f>F23</f>
        <v>100</v>
      </c>
      <c r="T23" s="753" t="s">
        <v>28</v>
      </c>
      <c r="U23" s="754">
        <f>H23</f>
        <v>100</v>
      </c>
      <c r="V23" s="753" t="s">
        <v>28</v>
      </c>
      <c r="W23" s="754">
        <f>J23</f>
        <v>100</v>
      </c>
      <c r="X23" s="1900"/>
      <c r="Y23" s="3045"/>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2403"/>
      <c r="L24" s="1253"/>
      <c r="M24" s="1244"/>
      <c r="N24" s="1244"/>
      <c r="O24" s="1244"/>
      <c r="P24" s="3043"/>
      <c r="Q24" s="1899"/>
      <c r="R24" s="753"/>
      <c r="S24" s="754"/>
      <c r="T24" s="753"/>
      <c r="U24" s="754"/>
      <c r="V24" s="753"/>
      <c r="W24" s="754"/>
      <c r="X24" s="1900"/>
      <c r="Y24" s="3045"/>
      <c r="Z24" s="1902"/>
      <c r="AA24" s="1903">
        <v>1</v>
      </c>
      <c r="AB24" s="1903">
        <v>1</v>
      </c>
      <c r="AC24" s="1903">
        <v>1</v>
      </c>
    </row>
    <row r="25" spans="1:29" ht="15">
      <c r="A25" s="408"/>
      <c r="B25" s="402" t="s">
        <v>2365</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43"/>
      <c r="Q25" s="1899" t="str">
        <f t="shared" ref="Q25:Q46" si="11">B25</f>
        <v>楼层-1</v>
      </c>
      <c r="R25" s="753" t="s">
        <v>28</v>
      </c>
      <c r="S25" s="754">
        <f>F25</f>
        <v>100</v>
      </c>
      <c r="T25" s="753" t="s">
        <v>28</v>
      </c>
      <c r="U25" s="754">
        <f>H25</f>
        <v>100</v>
      </c>
      <c r="V25" s="753" t="s">
        <v>28</v>
      </c>
      <c r="W25" s="754">
        <f>J25</f>
        <v>100</v>
      </c>
      <c r="X25" s="1900"/>
      <c r="Y25" s="3045"/>
      <c r="Z25" s="1902" t="str">
        <f>Q25</f>
        <v>楼层-1</v>
      </c>
      <c r="AA25" s="1903">
        <f t="shared" si="3"/>
        <v>1</v>
      </c>
      <c r="AB25" s="1903">
        <f t="shared" si="4"/>
        <v>1</v>
      </c>
      <c r="AC25" s="1903">
        <f t="shared" si="5"/>
        <v>1</v>
      </c>
    </row>
    <row r="26" spans="1:29" ht="15">
      <c r="A26" s="408"/>
      <c r="B26" s="402" t="s">
        <v>2366</v>
      </c>
      <c r="C26" s="441"/>
      <c r="D26" s="415">
        <v>100</v>
      </c>
      <c r="E26" s="2408"/>
      <c r="F26" s="442">
        <f>SUMIF(88:88,E26,89:89)-SUMIF(88:88,C26,89:89)+100</f>
        <v>100</v>
      </c>
      <c r="G26" s="2409"/>
      <c r="H26" s="415">
        <f>SUMIF(88:88,G26,89:89)-SUMIF(88:88,C26,89:89)+100</f>
        <v>100</v>
      </c>
      <c r="I26" s="2408"/>
      <c r="J26" s="415">
        <f>SUMIF(88:88,I26,89:89)-SUMIF(88:88,C26,89:89)+100</f>
        <v>100</v>
      </c>
      <c r="K26" s="406"/>
      <c r="L26" s="1253"/>
      <c r="M26" s="1244"/>
      <c r="N26" s="1244"/>
      <c r="O26" s="1244"/>
      <c r="P26" s="3043"/>
      <c r="Q26" s="1899" t="str">
        <f t="shared" si="11"/>
        <v>朝向</v>
      </c>
      <c r="R26" s="753" t="s">
        <v>28</v>
      </c>
      <c r="S26" s="754">
        <f>F26</f>
        <v>100</v>
      </c>
      <c r="T26" s="753" t="s">
        <v>28</v>
      </c>
      <c r="U26" s="754">
        <f>H26</f>
        <v>100</v>
      </c>
      <c r="V26" s="753" t="s">
        <v>28</v>
      </c>
      <c r="W26" s="754">
        <f>J26</f>
        <v>100</v>
      </c>
      <c r="X26" s="1900"/>
      <c r="Y26" s="3045"/>
      <c r="Z26" s="1902" t="str">
        <f>Q26</f>
        <v>朝向</v>
      </c>
      <c r="AA26" s="1903">
        <f t="shared" si="3"/>
        <v>1</v>
      </c>
      <c r="AB26" s="1903">
        <f t="shared" si="4"/>
        <v>1</v>
      </c>
      <c r="AC26" s="1903">
        <f t="shared" si="5"/>
        <v>1</v>
      </c>
    </row>
    <row r="27" spans="1:29" s="35" customFormat="1" ht="15">
      <c r="A27" s="411"/>
      <c r="B27" s="2397" t="s">
        <v>2367</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43"/>
      <c r="Q27" s="1887" t="str">
        <f t="shared" si="11"/>
        <v>道路级别</v>
      </c>
      <c r="R27" s="749" t="s">
        <v>28</v>
      </c>
      <c r="S27" s="750">
        <f>F27</f>
        <v>100</v>
      </c>
      <c r="T27" s="749" t="s">
        <v>28</v>
      </c>
      <c r="U27" s="750">
        <f>H27</f>
        <v>100</v>
      </c>
      <c r="V27" s="749" t="s">
        <v>28</v>
      </c>
      <c r="W27" s="750">
        <f>J27</f>
        <v>100</v>
      </c>
      <c r="X27" s="751"/>
      <c r="Y27" s="3045"/>
      <c r="Z27" s="23" t="str">
        <f>Q27</f>
        <v>道路级别</v>
      </c>
      <c r="AA27" s="1903">
        <f>D27/F27</f>
        <v>1</v>
      </c>
      <c r="AB27" s="1903">
        <f>D27/H27</f>
        <v>1</v>
      </c>
      <c r="AC27" s="1903">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43"/>
      <c r="Q28" s="1899">
        <f t="shared" si="11"/>
        <v>111</v>
      </c>
      <c r="R28" s="753" t="s">
        <v>28</v>
      </c>
      <c r="S28" s="754">
        <f t="shared" ref="S28:S46" si="12">F28</f>
        <v>100</v>
      </c>
      <c r="T28" s="753" t="s">
        <v>28</v>
      </c>
      <c r="U28" s="754">
        <f t="shared" ref="U28:U46" si="13">H28</f>
        <v>100</v>
      </c>
      <c r="V28" s="753" t="s">
        <v>28</v>
      </c>
      <c r="W28" s="754">
        <f t="shared" ref="W28:W46" si="14">J28</f>
        <v>100</v>
      </c>
      <c r="X28" s="1900"/>
      <c r="Y28" s="3045"/>
      <c r="Z28" s="1902">
        <f t="shared" ref="Z28:Z46" si="15">Q28</f>
        <v>111</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43"/>
      <c r="Q29" s="1899">
        <f t="shared" si="11"/>
        <v>111</v>
      </c>
      <c r="R29" s="753" t="s">
        <v>28</v>
      </c>
      <c r="S29" s="754">
        <f t="shared" si="12"/>
        <v>100</v>
      </c>
      <c r="T29" s="753" t="s">
        <v>28</v>
      </c>
      <c r="U29" s="754">
        <f t="shared" si="13"/>
        <v>100</v>
      </c>
      <c r="V29" s="753" t="s">
        <v>28</v>
      </c>
      <c r="W29" s="754">
        <f t="shared" si="14"/>
        <v>100</v>
      </c>
      <c r="X29" s="1900"/>
      <c r="Y29" s="3045"/>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43"/>
      <c r="Q30" s="1899">
        <f t="shared" si="11"/>
        <v>111</v>
      </c>
      <c r="R30" s="753" t="s">
        <v>28</v>
      </c>
      <c r="S30" s="754">
        <f t="shared" si="12"/>
        <v>100</v>
      </c>
      <c r="T30" s="753" t="s">
        <v>28</v>
      </c>
      <c r="U30" s="754">
        <f t="shared" si="13"/>
        <v>100</v>
      </c>
      <c r="V30" s="753" t="s">
        <v>28</v>
      </c>
      <c r="W30" s="754">
        <f t="shared" si="14"/>
        <v>100</v>
      </c>
      <c r="X30" s="1900"/>
      <c r="Y30" s="3045"/>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43"/>
      <c r="Q31" s="1899">
        <f t="shared" si="11"/>
        <v>111</v>
      </c>
      <c r="R31" s="753" t="s">
        <v>28</v>
      </c>
      <c r="S31" s="754">
        <f t="shared" si="12"/>
        <v>100</v>
      </c>
      <c r="T31" s="753" t="s">
        <v>28</v>
      </c>
      <c r="U31" s="754">
        <f t="shared" si="13"/>
        <v>100</v>
      </c>
      <c r="V31" s="753" t="s">
        <v>28</v>
      </c>
      <c r="W31" s="754">
        <f t="shared" si="14"/>
        <v>100</v>
      </c>
      <c r="X31" s="1900"/>
      <c r="Y31" s="3045"/>
      <c r="Z31" s="1902">
        <f t="shared" si="15"/>
        <v>111</v>
      </c>
      <c r="AA31" s="1903">
        <f t="shared" si="3"/>
        <v>1</v>
      </c>
      <c r="AB31" s="1903">
        <f t="shared" si="4"/>
        <v>1</v>
      </c>
      <c r="AC31" s="1903">
        <f t="shared" si="5"/>
        <v>1</v>
      </c>
    </row>
    <row r="32" spans="1:29" ht="15">
      <c r="A32" s="419" t="s">
        <v>2368</v>
      </c>
      <c r="B32" s="28" t="s">
        <v>2369</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46" t="s">
        <v>2370</v>
      </c>
      <c r="Q32" s="1899" t="str">
        <f t="shared" si="11"/>
        <v>建筑类型</v>
      </c>
      <c r="R32" s="753" t="s">
        <v>28</v>
      </c>
      <c r="S32" s="754">
        <f t="shared" si="12"/>
        <v>100</v>
      </c>
      <c r="T32" s="753" t="s">
        <v>28</v>
      </c>
      <c r="U32" s="754">
        <f t="shared" si="13"/>
        <v>100</v>
      </c>
      <c r="V32" s="753" t="s">
        <v>28</v>
      </c>
      <c r="W32" s="754">
        <f t="shared" si="14"/>
        <v>100</v>
      </c>
      <c r="X32" s="1900"/>
      <c r="Y32" s="3049" t="s">
        <v>2370</v>
      </c>
      <c r="Z32" s="1902" t="str">
        <f t="shared" si="15"/>
        <v>建筑类型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1"/>
      <c r="M33" s="1254"/>
      <c r="N33" s="1254"/>
      <c r="O33" s="1254"/>
      <c r="P33" s="3047"/>
      <c r="Q33" s="755" t="str">
        <f t="shared" si="11"/>
        <v>项目建筑规模</v>
      </c>
      <c r="R33" s="756" t="s">
        <v>28</v>
      </c>
      <c r="S33" s="757" t="e">
        <f t="shared" si="12"/>
        <v>#N/A</v>
      </c>
      <c r="T33" s="756" t="s">
        <v>28</v>
      </c>
      <c r="U33" s="757" t="e">
        <f t="shared" si="13"/>
        <v>#N/A</v>
      </c>
      <c r="V33" s="756" t="s">
        <v>28</v>
      </c>
      <c r="W33" s="757" t="e">
        <f t="shared" si="14"/>
        <v>#N/A</v>
      </c>
      <c r="X33" s="758"/>
      <c r="Y33" s="3049"/>
      <c r="Z33" s="759" t="str">
        <f t="shared" si="15"/>
        <v>项目建筑规模</v>
      </c>
      <c r="AA33" s="1903" t="e">
        <f t="shared" si="3"/>
        <v>#N/A</v>
      </c>
      <c r="AB33" s="1903" t="e">
        <f t="shared" si="4"/>
        <v>#N/A</v>
      </c>
      <c r="AC33" s="1903" t="e">
        <f t="shared" si="5"/>
        <v>#N/A</v>
      </c>
    </row>
    <row r="34" spans="1:29" ht="15">
      <c r="A34" s="453"/>
      <c r="B34" s="402" t="s">
        <v>2372</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47"/>
      <c r="Q34" s="1899" t="str">
        <f t="shared" si="11"/>
        <v>建筑结构</v>
      </c>
      <c r="R34" s="753" t="s">
        <v>28</v>
      </c>
      <c r="S34" s="754">
        <f t="shared" si="12"/>
        <v>100</v>
      </c>
      <c r="T34" s="753" t="s">
        <v>28</v>
      </c>
      <c r="U34" s="754">
        <f t="shared" si="13"/>
        <v>100</v>
      </c>
      <c r="V34" s="753" t="s">
        <v>28</v>
      </c>
      <c r="W34" s="754">
        <f t="shared" si="14"/>
        <v>100</v>
      </c>
      <c r="X34" s="1900"/>
      <c r="Y34" s="3049"/>
      <c r="Z34" s="1902" t="str">
        <f t="shared" si="15"/>
        <v>建筑结构</v>
      </c>
      <c r="AA34" s="1903">
        <f t="shared" si="3"/>
        <v>1</v>
      </c>
      <c r="AB34" s="1903">
        <f t="shared" si="4"/>
        <v>1</v>
      </c>
      <c r="AC34" s="1903">
        <f t="shared" si="5"/>
        <v>1</v>
      </c>
    </row>
    <row r="35" spans="1:29" ht="15">
      <c r="A35" s="453"/>
      <c r="B35" s="402" t="s">
        <v>2373</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47"/>
      <c r="Q35" s="1899" t="str">
        <f t="shared" si="11"/>
        <v>建筑品质</v>
      </c>
      <c r="R35" s="753" t="s">
        <v>28</v>
      </c>
      <c r="S35" s="754">
        <f t="shared" si="12"/>
        <v>100</v>
      </c>
      <c r="T35" s="753" t="s">
        <v>28</v>
      </c>
      <c r="U35" s="754">
        <f t="shared" si="13"/>
        <v>100</v>
      </c>
      <c r="V35" s="753" t="s">
        <v>28</v>
      </c>
      <c r="W35" s="754">
        <f t="shared" si="14"/>
        <v>100</v>
      </c>
      <c r="X35" s="1900"/>
      <c r="Y35" s="3049"/>
      <c r="Z35" s="1902" t="str">
        <f t="shared" si="15"/>
        <v>建筑品质</v>
      </c>
      <c r="AA35" s="1903">
        <f t="shared" si="3"/>
        <v>1</v>
      </c>
      <c r="AB35" s="1903">
        <f t="shared" si="4"/>
        <v>1</v>
      </c>
      <c r="AC35" s="1903">
        <f t="shared" si="5"/>
        <v>1</v>
      </c>
    </row>
    <row r="36" spans="1:29" ht="15">
      <c r="A36" s="453"/>
      <c r="B36" s="402" t="s">
        <v>2374</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47"/>
      <c r="Q36" s="1899" t="str">
        <f t="shared" si="11"/>
        <v>公共部分装修</v>
      </c>
      <c r="R36" s="753" t="s">
        <v>28</v>
      </c>
      <c r="S36" s="754">
        <f t="shared" si="12"/>
        <v>100</v>
      </c>
      <c r="T36" s="753" t="s">
        <v>28</v>
      </c>
      <c r="U36" s="754">
        <f t="shared" si="13"/>
        <v>100</v>
      </c>
      <c r="V36" s="753" t="s">
        <v>28</v>
      </c>
      <c r="W36" s="754">
        <f t="shared" si="14"/>
        <v>100</v>
      </c>
      <c r="X36" s="1900"/>
      <c r="Y36" s="3049"/>
      <c r="Z36" s="1902" t="str">
        <f t="shared" si="15"/>
        <v>公共部分装修</v>
      </c>
      <c r="AA36" s="1903">
        <f t="shared" si="3"/>
        <v>1</v>
      </c>
      <c r="AB36" s="1903">
        <f t="shared" si="4"/>
        <v>1</v>
      </c>
      <c r="AC36" s="1903">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47"/>
      <c r="Q37" s="1887" t="str">
        <f t="shared" si="11"/>
        <v>成新度</v>
      </c>
      <c r="R37" s="749" t="s">
        <v>28</v>
      </c>
      <c r="S37" s="750" t="e">
        <f t="shared" si="12"/>
        <v>#N/A</v>
      </c>
      <c r="T37" s="749" t="s">
        <v>28</v>
      </c>
      <c r="U37" s="750" t="e">
        <f t="shared" si="13"/>
        <v>#N/A</v>
      </c>
      <c r="V37" s="749" t="s">
        <v>28</v>
      </c>
      <c r="W37" s="750" t="e">
        <f t="shared" si="14"/>
        <v>#N/A</v>
      </c>
      <c r="X37" s="751"/>
      <c r="Y37" s="3049"/>
      <c r="Z37" s="23" t="str">
        <f t="shared" si="15"/>
        <v>成新度</v>
      </c>
      <c r="AA37" s="752" t="e">
        <f t="shared" si="3"/>
        <v>#N/A</v>
      </c>
      <c r="AB37" s="752" t="e">
        <f t="shared" si="4"/>
        <v>#N/A</v>
      </c>
      <c r="AC37" s="752" t="e">
        <f t="shared" si="5"/>
        <v>#N/A</v>
      </c>
    </row>
    <row r="38" spans="1:29" ht="15">
      <c r="A38" s="453"/>
      <c r="B38" s="402" t="s">
        <v>2376</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47" t="s">
        <v>2370</v>
      </c>
      <c r="Q38" s="1899" t="str">
        <f t="shared" si="11"/>
        <v>物业管理</v>
      </c>
      <c r="R38" s="753" t="s">
        <v>28</v>
      </c>
      <c r="S38" s="754">
        <f t="shared" si="12"/>
        <v>100</v>
      </c>
      <c r="T38" s="753" t="s">
        <v>28</v>
      </c>
      <c r="U38" s="754">
        <f t="shared" si="13"/>
        <v>100</v>
      </c>
      <c r="V38" s="753" t="s">
        <v>28</v>
      </c>
      <c r="W38" s="754">
        <f t="shared" si="14"/>
        <v>100</v>
      </c>
      <c r="X38" s="1900"/>
      <c r="Y38" s="3049" t="s">
        <v>2370</v>
      </c>
      <c r="Z38" s="1902" t="str">
        <f t="shared" si="15"/>
        <v>物业管理</v>
      </c>
      <c r="AA38" s="1903">
        <f t="shared" si="3"/>
        <v>1</v>
      </c>
      <c r="AB38" s="1903">
        <f t="shared" si="4"/>
        <v>1</v>
      </c>
      <c r="AC38" s="1903">
        <f t="shared" si="5"/>
        <v>1</v>
      </c>
    </row>
    <row r="39" spans="1:29" ht="15">
      <c r="A39" s="453"/>
      <c r="B39" s="402" t="s">
        <v>2377</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47"/>
      <c r="Q39" s="1899" t="str">
        <f t="shared" si="11"/>
        <v>市政基础设施</v>
      </c>
      <c r="R39" s="753" t="s">
        <v>28</v>
      </c>
      <c r="S39" s="754">
        <f t="shared" si="12"/>
        <v>100</v>
      </c>
      <c r="T39" s="753" t="s">
        <v>28</v>
      </c>
      <c r="U39" s="754">
        <f t="shared" si="13"/>
        <v>100</v>
      </c>
      <c r="V39" s="753" t="s">
        <v>28</v>
      </c>
      <c r="W39" s="754">
        <f t="shared" si="14"/>
        <v>100</v>
      </c>
      <c r="X39" s="1900"/>
      <c r="Y39" s="3049"/>
      <c r="Z39" s="1902" t="str">
        <f t="shared" si="15"/>
        <v>市政基础设施</v>
      </c>
      <c r="AA39" s="1903">
        <f t="shared" si="3"/>
        <v>1</v>
      </c>
      <c r="AB39" s="1903">
        <f t="shared" si="4"/>
        <v>1</v>
      </c>
      <c r="AC39" s="1903">
        <f t="shared" si="5"/>
        <v>1</v>
      </c>
    </row>
    <row r="40" spans="1:29" ht="15">
      <c r="A40" s="453"/>
      <c r="B40" s="402" t="s">
        <v>2378</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47"/>
      <c r="Q40" s="1899" t="str">
        <f t="shared" si="11"/>
        <v>房型</v>
      </c>
      <c r="R40" s="753" t="s">
        <v>28</v>
      </c>
      <c r="S40" s="754">
        <f t="shared" si="12"/>
        <v>100</v>
      </c>
      <c r="T40" s="753" t="s">
        <v>28</v>
      </c>
      <c r="U40" s="754">
        <f t="shared" si="13"/>
        <v>100</v>
      </c>
      <c r="V40" s="753" t="s">
        <v>28</v>
      </c>
      <c r="W40" s="754">
        <f t="shared" si="14"/>
        <v>100</v>
      </c>
      <c r="X40" s="1900"/>
      <c r="Y40" s="3049"/>
      <c r="Z40" s="1902" t="str">
        <f t="shared" si="15"/>
        <v>房型</v>
      </c>
      <c r="AA40" s="1903">
        <f t="shared" si="3"/>
        <v>1</v>
      </c>
      <c r="AB40" s="1903">
        <f t="shared" si="4"/>
        <v>1</v>
      </c>
      <c r="AC40" s="1903">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47"/>
      <c r="Q41" s="755" t="str">
        <f t="shared" si="11"/>
        <v>单套/主力户型建筑面积</v>
      </c>
      <c r="R41" s="756" t="s">
        <v>28</v>
      </c>
      <c r="S41" s="757">
        <f t="shared" si="12"/>
        <v>100</v>
      </c>
      <c r="T41" s="756" t="s">
        <v>28</v>
      </c>
      <c r="U41" s="757">
        <f t="shared" si="13"/>
        <v>100</v>
      </c>
      <c r="V41" s="756" t="s">
        <v>28</v>
      </c>
      <c r="W41" s="757">
        <f t="shared" si="14"/>
        <v>100</v>
      </c>
      <c r="X41" s="758"/>
      <c r="Y41" s="3049"/>
      <c r="Z41" s="759" t="str">
        <f t="shared" si="15"/>
        <v>单套/主力户型建筑面积</v>
      </c>
      <c r="AA41" s="1903">
        <f t="shared" si="3"/>
        <v>1</v>
      </c>
      <c r="AB41" s="1903">
        <f t="shared" si="4"/>
        <v>1</v>
      </c>
      <c r="AC41" s="1903">
        <f t="shared" si="5"/>
        <v>1</v>
      </c>
    </row>
    <row r="42" spans="1:29" ht="15">
      <c r="A42" s="453"/>
      <c r="B42" s="402" t="s">
        <v>2380</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47"/>
      <c r="Q42" s="1899" t="str">
        <f t="shared" si="11"/>
        <v>内部装修</v>
      </c>
      <c r="R42" s="753" t="s">
        <v>28</v>
      </c>
      <c r="S42" s="754">
        <f t="shared" si="12"/>
        <v>100</v>
      </c>
      <c r="T42" s="753" t="s">
        <v>28</v>
      </c>
      <c r="U42" s="754">
        <f t="shared" si="13"/>
        <v>100</v>
      </c>
      <c r="V42" s="753" t="s">
        <v>28</v>
      </c>
      <c r="W42" s="754">
        <f t="shared" si="14"/>
        <v>100</v>
      </c>
      <c r="X42" s="1900"/>
      <c r="Y42" s="3049"/>
      <c r="Z42" s="1902" t="str">
        <f t="shared" si="15"/>
        <v>内部装修</v>
      </c>
      <c r="AA42" s="1903">
        <f t="shared" si="3"/>
        <v>1</v>
      </c>
      <c r="AB42" s="1903">
        <f t="shared" si="4"/>
        <v>1</v>
      </c>
      <c r="AC42" s="1903">
        <f t="shared" si="5"/>
        <v>1</v>
      </c>
    </row>
    <row r="43" spans="1:29" ht="15">
      <c r="A43" s="453"/>
      <c r="B43" s="402" t="s">
        <v>2381</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47"/>
      <c r="Q43" s="1899" t="str">
        <f t="shared" si="11"/>
        <v>内部装修维护情况</v>
      </c>
      <c r="R43" s="753" t="s">
        <v>28</v>
      </c>
      <c r="S43" s="754">
        <f t="shared" si="12"/>
        <v>100</v>
      </c>
      <c r="T43" s="753" t="s">
        <v>28</v>
      </c>
      <c r="U43" s="754">
        <f t="shared" si="13"/>
        <v>100</v>
      </c>
      <c r="V43" s="753" t="s">
        <v>28</v>
      </c>
      <c r="W43" s="754">
        <f t="shared" si="14"/>
        <v>100</v>
      </c>
      <c r="X43" s="1900"/>
      <c r="Y43" s="3049"/>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7"/>
      <c r="Q44" s="1887">
        <f t="shared" si="11"/>
        <v>111</v>
      </c>
      <c r="R44" s="749" t="s">
        <v>28</v>
      </c>
      <c r="S44" s="750">
        <f t="shared" si="12"/>
        <v>100</v>
      </c>
      <c r="T44" s="749" t="s">
        <v>28</v>
      </c>
      <c r="U44" s="750">
        <f t="shared" si="13"/>
        <v>100</v>
      </c>
      <c r="V44" s="749" t="s">
        <v>28</v>
      </c>
      <c r="W44" s="750">
        <f t="shared" si="14"/>
        <v>100</v>
      </c>
      <c r="X44" s="751"/>
      <c r="Y44" s="3049"/>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7"/>
      <c r="Q45" s="1899">
        <f t="shared" si="11"/>
        <v>111</v>
      </c>
      <c r="R45" s="753" t="s">
        <v>28</v>
      </c>
      <c r="S45" s="754">
        <f t="shared" si="12"/>
        <v>100</v>
      </c>
      <c r="T45" s="753" t="s">
        <v>28</v>
      </c>
      <c r="U45" s="754">
        <f t="shared" si="13"/>
        <v>100</v>
      </c>
      <c r="V45" s="753" t="s">
        <v>28</v>
      </c>
      <c r="W45" s="754">
        <f t="shared" si="14"/>
        <v>100</v>
      </c>
      <c r="X45" s="1900"/>
      <c r="Y45" s="3049"/>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8"/>
      <c r="Q46" s="1899">
        <f t="shared" si="11"/>
        <v>111</v>
      </c>
      <c r="R46" s="753" t="s">
        <v>27</v>
      </c>
      <c r="S46" s="754">
        <f t="shared" si="12"/>
        <v>100</v>
      </c>
      <c r="T46" s="753" t="s">
        <v>27</v>
      </c>
      <c r="U46" s="754">
        <f t="shared" si="13"/>
        <v>100</v>
      </c>
      <c r="V46" s="753" t="s">
        <v>27</v>
      </c>
      <c r="W46" s="754">
        <f t="shared" si="14"/>
        <v>100</v>
      </c>
      <c r="X46" s="1900"/>
      <c r="Y46" s="3050"/>
      <c r="Z46" s="1902">
        <f t="shared" si="15"/>
        <v>111</v>
      </c>
      <c r="AA46" s="1903">
        <f t="shared" si="3"/>
        <v>1</v>
      </c>
      <c r="AB46" s="1903">
        <f t="shared" si="4"/>
        <v>1</v>
      </c>
      <c r="AC46" s="1903">
        <f t="shared" si="5"/>
        <v>1</v>
      </c>
    </row>
    <row r="47" spans="1:29" ht="15">
      <c r="A47" s="460" t="s">
        <v>2382</v>
      </c>
      <c r="B47" s="461"/>
      <c r="C47" s="1501" t="s">
        <v>26</v>
      </c>
      <c r="D47" s="1502"/>
      <c r="E47" s="1503"/>
      <c r="F47" s="1504"/>
      <c r="G47" s="1505"/>
      <c r="H47" s="1506"/>
      <c r="I47" s="1503"/>
      <c r="J47" s="1506"/>
      <c r="K47" s="2415"/>
      <c r="L47" s="1256"/>
      <c r="M47" s="1257"/>
      <c r="N47" s="1244"/>
      <c r="O47" s="1257"/>
      <c r="P47" s="3051" t="str">
        <f>A47</f>
        <v>成交单价（元/平方米）</v>
      </c>
      <c r="Q47" s="3051"/>
      <c r="R47" s="3052">
        <f>E47</f>
        <v>0</v>
      </c>
      <c r="S47" s="3052"/>
      <c r="T47" s="3052">
        <f>G47</f>
        <v>0</v>
      </c>
      <c r="U47" s="3052"/>
      <c r="V47" s="3052">
        <f>I47</f>
        <v>0</v>
      </c>
      <c r="W47" s="3052"/>
      <c r="X47" s="738"/>
      <c r="Y47" s="760"/>
      <c r="Z47" s="738"/>
      <c r="AA47" s="738"/>
      <c r="AB47" s="738"/>
      <c r="AC47" s="738"/>
    </row>
    <row r="48" spans="1:29" ht="15.75" thickBot="1">
      <c r="A48" s="467" t="s">
        <v>2383</v>
      </c>
      <c r="B48" s="468"/>
      <c r="C48" s="1507" t="e">
        <f>R49</f>
        <v>#DIV/0!</v>
      </c>
      <c r="D48" s="1508"/>
      <c r="E48" s="1509" t="e">
        <f>R48</f>
        <v>#DIV/0!</v>
      </c>
      <c r="F48" s="1509"/>
      <c r="G48" s="1507" t="e">
        <f>T48</f>
        <v>#DIV/0!</v>
      </c>
      <c r="H48" s="1508"/>
      <c r="I48" s="1509" t="e">
        <f>V48</f>
        <v>#DIV/0!</v>
      </c>
      <c r="J48" s="1508"/>
      <c r="K48" s="2416"/>
      <c r="L48" s="1256"/>
      <c r="M48" s="1257"/>
      <c r="N48" s="1257"/>
      <c r="O48" s="1257"/>
      <c r="P48" s="3051" t="str">
        <f>A48</f>
        <v>比较价值（元/平方米）</v>
      </c>
      <c r="Q48" s="3051"/>
      <c r="R48" s="3052" t="e">
        <f>IF(E1="售价",ROUND(PRODUCT(R47,AA7:AA46),0),ROUND(PRODUCT(R47,AA7:AA46),1))</f>
        <v>#DIV/0!</v>
      </c>
      <c r="S48" s="3052"/>
      <c r="T48" s="3053" t="e">
        <f>IF(E1="售价",ROUND(PRODUCT(T47,AB7:AB46),0),ROUND(PRODUCT(T47,AB7:AB46),1))</f>
        <v>#DIV/0!</v>
      </c>
      <c r="U48" s="3054"/>
      <c r="V48" s="3052" t="e">
        <f>IF(E1="售价",ROUND(PRODUCT(V47,AC7:AC46),0),ROUND(PRODUCT(V47,AC7:AC46),1))</f>
        <v>#DIV/0!</v>
      </c>
      <c r="W48" s="3052"/>
      <c r="X48" s="738"/>
      <c r="Y48" s="738"/>
      <c r="Z48" s="738"/>
      <c r="AA48" s="738"/>
      <c r="AB48" s="738"/>
      <c r="AC48" s="738"/>
    </row>
    <row r="49" spans="1:29" ht="15.75" thickBot="1">
      <c r="A49" s="473" t="s">
        <v>2384</v>
      </c>
      <c r="B49" s="474"/>
      <c r="C49" s="1510" t="e">
        <f>R49</f>
        <v>#DIV/0!</v>
      </c>
      <c r="D49" s="1511"/>
      <c r="E49" s="1511"/>
      <c r="F49" s="1511"/>
      <c r="G49" s="1511"/>
      <c r="H49" s="1511"/>
      <c r="I49" s="1511"/>
      <c r="J49" s="1511"/>
      <c r="K49" s="2417"/>
      <c r="L49" s="1256"/>
      <c r="M49" s="1257"/>
      <c r="N49" s="1257"/>
      <c r="O49" s="1257"/>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2409</v>
      </c>
      <c r="D82" s="522" t="s">
        <v>2410</v>
      </c>
      <c r="E82" s="522" t="s">
        <v>2411</v>
      </c>
      <c r="F82" s="522" t="s">
        <v>2412</v>
      </c>
      <c r="G82" s="522" t="s">
        <v>2413</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537"/>
      <c r="D88" s="537"/>
      <c r="E88" s="537"/>
      <c r="F88" s="2429"/>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2368</v>
      </c>
      <c r="B100" s="509" t="s">
        <v>2417</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2425</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2379</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20</v>
      </c>
      <c r="K139" s="1127">
        <f>C145/(J139-2)</f>
        <v>4.0555555555555553E-3</v>
      </c>
    </row>
    <row r="140" spans="1:17" ht="15">
      <c r="B140" s="1126">
        <v>5</v>
      </c>
      <c r="C140" s="1137">
        <v>100</v>
      </c>
      <c r="D140" s="1137"/>
      <c r="E140" s="1138"/>
      <c r="F140" s="1139">
        <v>102</v>
      </c>
      <c r="G140" s="1137"/>
      <c r="H140" s="1140"/>
      <c r="I140" s="2444" t="s">
        <v>2439</v>
      </c>
      <c r="J140" s="217">
        <f>ROUNDUP((J139-1)/2,0)</f>
        <v>10</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20</v>
      </c>
      <c r="K142" s="1142">
        <v>95</v>
      </c>
    </row>
    <row r="143" spans="1:17" ht="15">
      <c r="B143" s="1126">
        <v>2</v>
      </c>
      <c r="C143" s="1137">
        <v>100</v>
      </c>
      <c r="D143" s="1137"/>
      <c r="E143" s="1138"/>
      <c r="F143" s="1139">
        <v>100.5</v>
      </c>
      <c r="G143" s="1137"/>
      <c r="H143" s="1140"/>
      <c r="I143" s="2444" t="s">
        <v>2442</v>
      </c>
      <c r="J143" s="1137">
        <v>15</v>
      </c>
      <c r="K143" s="1129">
        <f>ROUND(100+(J143-J140)*K139*100,1)</f>
        <v>102</v>
      </c>
    </row>
    <row r="144" spans="1:17" ht="15">
      <c r="B144" s="1126">
        <v>1</v>
      </c>
      <c r="C144" s="1137">
        <v>98</v>
      </c>
      <c r="D144" s="2445" t="s">
        <v>2443</v>
      </c>
      <c r="E144" s="1138">
        <v>102</v>
      </c>
      <c r="F144" s="1141">
        <v>100</v>
      </c>
      <c r="G144" s="2445" t="s">
        <v>2443</v>
      </c>
      <c r="H144" s="1140">
        <v>105</v>
      </c>
      <c r="I144" s="2444" t="s">
        <v>2442</v>
      </c>
      <c r="J144" s="1137">
        <v>18</v>
      </c>
      <c r="K144" s="1129">
        <f>ROUND(100+(J144-J140)*K139*100,1)</f>
        <v>103.2</v>
      </c>
    </row>
    <row r="145" spans="2:11" ht="15.75" thickBot="1">
      <c r="B145" s="2446" t="s">
        <v>2444</v>
      </c>
      <c r="C145" s="1131">
        <f>ROUND(MAX(C139:C144)/MIN(C139:C144)-1,3)</f>
        <v>7.2999999999999995E-2</v>
      </c>
      <c r="D145" s="1132"/>
      <c r="E145" s="1132"/>
      <c r="F145" s="2447" t="s">
        <v>2445</v>
      </c>
      <c r="G145" s="2448"/>
      <c r="H145" s="2449"/>
      <c r="I145" s="2450" t="s">
        <v>2442</v>
      </c>
      <c r="J145" s="1143">
        <v>8</v>
      </c>
      <c r="K145" s="1130">
        <f>ROUND(100+(J145-J140)*K139*100,1)</f>
        <v>99.2</v>
      </c>
    </row>
    <row r="147" spans="2:11">
      <c r="B147" s="2431" t="s">
        <v>2446</v>
      </c>
    </row>
    <row r="148" spans="2:11">
      <c r="B148" s="2431"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1"/>
      <c r="E1" s="2380"/>
      <c r="F1" s="1740" t="s">
        <v>2337</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2338</v>
      </c>
      <c r="D3" s="378">
        <f>IF(C1="仅计算典型户型",'数据-取费表'!E5,'数据-取费表'!B5)</f>
        <v>142.82</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2339</v>
      </c>
      <c r="B4" s="381"/>
      <c r="C4" s="3017" t="s">
        <v>2340</v>
      </c>
      <c r="D4" s="3018"/>
      <c r="E4" s="3019" t="s">
        <v>2341</v>
      </c>
      <c r="F4" s="3020"/>
      <c r="G4" s="3017" t="s">
        <v>2342</v>
      </c>
      <c r="H4" s="3018"/>
      <c r="I4" s="3017" t="s">
        <v>2343</v>
      </c>
      <c r="J4" s="3018"/>
      <c r="K4" s="594" t="s">
        <v>2344</v>
      </c>
      <c r="L4" s="1243"/>
      <c r="M4" s="1244"/>
      <c r="N4" s="1244"/>
      <c r="O4" s="1244"/>
      <c r="P4" s="3021" t="s">
        <v>2345</v>
      </c>
      <c r="Q4" s="3022"/>
      <c r="R4" s="3027" t="s">
        <v>2341</v>
      </c>
      <c r="S4" s="3028"/>
      <c r="T4" s="3027" t="s">
        <v>2342</v>
      </c>
      <c r="U4" s="3028"/>
      <c r="V4" s="3037" t="s">
        <v>2343</v>
      </c>
      <c r="W4" s="3037"/>
      <c r="X4" s="1900"/>
      <c r="Y4" s="3027" t="s">
        <v>2345</v>
      </c>
      <c r="Z4" s="3028"/>
      <c r="AA4" s="3014" t="s">
        <v>2341</v>
      </c>
      <c r="AB4" s="3037" t="s">
        <v>2342</v>
      </c>
      <c r="AC4" s="3014" t="s">
        <v>2343</v>
      </c>
    </row>
    <row r="5" spans="1:29" ht="15">
      <c r="A5" s="383"/>
      <c r="B5" s="384"/>
      <c r="C5" s="3059" t="s">
        <v>2346</v>
      </c>
      <c r="D5" s="3032"/>
      <c r="E5" s="3060" t="s">
        <v>2347</v>
      </c>
      <c r="F5" s="3061"/>
      <c r="G5" s="3059" t="s">
        <v>2348</v>
      </c>
      <c r="H5" s="3032"/>
      <c r="I5" s="3059" t="s">
        <v>2349</v>
      </c>
      <c r="J5" s="3032"/>
      <c r="K5" s="594"/>
      <c r="L5" s="1243"/>
      <c r="M5" s="1244"/>
      <c r="N5" s="1244"/>
      <c r="O5" s="1244"/>
      <c r="P5" s="3023"/>
      <c r="Q5" s="3024"/>
      <c r="R5" s="3029"/>
      <c r="S5" s="3030"/>
      <c r="T5" s="3029"/>
      <c r="U5" s="3030"/>
      <c r="V5" s="3037"/>
      <c r="W5" s="3037"/>
      <c r="X5" s="1900"/>
      <c r="Y5" s="3029"/>
      <c r="Z5" s="3030"/>
      <c r="AA5" s="3015"/>
      <c r="AB5" s="3037"/>
      <c r="AC5" s="3015"/>
    </row>
    <row r="6" spans="1:29" ht="15.75" thickBot="1">
      <c r="A6" s="385"/>
      <c r="B6" s="386"/>
      <c r="C6" s="3058" t="s">
        <v>2350</v>
      </c>
      <c r="D6" s="3034"/>
      <c r="E6" s="3062" t="s">
        <v>2350</v>
      </c>
      <c r="F6" s="3063"/>
      <c r="G6" s="3058" t="s">
        <v>2350</v>
      </c>
      <c r="H6" s="3034"/>
      <c r="I6" s="3058" t="s">
        <v>2350</v>
      </c>
      <c r="J6" s="3034"/>
      <c r="K6" s="594" t="s">
        <v>2351</v>
      </c>
      <c r="L6" s="1243"/>
      <c r="M6" s="1244"/>
      <c r="N6" s="1244"/>
      <c r="O6" s="1244"/>
      <c r="P6" s="3025"/>
      <c r="Q6" s="3026"/>
      <c r="R6" s="3029"/>
      <c r="S6" s="3030"/>
      <c r="T6" s="3035"/>
      <c r="U6" s="3036"/>
      <c r="V6" s="3037"/>
      <c r="W6" s="3037"/>
      <c r="X6" s="1900"/>
      <c r="Y6" s="3035"/>
      <c r="Z6" s="3036"/>
      <c r="AA6" s="3016"/>
      <c r="AB6" s="3037"/>
      <c r="AC6" s="3016"/>
    </row>
    <row r="7" spans="1:29" s="35" customFormat="1" ht="15.75" thickBot="1">
      <c r="A7" s="387" t="s">
        <v>2352</v>
      </c>
      <c r="B7" s="388"/>
      <c r="C7" s="389">
        <f>'数据-取费表'!B2</f>
        <v>43074</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8" t="s">
        <v>2353</v>
      </c>
      <c r="Q7" s="3039"/>
      <c r="R7" s="749" t="s">
        <v>25</v>
      </c>
      <c r="S7" s="750">
        <f t="shared" ref="S7:S15" si="0">F7</f>
        <v>0</v>
      </c>
      <c r="T7" s="749" t="s">
        <v>25</v>
      </c>
      <c r="U7" s="750">
        <f t="shared" ref="U7:U15" si="1">H7</f>
        <v>0</v>
      </c>
      <c r="V7" s="749" t="s">
        <v>25</v>
      </c>
      <c r="W7" s="750">
        <f t="shared" ref="W7:W15" si="2">J7</f>
        <v>0</v>
      </c>
      <c r="X7" s="751"/>
      <c r="Y7" s="3038" t="s">
        <v>2353</v>
      </c>
      <c r="Z7" s="3040"/>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8" t="s">
        <v>2356</v>
      </c>
      <c r="Q8" s="3040"/>
      <c r="R8" s="749" t="s">
        <v>25</v>
      </c>
      <c r="S8" s="750">
        <f t="shared" si="0"/>
        <v>0</v>
      </c>
      <c r="T8" s="749" t="s">
        <v>25</v>
      </c>
      <c r="U8" s="750">
        <f t="shared" si="1"/>
        <v>0</v>
      </c>
      <c r="V8" s="749" t="s">
        <v>25</v>
      </c>
      <c r="W8" s="750">
        <f t="shared" si="2"/>
        <v>0</v>
      </c>
      <c r="X8" s="751"/>
      <c r="Y8" s="3038" t="s">
        <v>2356</v>
      </c>
      <c r="Z8" s="3040"/>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71.25">
      <c r="A15" s="419" t="s">
        <v>2363</v>
      </c>
      <c r="B15" s="26" t="s">
        <v>2449</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2" t="s">
        <v>2364</v>
      </c>
      <c r="Q15" s="1899" t="str">
        <f t="shared" si="6"/>
        <v>商业繁华度</v>
      </c>
      <c r="R15" s="753" t="s">
        <v>25</v>
      </c>
      <c r="S15" s="754">
        <f t="shared" si="0"/>
        <v>100</v>
      </c>
      <c r="T15" s="753" t="s">
        <v>25</v>
      </c>
      <c r="U15" s="754">
        <f t="shared" si="1"/>
        <v>100</v>
      </c>
      <c r="V15" s="753" t="s">
        <v>25</v>
      </c>
      <c r="W15" s="754">
        <f t="shared" si="2"/>
        <v>100</v>
      </c>
      <c r="X15" s="1900"/>
      <c r="Y15" s="3044"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3"/>
      <c r="Q16" s="1899"/>
      <c r="R16" s="753"/>
      <c r="S16" s="754"/>
      <c r="T16" s="753"/>
      <c r="U16" s="754"/>
      <c r="V16" s="753"/>
      <c r="W16" s="754"/>
      <c r="X16" s="1900"/>
      <c r="Y16" s="3045"/>
      <c r="Z16" s="1902"/>
      <c r="AA16" s="1903">
        <v>1</v>
      </c>
      <c r="AB16" s="1903">
        <v>1</v>
      </c>
      <c r="AC16" s="1903">
        <v>1</v>
      </c>
    </row>
    <row r="17" spans="1:29" ht="85.5">
      <c r="A17" s="408"/>
      <c r="B17" s="431" t="s">
        <v>1750</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3"/>
      <c r="Q17" s="1899" t="str">
        <f>B17</f>
        <v>交通便捷度</v>
      </c>
      <c r="R17" s="753" t="s">
        <v>25</v>
      </c>
      <c r="S17" s="754">
        <f>F17</f>
        <v>100</v>
      </c>
      <c r="T17" s="753" t="s">
        <v>25</v>
      </c>
      <c r="U17" s="754">
        <f>H17</f>
        <v>100</v>
      </c>
      <c r="V17" s="753" t="s">
        <v>25</v>
      </c>
      <c r="W17" s="754">
        <f>J17</f>
        <v>100</v>
      </c>
      <c r="X17" s="1900"/>
      <c r="Y17" s="3045"/>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44"/>
      <c r="P18" s="3043"/>
      <c r="Q18" s="1899"/>
      <c r="R18" s="753"/>
      <c r="S18" s="754"/>
      <c r="T18" s="753"/>
      <c r="U18" s="754"/>
      <c r="V18" s="753"/>
      <c r="W18" s="754"/>
      <c r="X18" s="1900"/>
      <c r="Y18" s="3045"/>
      <c r="Z18" s="1902"/>
      <c r="AA18" s="1903">
        <v>1</v>
      </c>
      <c r="AB18" s="1903">
        <v>1</v>
      </c>
      <c r="AC18" s="1903">
        <v>1</v>
      </c>
    </row>
    <row r="19" spans="1:29" ht="42.75">
      <c r="A19" s="408"/>
      <c r="B19" s="431" t="s">
        <v>2450</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3"/>
      <c r="Q19" s="1899" t="str">
        <f>B19</f>
        <v>公共配套设施</v>
      </c>
      <c r="R19" s="753" t="s">
        <v>25</v>
      </c>
      <c r="S19" s="754">
        <f>F19</f>
        <v>100</v>
      </c>
      <c r="T19" s="753" t="s">
        <v>25</v>
      </c>
      <c r="U19" s="754">
        <f>H19</f>
        <v>100</v>
      </c>
      <c r="V19" s="753" t="s">
        <v>25</v>
      </c>
      <c r="W19" s="754">
        <f>J19</f>
        <v>100</v>
      </c>
      <c r="X19" s="1900"/>
      <c r="Y19" s="3045"/>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43"/>
      <c r="Q20" s="1899"/>
      <c r="R20" s="753"/>
      <c r="S20" s="754"/>
      <c r="T20" s="753"/>
      <c r="U20" s="754"/>
      <c r="V20" s="753"/>
      <c r="W20" s="754"/>
      <c r="X20" s="1900"/>
      <c r="Y20" s="3045"/>
      <c r="Z20" s="1902"/>
      <c r="AA20" s="1903">
        <v>1</v>
      </c>
      <c r="AB20" s="1903">
        <v>1</v>
      </c>
      <c r="AC20" s="1903">
        <v>1</v>
      </c>
    </row>
    <row r="21" spans="1:29" ht="28.5">
      <c r="A21" s="408"/>
      <c r="B21" s="2406" t="s">
        <v>2451</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3"/>
      <c r="Q21" s="1899" t="str">
        <f>B21</f>
        <v>基础设施水平</v>
      </c>
      <c r="R21" s="753" t="s">
        <v>25</v>
      </c>
      <c r="S21" s="754">
        <f>F21</f>
        <v>100</v>
      </c>
      <c r="T21" s="753" t="s">
        <v>25</v>
      </c>
      <c r="U21" s="754">
        <f>H21</f>
        <v>100</v>
      </c>
      <c r="V21" s="753" t="s">
        <v>25</v>
      </c>
      <c r="W21" s="754">
        <f>J21</f>
        <v>100</v>
      </c>
      <c r="X21" s="1900"/>
      <c r="Y21" s="3045"/>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44"/>
      <c r="P22" s="3043"/>
      <c r="Q22" s="1899"/>
      <c r="R22" s="753"/>
      <c r="S22" s="754"/>
      <c r="T22" s="753"/>
      <c r="U22" s="754"/>
      <c r="V22" s="753"/>
      <c r="W22" s="754"/>
      <c r="X22" s="1900"/>
      <c r="Y22" s="3045"/>
      <c r="Z22" s="1902"/>
      <c r="AA22" s="1903">
        <v>1</v>
      </c>
      <c r="AB22" s="1903">
        <v>1</v>
      </c>
      <c r="AC22" s="1903">
        <v>1</v>
      </c>
    </row>
    <row r="23" spans="1:29" ht="57">
      <c r="A23" s="408"/>
      <c r="B23" s="431" t="s">
        <v>1755</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3"/>
      <c r="Q23" s="1899" t="str">
        <f>B23</f>
        <v>自然及人文环境</v>
      </c>
      <c r="R23" s="753" t="s">
        <v>25</v>
      </c>
      <c r="S23" s="754">
        <f>F23</f>
        <v>100</v>
      </c>
      <c r="T23" s="753" t="s">
        <v>25</v>
      </c>
      <c r="U23" s="754">
        <f>H23</f>
        <v>100</v>
      </c>
      <c r="V23" s="753" t="s">
        <v>25</v>
      </c>
      <c r="W23" s="754">
        <f>J23</f>
        <v>100</v>
      </c>
      <c r="X23" s="1900"/>
      <c r="Y23" s="3045"/>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43"/>
      <c r="Q24" s="1899"/>
      <c r="R24" s="753"/>
      <c r="S24" s="754"/>
      <c r="T24" s="753"/>
      <c r="U24" s="754"/>
      <c r="V24" s="753"/>
      <c r="W24" s="754"/>
      <c r="X24" s="1900"/>
      <c r="Y24" s="3045"/>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3"/>
      <c r="Q25" s="1899" t="str">
        <f t="shared" ref="Q25:Q46" si="11">B25</f>
        <v>临街状况</v>
      </c>
      <c r="R25" s="753" t="s">
        <v>25</v>
      </c>
      <c r="S25" s="754">
        <f>F25</f>
        <v>100</v>
      </c>
      <c r="T25" s="753" t="s">
        <v>25</v>
      </c>
      <c r="U25" s="754">
        <f>H25</f>
        <v>100</v>
      </c>
      <c r="V25" s="753" t="s">
        <v>25</v>
      </c>
      <c r="W25" s="754">
        <f>J25</f>
        <v>100</v>
      </c>
      <c r="X25" s="1900"/>
      <c r="Y25" s="3045"/>
      <c r="Z25" s="1902" t="str">
        <f>Q25</f>
        <v>临街状况</v>
      </c>
      <c r="AA25" s="1903">
        <f t="shared" si="3"/>
        <v>1</v>
      </c>
      <c r="AB25" s="1903">
        <f t="shared" si="4"/>
        <v>1</v>
      </c>
      <c r="AC25" s="1903">
        <f t="shared" si="5"/>
        <v>1</v>
      </c>
    </row>
    <row r="26" spans="1:29" ht="15">
      <c r="A26" s="408"/>
      <c r="B26" s="2410"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3"/>
      <c r="Q26" s="1899" t="str">
        <f t="shared" si="11"/>
        <v>平面位置/可视性</v>
      </c>
      <c r="R26" s="753" t="s">
        <v>25</v>
      </c>
      <c r="S26" s="754">
        <f>F26</f>
        <v>100</v>
      </c>
      <c r="T26" s="753" t="s">
        <v>25</v>
      </c>
      <c r="U26" s="754">
        <f>H26</f>
        <v>100</v>
      </c>
      <c r="V26" s="753" t="s">
        <v>25</v>
      </c>
      <c r="W26" s="754">
        <f>J26</f>
        <v>100</v>
      </c>
      <c r="X26" s="1900"/>
      <c r="Y26" s="3045"/>
      <c r="Z26" s="1902" t="str">
        <f>Q26</f>
        <v>平面位置/可视性</v>
      </c>
      <c r="AA26" s="1903">
        <f t="shared" si="3"/>
        <v>1</v>
      </c>
      <c r="AB26" s="1903">
        <f t="shared" si="4"/>
        <v>1</v>
      </c>
      <c r="AC26" s="1903">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43"/>
      <c r="Q27" s="1887" t="str">
        <f t="shared" si="11"/>
        <v>人流量</v>
      </c>
      <c r="R27" s="749" t="s">
        <v>25</v>
      </c>
      <c r="S27" s="750">
        <f>F27</f>
        <v>100</v>
      </c>
      <c r="T27" s="749" t="s">
        <v>25</v>
      </c>
      <c r="U27" s="750">
        <f>H27</f>
        <v>100</v>
      </c>
      <c r="V27" s="749" t="s">
        <v>25</v>
      </c>
      <c r="W27" s="750">
        <f>J27</f>
        <v>100</v>
      </c>
      <c r="X27" s="751"/>
      <c r="Y27" s="3045"/>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5"/>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3"/>
      <c r="Q29" s="1899">
        <f t="shared" si="11"/>
        <v>111</v>
      </c>
      <c r="R29" s="753" t="s">
        <v>25</v>
      </c>
      <c r="S29" s="754">
        <f t="shared" si="12"/>
        <v>100</v>
      </c>
      <c r="T29" s="753" t="s">
        <v>25</v>
      </c>
      <c r="U29" s="754">
        <f t="shared" si="13"/>
        <v>100</v>
      </c>
      <c r="V29" s="753" t="s">
        <v>25</v>
      </c>
      <c r="W29" s="754">
        <f t="shared" si="14"/>
        <v>100</v>
      </c>
      <c r="X29" s="1900"/>
      <c r="Y29" s="3045"/>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3"/>
      <c r="Q30" s="1899">
        <f t="shared" si="11"/>
        <v>111</v>
      </c>
      <c r="R30" s="753" t="s">
        <v>25</v>
      </c>
      <c r="S30" s="754">
        <f t="shared" si="12"/>
        <v>100</v>
      </c>
      <c r="T30" s="753" t="s">
        <v>25</v>
      </c>
      <c r="U30" s="754">
        <f t="shared" si="13"/>
        <v>100</v>
      </c>
      <c r="V30" s="753" t="s">
        <v>25</v>
      </c>
      <c r="W30" s="754">
        <f t="shared" si="14"/>
        <v>100</v>
      </c>
      <c r="X30" s="1900"/>
      <c r="Y30" s="3045"/>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3"/>
      <c r="Q31" s="1899">
        <f t="shared" si="11"/>
        <v>111</v>
      </c>
      <c r="R31" s="753" t="s">
        <v>25</v>
      </c>
      <c r="S31" s="754">
        <f t="shared" si="12"/>
        <v>100</v>
      </c>
      <c r="T31" s="753" t="s">
        <v>25</v>
      </c>
      <c r="U31" s="754">
        <f t="shared" si="13"/>
        <v>100</v>
      </c>
      <c r="V31" s="753" t="s">
        <v>25</v>
      </c>
      <c r="W31" s="754">
        <f t="shared" si="14"/>
        <v>100</v>
      </c>
      <c r="X31" s="1900"/>
      <c r="Y31" s="3045"/>
      <c r="Z31" s="1902">
        <f t="shared" si="15"/>
        <v>111</v>
      </c>
      <c r="AA31" s="1903">
        <f t="shared" si="3"/>
        <v>1</v>
      </c>
      <c r="AB31" s="1903">
        <f t="shared" si="4"/>
        <v>1</v>
      </c>
      <c r="AC31" s="1903">
        <f t="shared" si="5"/>
        <v>1</v>
      </c>
    </row>
    <row r="32" spans="1:29" ht="15">
      <c r="A32" s="419" t="s">
        <v>2368</v>
      </c>
      <c r="B32" s="28" t="s">
        <v>2456</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46" t="s">
        <v>2370</v>
      </c>
      <c r="Q32" s="1899" t="str">
        <f t="shared" si="11"/>
        <v>商业类型</v>
      </c>
      <c r="R32" s="753" t="s">
        <v>25</v>
      </c>
      <c r="S32" s="754">
        <f t="shared" si="12"/>
        <v>100</v>
      </c>
      <c r="T32" s="753" t="s">
        <v>25</v>
      </c>
      <c r="U32" s="754">
        <f t="shared" si="13"/>
        <v>100</v>
      </c>
      <c r="V32" s="753" t="s">
        <v>25</v>
      </c>
      <c r="W32" s="754">
        <f t="shared" si="14"/>
        <v>100</v>
      </c>
      <c r="X32" s="1900"/>
      <c r="Y32" s="3049"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7"/>
      <c r="Q33" s="755" t="str">
        <f t="shared" si="11"/>
        <v>项目建筑规模</v>
      </c>
      <c r="R33" s="756" t="s">
        <v>25</v>
      </c>
      <c r="S33" s="757" t="e">
        <f t="shared" si="12"/>
        <v>#N/A</v>
      </c>
      <c r="T33" s="756" t="s">
        <v>25</v>
      </c>
      <c r="U33" s="757" t="e">
        <f t="shared" si="13"/>
        <v>#N/A</v>
      </c>
      <c r="V33" s="756" t="s">
        <v>25</v>
      </c>
      <c r="W33" s="757" t="e">
        <f t="shared" si="14"/>
        <v>#N/A</v>
      </c>
      <c r="X33" s="758"/>
      <c r="Y33" s="3049"/>
      <c r="Z33" s="759" t="str">
        <f t="shared" si="15"/>
        <v>项目建筑规模</v>
      </c>
      <c r="AA33" s="1903" t="e">
        <f t="shared" si="3"/>
        <v>#N/A</v>
      </c>
      <c r="AB33" s="1903" t="e">
        <f t="shared" si="4"/>
        <v>#N/A</v>
      </c>
      <c r="AC33" s="1903" t="e">
        <f t="shared" si="5"/>
        <v>#N/A</v>
      </c>
    </row>
    <row r="34" spans="1:29" ht="15">
      <c r="A34" s="453"/>
      <c r="B34" s="402" t="s">
        <v>2372</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47"/>
      <c r="Q34" s="1899" t="str">
        <f t="shared" si="11"/>
        <v>建筑结构</v>
      </c>
      <c r="R34" s="753" t="s">
        <v>25</v>
      </c>
      <c r="S34" s="754">
        <f t="shared" si="12"/>
        <v>100</v>
      </c>
      <c r="T34" s="753" t="s">
        <v>25</v>
      </c>
      <c r="U34" s="754">
        <f t="shared" si="13"/>
        <v>100</v>
      </c>
      <c r="V34" s="753" t="s">
        <v>25</v>
      </c>
      <c r="W34" s="754">
        <f t="shared" si="14"/>
        <v>100</v>
      </c>
      <c r="X34" s="1900"/>
      <c r="Y34" s="3049"/>
      <c r="Z34" s="1902" t="str">
        <f t="shared" si="15"/>
        <v>建筑结构</v>
      </c>
      <c r="AA34" s="1903">
        <f t="shared" si="3"/>
        <v>1</v>
      </c>
      <c r="AB34" s="1903">
        <f t="shared" si="4"/>
        <v>1</v>
      </c>
      <c r="AC34" s="1903">
        <f t="shared" si="5"/>
        <v>1</v>
      </c>
    </row>
    <row r="35" spans="1:29" ht="15">
      <c r="A35" s="453"/>
      <c r="B35" s="402" t="s">
        <v>2457</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47"/>
      <c r="Q35" s="1899" t="str">
        <f t="shared" si="11"/>
        <v>公共部分装修</v>
      </c>
      <c r="R35" s="753" t="s">
        <v>25</v>
      </c>
      <c r="S35" s="754">
        <f t="shared" si="12"/>
        <v>100</v>
      </c>
      <c r="T35" s="753" t="s">
        <v>25</v>
      </c>
      <c r="U35" s="754">
        <f t="shared" si="13"/>
        <v>100</v>
      </c>
      <c r="V35" s="753" t="s">
        <v>25</v>
      </c>
      <c r="W35" s="754">
        <f t="shared" si="14"/>
        <v>100</v>
      </c>
      <c r="X35" s="1900"/>
      <c r="Y35" s="3049"/>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7"/>
      <c r="Q36" s="1899" t="str">
        <f t="shared" si="11"/>
        <v>成新度</v>
      </c>
      <c r="R36" s="753" t="s">
        <v>25</v>
      </c>
      <c r="S36" s="754" t="e">
        <f t="shared" si="12"/>
        <v>#N/A</v>
      </c>
      <c r="T36" s="753" t="s">
        <v>25</v>
      </c>
      <c r="U36" s="754" t="e">
        <f t="shared" si="13"/>
        <v>#N/A</v>
      </c>
      <c r="V36" s="753" t="s">
        <v>25</v>
      </c>
      <c r="W36" s="754" t="e">
        <f t="shared" si="14"/>
        <v>#N/A</v>
      </c>
      <c r="X36" s="1900"/>
      <c r="Y36" s="3049"/>
      <c r="Z36" s="1902" t="str">
        <f t="shared" si="15"/>
        <v>成新度</v>
      </c>
      <c r="AA36" s="1903" t="e">
        <f t="shared" si="3"/>
        <v>#N/A</v>
      </c>
      <c r="AB36" s="1903" t="e">
        <f t="shared" si="4"/>
        <v>#N/A</v>
      </c>
      <c r="AC36" s="1903" t="e">
        <f t="shared" si="5"/>
        <v>#N/A</v>
      </c>
    </row>
    <row r="37" spans="1:29" s="35" customFormat="1" ht="15">
      <c r="A37" s="454"/>
      <c r="B37" s="402" t="s">
        <v>2459</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47"/>
      <c r="Q37" s="1887" t="str">
        <f t="shared" si="11"/>
        <v>市政基础设施</v>
      </c>
      <c r="R37" s="749" t="s">
        <v>25</v>
      </c>
      <c r="S37" s="750">
        <f t="shared" si="12"/>
        <v>100</v>
      </c>
      <c r="T37" s="749" t="s">
        <v>25</v>
      </c>
      <c r="U37" s="750">
        <f t="shared" si="13"/>
        <v>100</v>
      </c>
      <c r="V37" s="749" t="s">
        <v>25</v>
      </c>
      <c r="W37" s="750">
        <f t="shared" si="14"/>
        <v>100</v>
      </c>
      <c r="X37" s="751"/>
      <c r="Y37" s="3049"/>
      <c r="Z37" s="23" t="str">
        <f t="shared" si="15"/>
        <v>市政基础设施</v>
      </c>
      <c r="AA37" s="752">
        <f t="shared" si="3"/>
        <v>1</v>
      </c>
      <c r="AB37" s="752">
        <f t="shared" si="4"/>
        <v>1</v>
      </c>
      <c r="AC37" s="752">
        <f t="shared" si="5"/>
        <v>1</v>
      </c>
    </row>
    <row r="38" spans="1:29" ht="15">
      <c r="A38" s="453"/>
      <c r="B38" s="402" t="s">
        <v>2460</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47" t="s">
        <v>2370</v>
      </c>
      <c r="Q38" s="1899" t="str">
        <f t="shared" si="11"/>
        <v>业态</v>
      </c>
      <c r="R38" s="753" t="s">
        <v>25</v>
      </c>
      <c r="S38" s="754">
        <f t="shared" si="12"/>
        <v>100</v>
      </c>
      <c r="T38" s="753" t="s">
        <v>25</v>
      </c>
      <c r="U38" s="754">
        <f t="shared" si="13"/>
        <v>100</v>
      </c>
      <c r="V38" s="753" t="s">
        <v>25</v>
      </c>
      <c r="W38" s="754">
        <f t="shared" si="14"/>
        <v>100</v>
      </c>
      <c r="X38" s="1900"/>
      <c r="Y38" s="3049" t="s">
        <v>2370</v>
      </c>
      <c r="Z38" s="1902" t="str">
        <f t="shared" si="15"/>
        <v>业态</v>
      </c>
      <c r="AA38" s="1903">
        <f t="shared" si="3"/>
        <v>1</v>
      </c>
      <c r="AB38" s="1903">
        <f t="shared" si="4"/>
        <v>1</v>
      </c>
      <c r="AC38" s="1903">
        <f t="shared" si="5"/>
        <v>1</v>
      </c>
    </row>
    <row r="39" spans="1:29" ht="15">
      <c r="A39" s="453"/>
      <c r="B39" s="402" t="s">
        <v>2461</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47"/>
      <c r="Q39" s="1899" t="str">
        <f t="shared" si="11"/>
        <v>层高</v>
      </c>
      <c r="R39" s="753" t="s">
        <v>25</v>
      </c>
      <c r="S39" s="754">
        <f t="shared" si="12"/>
        <v>100</v>
      </c>
      <c r="T39" s="753" t="s">
        <v>25</v>
      </c>
      <c r="U39" s="754">
        <f t="shared" si="13"/>
        <v>100</v>
      </c>
      <c r="V39" s="753" t="s">
        <v>25</v>
      </c>
      <c r="W39" s="754">
        <f t="shared" si="14"/>
        <v>100</v>
      </c>
      <c r="X39" s="1900"/>
      <c r="Y39" s="3049"/>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7"/>
      <c r="Q40" s="1899" t="str">
        <f t="shared" si="11"/>
        <v>单套建筑面积</v>
      </c>
      <c r="R40" s="753" t="s">
        <v>25</v>
      </c>
      <c r="S40" s="754">
        <f t="shared" si="12"/>
        <v>100</v>
      </c>
      <c r="T40" s="753" t="s">
        <v>25</v>
      </c>
      <c r="U40" s="754">
        <f t="shared" si="13"/>
        <v>100</v>
      </c>
      <c r="V40" s="753" t="s">
        <v>25</v>
      </c>
      <c r="W40" s="754">
        <f t="shared" si="14"/>
        <v>100</v>
      </c>
      <c r="X40" s="1900"/>
      <c r="Y40" s="3049"/>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7"/>
      <c r="Q41" s="755" t="str">
        <f t="shared" si="11"/>
        <v>进深比</v>
      </c>
      <c r="R41" s="756" t="s">
        <v>25</v>
      </c>
      <c r="S41" s="757">
        <f t="shared" si="12"/>
        <v>100</v>
      </c>
      <c r="T41" s="756" t="s">
        <v>25</v>
      </c>
      <c r="U41" s="757">
        <f t="shared" si="13"/>
        <v>100</v>
      </c>
      <c r="V41" s="756" t="s">
        <v>25</v>
      </c>
      <c r="W41" s="757">
        <f t="shared" si="14"/>
        <v>100</v>
      </c>
      <c r="X41" s="758"/>
      <c r="Y41" s="3049"/>
      <c r="Z41" s="759" t="str">
        <f t="shared" si="15"/>
        <v>进深比</v>
      </c>
      <c r="AA41" s="1903">
        <f t="shared" si="3"/>
        <v>1</v>
      </c>
      <c r="AB41" s="1903">
        <f t="shared" si="4"/>
        <v>1</v>
      </c>
      <c r="AC41" s="1903">
        <f t="shared" si="5"/>
        <v>1</v>
      </c>
    </row>
    <row r="42" spans="1:29" ht="15">
      <c r="A42" s="453"/>
      <c r="B42" s="402" t="s">
        <v>2464</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47"/>
      <c r="Q42" s="1899" t="str">
        <f t="shared" si="11"/>
        <v>内部装修</v>
      </c>
      <c r="R42" s="753" t="s">
        <v>25</v>
      </c>
      <c r="S42" s="754">
        <f t="shared" si="12"/>
        <v>100</v>
      </c>
      <c r="T42" s="753" t="s">
        <v>25</v>
      </c>
      <c r="U42" s="754">
        <f t="shared" si="13"/>
        <v>100</v>
      </c>
      <c r="V42" s="753" t="s">
        <v>25</v>
      </c>
      <c r="W42" s="754">
        <f t="shared" si="14"/>
        <v>100</v>
      </c>
      <c r="X42" s="1900"/>
      <c r="Y42" s="3049"/>
      <c r="Z42" s="1902" t="str">
        <f t="shared" si="15"/>
        <v>内部装修</v>
      </c>
      <c r="AA42" s="1903">
        <f t="shared" si="3"/>
        <v>1</v>
      </c>
      <c r="AB42" s="1903">
        <f t="shared" si="4"/>
        <v>1</v>
      </c>
      <c r="AC42" s="1903">
        <f t="shared" si="5"/>
        <v>1</v>
      </c>
    </row>
    <row r="43" spans="1:29" ht="15">
      <c r="A43" s="453"/>
      <c r="B43" s="402" t="s">
        <v>2381</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47"/>
      <c r="Q43" s="1899" t="str">
        <f t="shared" si="11"/>
        <v>内部装修维护情况</v>
      </c>
      <c r="R43" s="753" t="s">
        <v>25</v>
      </c>
      <c r="S43" s="754">
        <f t="shared" si="12"/>
        <v>100</v>
      </c>
      <c r="T43" s="753" t="s">
        <v>25</v>
      </c>
      <c r="U43" s="754">
        <f t="shared" si="13"/>
        <v>100</v>
      </c>
      <c r="V43" s="753" t="s">
        <v>25</v>
      </c>
      <c r="W43" s="754">
        <f t="shared" si="14"/>
        <v>100</v>
      </c>
      <c r="X43" s="1900"/>
      <c r="Y43" s="3049"/>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7"/>
      <c r="Q44" s="1887">
        <f t="shared" si="11"/>
        <v>111</v>
      </c>
      <c r="R44" s="749" t="s">
        <v>25</v>
      </c>
      <c r="S44" s="750">
        <f t="shared" si="12"/>
        <v>100</v>
      </c>
      <c r="T44" s="749" t="s">
        <v>25</v>
      </c>
      <c r="U44" s="750">
        <f t="shared" si="13"/>
        <v>100</v>
      </c>
      <c r="V44" s="749" t="s">
        <v>25</v>
      </c>
      <c r="W44" s="750">
        <f t="shared" si="14"/>
        <v>100</v>
      </c>
      <c r="X44" s="751"/>
      <c r="Y44" s="3049"/>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7"/>
      <c r="Q45" s="1899">
        <f t="shared" si="11"/>
        <v>111</v>
      </c>
      <c r="R45" s="753" t="s">
        <v>25</v>
      </c>
      <c r="S45" s="754">
        <f t="shared" si="12"/>
        <v>100</v>
      </c>
      <c r="T45" s="753" t="s">
        <v>25</v>
      </c>
      <c r="U45" s="754">
        <f t="shared" si="13"/>
        <v>100</v>
      </c>
      <c r="V45" s="753" t="s">
        <v>25</v>
      </c>
      <c r="W45" s="754">
        <f t="shared" si="14"/>
        <v>100</v>
      </c>
      <c r="X45" s="1900"/>
      <c r="Y45" s="3049"/>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8"/>
      <c r="Q46" s="1899">
        <f t="shared" si="11"/>
        <v>111</v>
      </c>
      <c r="R46" s="753" t="s">
        <v>25</v>
      </c>
      <c r="S46" s="754">
        <f t="shared" si="12"/>
        <v>100</v>
      </c>
      <c r="T46" s="753" t="s">
        <v>25</v>
      </c>
      <c r="U46" s="754">
        <f t="shared" si="13"/>
        <v>100</v>
      </c>
      <c r="V46" s="753" t="s">
        <v>25</v>
      </c>
      <c r="W46" s="754">
        <f t="shared" si="14"/>
        <v>100</v>
      </c>
      <c r="X46" s="1900"/>
      <c r="Y46" s="3050"/>
      <c r="Z46" s="1902">
        <f t="shared" si="15"/>
        <v>111</v>
      </c>
      <c r="AA46" s="1903">
        <f t="shared" si="3"/>
        <v>1</v>
      </c>
      <c r="AB46" s="1903">
        <f t="shared" si="4"/>
        <v>1</v>
      </c>
      <c r="AC46" s="1903">
        <f t="shared" si="5"/>
        <v>1</v>
      </c>
    </row>
    <row r="47" spans="1:29" ht="15">
      <c r="A47" s="460" t="s">
        <v>2382</v>
      </c>
      <c r="B47" s="461"/>
      <c r="C47" s="1501" t="s">
        <v>1</v>
      </c>
      <c r="D47" s="1502"/>
      <c r="E47" s="1503"/>
      <c r="F47" s="1504"/>
      <c r="G47" s="1505"/>
      <c r="H47" s="1506"/>
      <c r="I47" s="1503"/>
      <c r="J47" s="1506"/>
      <c r="K47" s="762"/>
      <c r="L47" s="1256"/>
      <c r="M47" s="1257"/>
      <c r="N47" s="1244"/>
      <c r="O47" s="1257"/>
      <c r="P47" s="3051" t="str">
        <f>A47</f>
        <v>成交单价（元/平方米）</v>
      </c>
      <c r="Q47" s="3051"/>
      <c r="R47" s="3052">
        <f>E47</f>
        <v>0</v>
      </c>
      <c r="S47" s="3052"/>
      <c r="T47" s="3052">
        <f>G47</f>
        <v>0</v>
      </c>
      <c r="U47" s="3052"/>
      <c r="V47" s="3052">
        <f>I47</f>
        <v>0</v>
      </c>
      <c r="W47" s="3052"/>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6"/>
      <c r="M48" s="1257"/>
      <c r="N48" s="1244"/>
      <c r="O48" s="1257"/>
      <c r="P48" s="3051" t="str">
        <f>A48</f>
        <v>比较价值（元/平方米）</v>
      </c>
      <c r="Q48" s="3051"/>
      <c r="R48" s="3052" t="e">
        <f>IF(E1="售价",ROUND(PRODUCT(R47,AA7:AA46),0),ROUND(PRODUCT(R47,AA7:AA46),1))</f>
        <v>#DIV/0!</v>
      </c>
      <c r="S48" s="3052"/>
      <c r="T48" s="3052" t="e">
        <f>IF(E1="售价",ROUND(PRODUCT(T47,AB7:AB46),0),ROUND(PRODUCT(T47,AB7:AB46),1))</f>
        <v>#DIV/0!</v>
      </c>
      <c r="U48" s="3052"/>
      <c r="V48" s="3052" t="e">
        <f>IF(E1="售价",ROUND(PRODUCT(V47,AC7:AC46),0),ROUND(PRODUCT(V47,AC7:AC46),1))</f>
        <v>#DIV/0!</v>
      </c>
      <c r="W48" s="3052"/>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6"/>
      <c r="M49" s="1257"/>
      <c r="N49" s="1244"/>
      <c r="O49" s="1257"/>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2354</v>
      </c>
      <c r="B61" s="491"/>
      <c r="C61" s="503" t="s">
        <v>2355</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2368</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0"/>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2008</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2009</v>
      </c>
      <c r="B3" s="593" t="e">
        <f ca="1">ROUND(IF(D2="——",C50,IF(C2="万元",B2*10000/D3,B2/D3)),0)</f>
        <v>#DIV/0!</v>
      </c>
      <c r="C3" s="379" t="s">
        <v>2338</v>
      </c>
      <c r="D3" s="378">
        <f>IF(C1="仅计算典型户型",'数据-取费表'!E5,'数据-取费表'!B5)</f>
        <v>142.82</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2339</v>
      </c>
      <c r="B4" s="381"/>
      <c r="C4" s="3017" t="s">
        <v>2340</v>
      </c>
      <c r="D4" s="3018"/>
      <c r="E4" s="3019" t="s">
        <v>2341</v>
      </c>
      <c r="F4" s="3020"/>
      <c r="G4" s="3017" t="s">
        <v>2342</v>
      </c>
      <c r="H4" s="3018"/>
      <c r="I4" s="3017" t="s">
        <v>2343</v>
      </c>
      <c r="J4" s="3018"/>
      <c r="K4" s="594" t="s">
        <v>2344</v>
      </c>
      <c r="L4" s="1243"/>
      <c r="M4" s="1244"/>
      <c r="N4" s="1244"/>
      <c r="O4" s="1244"/>
      <c r="P4" s="3068" t="s">
        <v>2345</v>
      </c>
      <c r="Q4" s="3022"/>
      <c r="R4" s="3027" t="s">
        <v>2341</v>
      </c>
      <c r="S4" s="3028"/>
      <c r="T4" s="3027" t="s">
        <v>2342</v>
      </c>
      <c r="U4" s="3028"/>
      <c r="V4" s="3037" t="s">
        <v>2343</v>
      </c>
      <c r="W4" s="3037"/>
      <c r="X4" s="1900"/>
      <c r="Y4" s="3027" t="s">
        <v>2345</v>
      </c>
      <c r="Z4" s="3028"/>
      <c r="AA4" s="3014" t="s">
        <v>2341</v>
      </c>
      <c r="AB4" s="3014" t="s">
        <v>2342</v>
      </c>
      <c r="AC4" s="3014" t="s">
        <v>2343</v>
      </c>
    </row>
    <row r="5" spans="1:29" ht="15">
      <c r="A5" s="383"/>
      <c r="B5" s="384"/>
      <c r="C5" s="3059" t="s">
        <v>2346</v>
      </c>
      <c r="D5" s="3032"/>
      <c r="E5" s="3060" t="s">
        <v>2347</v>
      </c>
      <c r="F5" s="3061"/>
      <c r="G5" s="3059" t="s">
        <v>2348</v>
      </c>
      <c r="H5" s="3032"/>
      <c r="I5" s="3059" t="s">
        <v>2349</v>
      </c>
      <c r="J5" s="3032"/>
      <c r="K5" s="594"/>
      <c r="L5" s="1243"/>
      <c r="M5" s="1244"/>
      <c r="N5" s="1244"/>
      <c r="O5" s="1244"/>
      <c r="P5" s="3069"/>
      <c r="Q5" s="3024"/>
      <c r="R5" s="3029"/>
      <c r="S5" s="3030"/>
      <c r="T5" s="3029"/>
      <c r="U5" s="3030"/>
      <c r="V5" s="3037"/>
      <c r="W5" s="3037"/>
      <c r="X5" s="1900"/>
      <c r="Y5" s="3029"/>
      <c r="Z5" s="3030"/>
      <c r="AA5" s="3015"/>
      <c r="AB5" s="3015"/>
      <c r="AC5" s="3015"/>
    </row>
    <row r="6" spans="1:29" ht="15.75" thickBot="1">
      <c r="A6" s="385"/>
      <c r="B6" s="386"/>
      <c r="C6" s="3058" t="s">
        <v>2350</v>
      </c>
      <c r="D6" s="3034"/>
      <c r="E6" s="3062" t="s">
        <v>2350</v>
      </c>
      <c r="F6" s="3063"/>
      <c r="G6" s="3058" t="s">
        <v>2350</v>
      </c>
      <c r="H6" s="3034"/>
      <c r="I6" s="3058" t="s">
        <v>2350</v>
      </c>
      <c r="J6" s="3034"/>
      <c r="K6" s="594" t="s">
        <v>2351</v>
      </c>
      <c r="L6" s="1243"/>
      <c r="M6" s="1244"/>
      <c r="N6" s="1244"/>
      <c r="O6" s="1244"/>
      <c r="P6" s="3070"/>
      <c r="Q6" s="3026"/>
      <c r="R6" s="3029"/>
      <c r="S6" s="3030"/>
      <c r="T6" s="3035"/>
      <c r="U6" s="3036"/>
      <c r="V6" s="3037"/>
      <c r="W6" s="3037"/>
      <c r="X6" s="1900"/>
      <c r="Y6" s="3035"/>
      <c r="Z6" s="3036"/>
      <c r="AA6" s="3016"/>
      <c r="AB6" s="3016"/>
      <c r="AC6" s="3016"/>
    </row>
    <row r="7" spans="1:29" s="35" customFormat="1" ht="15.75" thickBot="1">
      <c r="A7" s="387" t="s">
        <v>2352</v>
      </c>
      <c r="B7" s="388"/>
      <c r="C7" s="389">
        <f>'数据-取费表'!B2</f>
        <v>43074</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39" t="s">
        <v>2353</v>
      </c>
      <c r="Q7" s="3039"/>
      <c r="R7" s="749" t="s">
        <v>25</v>
      </c>
      <c r="S7" s="750">
        <f t="shared" ref="S7:S15" si="0">F7</f>
        <v>0</v>
      </c>
      <c r="T7" s="749" t="s">
        <v>25</v>
      </c>
      <c r="U7" s="750">
        <f t="shared" ref="U7:U15" si="1">H7</f>
        <v>0</v>
      </c>
      <c r="V7" s="749" t="s">
        <v>25</v>
      </c>
      <c r="W7" s="750">
        <f t="shared" ref="W7:W15" si="2">J7</f>
        <v>0</v>
      </c>
      <c r="X7" s="751"/>
      <c r="Y7" s="3038" t="s">
        <v>2353</v>
      </c>
      <c r="Z7" s="3040"/>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9" t="s">
        <v>2356</v>
      </c>
      <c r="Q8" s="3040"/>
      <c r="R8" s="749" t="s">
        <v>25</v>
      </c>
      <c r="S8" s="750">
        <f t="shared" si="0"/>
        <v>0</v>
      </c>
      <c r="T8" s="749" t="s">
        <v>25</v>
      </c>
      <c r="U8" s="750">
        <f t="shared" si="1"/>
        <v>0</v>
      </c>
      <c r="V8" s="749" t="s">
        <v>25</v>
      </c>
      <c r="W8" s="750">
        <f t="shared" si="2"/>
        <v>0</v>
      </c>
      <c r="X8" s="751"/>
      <c r="Y8" s="3038" t="s">
        <v>2356</v>
      </c>
      <c r="Z8" s="3040"/>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6"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6"/>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56"/>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56"/>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56"/>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71.25">
      <c r="A15" s="419" t="s">
        <v>2363</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2" t="s">
        <v>2364</v>
      </c>
      <c r="Q15" s="1899" t="str">
        <f t="shared" si="6"/>
        <v>办公集聚程度</v>
      </c>
      <c r="R15" s="753" t="s">
        <v>25</v>
      </c>
      <c r="S15" s="754">
        <f t="shared" si="0"/>
        <v>100</v>
      </c>
      <c r="T15" s="753" t="s">
        <v>25</v>
      </c>
      <c r="U15" s="754">
        <f t="shared" si="1"/>
        <v>100</v>
      </c>
      <c r="V15" s="753" t="s">
        <v>25</v>
      </c>
      <c r="W15" s="754">
        <f t="shared" si="2"/>
        <v>100</v>
      </c>
      <c r="X15" s="1900"/>
      <c r="Y15" s="3044" t="s">
        <v>2364</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3"/>
      <c r="M16" s="1244"/>
      <c r="N16" s="1244"/>
      <c r="O16" s="1244"/>
      <c r="P16" s="3024"/>
      <c r="Q16" s="1899"/>
      <c r="R16" s="753"/>
      <c r="S16" s="754"/>
      <c r="T16" s="753"/>
      <c r="U16" s="754"/>
      <c r="V16" s="753"/>
      <c r="W16" s="754"/>
      <c r="X16" s="1900"/>
      <c r="Y16" s="3045"/>
      <c r="Z16" s="1902"/>
      <c r="AA16" s="1903">
        <v>1</v>
      </c>
      <c r="AB16" s="1903">
        <v>1</v>
      </c>
      <c r="AC16" s="1903">
        <v>1</v>
      </c>
    </row>
    <row r="17" spans="1:29" ht="85.5">
      <c r="A17" s="408"/>
      <c r="B17" s="615" t="s">
        <v>1750</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4"/>
      <c r="Q17" s="1899" t="str">
        <f>B17</f>
        <v>交通便捷度</v>
      </c>
      <c r="R17" s="753" t="s">
        <v>25</v>
      </c>
      <c r="S17" s="754">
        <f>F17</f>
        <v>100</v>
      </c>
      <c r="T17" s="753" t="s">
        <v>25</v>
      </c>
      <c r="U17" s="754">
        <f>H17</f>
        <v>100</v>
      </c>
      <c r="V17" s="753" t="s">
        <v>25</v>
      </c>
      <c r="W17" s="754">
        <f>J17</f>
        <v>100</v>
      </c>
      <c r="X17" s="1900"/>
      <c r="Y17" s="3045"/>
      <c r="Z17" s="1902" t="str">
        <f>Q17</f>
        <v>交通便捷度</v>
      </c>
      <c r="AA17" s="1903">
        <f t="shared" si="3"/>
        <v>1</v>
      </c>
      <c r="AB17" s="1903">
        <f t="shared" si="4"/>
        <v>1</v>
      </c>
      <c r="AC17" s="1903">
        <f t="shared" si="5"/>
        <v>1</v>
      </c>
    </row>
    <row r="18" spans="1:29" ht="15">
      <c r="A18" s="408"/>
      <c r="B18" s="616"/>
      <c r="C18" s="2467"/>
      <c r="D18" s="430"/>
      <c r="E18" s="2405"/>
      <c r="F18" s="430"/>
      <c r="G18" s="1467"/>
      <c r="H18" s="427"/>
      <c r="I18" s="1467"/>
      <c r="J18" s="427"/>
      <c r="K18" s="599"/>
      <c r="L18" s="1253"/>
      <c r="M18" s="1244"/>
      <c r="N18" s="1244"/>
      <c r="O18" s="1244"/>
      <c r="P18" s="3024"/>
      <c r="Q18" s="1899"/>
      <c r="R18" s="753"/>
      <c r="S18" s="754"/>
      <c r="T18" s="753"/>
      <c r="U18" s="754"/>
      <c r="V18" s="753"/>
      <c r="W18" s="754"/>
      <c r="X18" s="1900"/>
      <c r="Y18" s="3045"/>
      <c r="Z18" s="1902"/>
      <c r="AA18" s="1903">
        <v>1</v>
      </c>
      <c r="AB18" s="1903">
        <v>1</v>
      </c>
      <c r="AC18" s="1903">
        <v>1</v>
      </c>
    </row>
    <row r="19" spans="1:29" ht="42.75">
      <c r="A19" s="408"/>
      <c r="B19" s="615" t="s">
        <v>2479</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4"/>
      <c r="Q19" s="1899" t="str">
        <f>B19</f>
        <v>公共配套设施</v>
      </c>
      <c r="R19" s="753" t="s">
        <v>25</v>
      </c>
      <c r="S19" s="754">
        <f>F19</f>
        <v>100</v>
      </c>
      <c r="T19" s="753" t="s">
        <v>25</v>
      </c>
      <c r="U19" s="754">
        <f>H19</f>
        <v>100</v>
      </c>
      <c r="V19" s="753" t="s">
        <v>25</v>
      </c>
      <c r="W19" s="754">
        <f>J19</f>
        <v>100</v>
      </c>
      <c r="X19" s="1900"/>
      <c r="Y19" s="3045"/>
      <c r="Z19" s="1902" t="str">
        <f>Q19</f>
        <v>公共配套设施</v>
      </c>
      <c r="AA19" s="1903">
        <f t="shared" si="3"/>
        <v>1</v>
      </c>
      <c r="AB19" s="1903">
        <f t="shared" si="4"/>
        <v>1</v>
      </c>
      <c r="AC19" s="1903">
        <f t="shared" si="5"/>
        <v>1</v>
      </c>
    </row>
    <row r="20" spans="1:29" ht="15">
      <c r="A20" s="408"/>
      <c r="B20" s="616"/>
      <c r="C20" s="1471"/>
      <c r="D20" s="427"/>
      <c r="E20" s="2402"/>
      <c r="F20" s="427"/>
      <c r="G20" s="428"/>
      <c r="H20" s="427"/>
      <c r="I20" s="428"/>
      <c r="J20" s="427"/>
      <c r="K20" s="599"/>
      <c r="L20" s="1253"/>
      <c r="M20" s="1244"/>
      <c r="N20" s="1244"/>
      <c r="O20" s="1244"/>
      <c r="P20" s="3024"/>
      <c r="Q20" s="1899"/>
      <c r="R20" s="753"/>
      <c r="S20" s="754"/>
      <c r="T20" s="753"/>
      <c r="U20" s="754"/>
      <c r="V20" s="753"/>
      <c r="W20" s="754"/>
      <c r="X20" s="1900"/>
      <c r="Y20" s="3045"/>
      <c r="Z20" s="1902"/>
      <c r="AA20" s="1903">
        <v>1</v>
      </c>
      <c r="AB20" s="1903">
        <v>1</v>
      </c>
      <c r="AC20" s="1903">
        <v>1</v>
      </c>
    </row>
    <row r="21" spans="1:29" ht="28.5">
      <c r="A21" s="408"/>
      <c r="B21" s="617" t="s">
        <v>2480</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4"/>
      <c r="Q21" s="1899" t="str">
        <f>B21</f>
        <v>基础设施水平</v>
      </c>
      <c r="R21" s="753" t="s">
        <v>25</v>
      </c>
      <c r="S21" s="754">
        <f>F21</f>
        <v>100</v>
      </c>
      <c r="T21" s="753" t="s">
        <v>25</v>
      </c>
      <c r="U21" s="754">
        <f>H21</f>
        <v>100</v>
      </c>
      <c r="V21" s="753" t="s">
        <v>25</v>
      </c>
      <c r="W21" s="754">
        <f>J21</f>
        <v>100</v>
      </c>
      <c r="X21" s="1900"/>
      <c r="Y21" s="3045"/>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1"/>
      <c r="H22" s="427"/>
      <c r="I22" s="1471"/>
      <c r="J22" s="427"/>
      <c r="K22" s="1468"/>
      <c r="L22" s="1253"/>
      <c r="M22" s="1244"/>
      <c r="N22" s="1244"/>
      <c r="O22" s="1244"/>
      <c r="P22" s="3024"/>
      <c r="Q22" s="1899"/>
      <c r="R22" s="753"/>
      <c r="S22" s="754"/>
      <c r="T22" s="753"/>
      <c r="U22" s="754"/>
      <c r="V22" s="753"/>
      <c r="W22" s="754"/>
      <c r="X22" s="1900"/>
      <c r="Y22" s="3045"/>
      <c r="Z22" s="1902"/>
      <c r="AA22" s="1903">
        <v>1</v>
      </c>
      <c r="AB22" s="1903">
        <v>1</v>
      </c>
      <c r="AC22" s="1903">
        <v>1</v>
      </c>
    </row>
    <row r="23" spans="1:29" ht="57">
      <c r="A23" s="408"/>
      <c r="B23" s="615" t="s">
        <v>2481</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4"/>
      <c r="Q23" s="1899" t="str">
        <f>B23</f>
        <v>环境质量</v>
      </c>
      <c r="R23" s="753" t="s">
        <v>25</v>
      </c>
      <c r="S23" s="754">
        <f>F23</f>
        <v>100</v>
      </c>
      <c r="T23" s="753" t="s">
        <v>25</v>
      </c>
      <c r="U23" s="754">
        <f>H23</f>
        <v>100</v>
      </c>
      <c r="V23" s="753" t="s">
        <v>25</v>
      </c>
      <c r="W23" s="754">
        <f>J23</f>
        <v>100</v>
      </c>
      <c r="X23" s="1900"/>
      <c r="Y23" s="3045"/>
      <c r="Z23" s="1902" t="str">
        <f>Q23</f>
        <v>环境质量</v>
      </c>
      <c r="AA23" s="1903">
        <f t="shared" si="3"/>
        <v>1</v>
      </c>
      <c r="AB23" s="1903">
        <f t="shared" si="4"/>
        <v>1</v>
      </c>
      <c r="AC23" s="1903">
        <f t="shared" si="5"/>
        <v>1</v>
      </c>
    </row>
    <row r="24" spans="1:29" ht="15">
      <c r="A24" s="408"/>
      <c r="B24" s="617"/>
      <c r="C24" s="1471"/>
      <c r="D24" s="427"/>
      <c r="E24" s="2402"/>
      <c r="F24" s="427"/>
      <c r="G24" s="428"/>
      <c r="H24" s="427"/>
      <c r="I24" s="428"/>
      <c r="J24" s="427"/>
      <c r="K24" s="599"/>
      <c r="L24" s="1253"/>
      <c r="M24" s="1244"/>
      <c r="N24" s="1244"/>
      <c r="O24" s="1244"/>
      <c r="P24" s="3024"/>
      <c r="Q24" s="1899"/>
      <c r="R24" s="753"/>
      <c r="S24" s="754"/>
      <c r="T24" s="753"/>
      <c r="U24" s="754"/>
      <c r="V24" s="753"/>
      <c r="W24" s="754"/>
      <c r="X24" s="1900"/>
      <c r="Y24" s="3045"/>
      <c r="Z24" s="1902"/>
      <c r="AA24" s="1903">
        <v>1</v>
      </c>
      <c r="AB24" s="1903">
        <v>1</v>
      </c>
      <c r="AC24" s="1903">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24"/>
      <c r="Q25" s="1899" t="str">
        <f>B25</f>
        <v>毗邻道路的类型与等级</v>
      </c>
      <c r="R25" s="753" t="s">
        <v>25</v>
      </c>
      <c r="S25" s="754">
        <f>F25</f>
        <v>100</v>
      </c>
      <c r="T25" s="753" t="s">
        <v>25</v>
      </c>
      <c r="U25" s="754">
        <f>H25</f>
        <v>100</v>
      </c>
      <c r="V25" s="753" t="s">
        <v>25</v>
      </c>
      <c r="W25" s="754">
        <f>J25</f>
        <v>100</v>
      </c>
      <c r="X25" s="1900"/>
      <c r="Y25" s="304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4"/>
      <c r="Q26" s="1899"/>
      <c r="R26" s="753"/>
      <c r="S26" s="754"/>
      <c r="T26" s="753"/>
      <c r="U26" s="754"/>
      <c r="V26" s="753"/>
      <c r="W26" s="754"/>
      <c r="X26" s="1900"/>
      <c r="Y26" s="3045"/>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4"/>
      <c r="Q27" s="1899" t="str">
        <f t="shared" ref="Q27:Q47" si="11">B27</f>
        <v>楼层</v>
      </c>
      <c r="R27" s="753" t="s">
        <v>25</v>
      </c>
      <c r="S27" s="754">
        <f>F27</f>
        <v>100</v>
      </c>
      <c r="T27" s="753" t="s">
        <v>25</v>
      </c>
      <c r="U27" s="754">
        <f>H27</f>
        <v>100</v>
      </c>
      <c r="V27" s="753" t="s">
        <v>25</v>
      </c>
      <c r="W27" s="754">
        <f>J27</f>
        <v>100</v>
      </c>
      <c r="X27" s="1900"/>
      <c r="Y27" s="3045"/>
      <c r="Z27" s="1902" t="str">
        <f>Q27</f>
        <v>楼层</v>
      </c>
      <c r="AA27" s="1903">
        <f t="shared" si="3"/>
        <v>1</v>
      </c>
      <c r="AB27" s="1903">
        <f t="shared" si="4"/>
        <v>1</v>
      </c>
      <c r="AC27" s="1903">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24"/>
      <c r="Q28" s="1887" t="str">
        <f t="shared" si="11"/>
        <v>朝向</v>
      </c>
      <c r="R28" s="749" t="s">
        <v>25</v>
      </c>
      <c r="S28" s="750">
        <f>F28</f>
        <v>100</v>
      </c>
      <c r="T28" s="749" t="s">
        <v>25</v>
      </c>
      <c r="U28" s="750">
        <f>H28</f>
        <v>100</v>
      </c>
      <c r="V28" s="749" t="s">
        <v>25</v>
      </c>
      <c r="W28" s="750">
        <f>J28</f>
        <v>100</v>
      </c>
      <c r="X28" s="751"/>
      <c r="Y28" s="3045"/>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24"/>
      <c r="Q29" s="1899">
        <f t="shared" si="11"/>
        <v>111</v>
      </c>
      <c r="R29" s="753" t="s">
        <v>25</v>
      </c>
      <c r="S29" s="754">
        <f t="shared" ref="S29:S47" si="12">F29</f>
        <v>100</v>
      </c>
      <c r="T29" s="753" t="s">
        <v>25</v>
      </c>
      <c r="U29" s="754">
        <f t="shared" ref="U29:U47" si="13">H29</f>
        <v>100</v>
      </c>
      <c r="V29" s="753" t="s">
        <v>25</v>
      </c>
      <c r="W29" s="754">
        <f t="shared" ref="W29:W47" si="14">J29</f>
        <v>100</v>
      </c>
      <c r="X29" s="1900"/>
      <c r="Y29" s="3045"/>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24"/>
      <c r="Q30" s="1899">
        <f t="shared" si="11"/>
        <v>111</v>
      </c>
      <c r="R30" s="753" t="s">
        <v>25</v>
      </c>
      <c r="S30" s="754">
        <f t="shared" si="12"/>
        <v>100</v>
      </c>
      <c r="T30" s="753" t="s">
        <v>25</v>
      </c>
      <c r="U30" s="754">
        <f t="shared" si="13"/>
        <v>100</v>
      </c>
      <c r="V30" s="753" t="s">
        <v>25</v>
      </c>
      <c r="W30" s="754">
        <f t="shared" si="14"/>
        <v>100</v>
      </c>
      <c r="X30" s="1900"/>
      <c r="Y30" s="3045"/>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24"/>
      <c r="Q31" s="1899">
        <f t="shared" si="11"/>
        <v>111</v>
      </c>
      <c r="R31" s="753" t="s">
        <v>25</v>
      </c>
      <c r="S31" s="754">
        <f t="shared" si="12"/>
        <v>100</v>
      </c>
      <c r="T31" s="753" t="s">
        <v>25</v>
      </c>
      <c r="U31" s="754">
        <f t="shared" si="13"/>
        <v>100</v>
      </c>
      <c r="V31" s="753" t="s">
        <v>25</v>
      </c>
      <c r="W31" s="754">
        <f t="shared" si="14"/>
        <v>100</v>
      </c>
      <c r="X31" s="1900"/>
      <c r="Y31" s="3045"/>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24"/>
      <c r="Q32" s="1899">
        <f t="shared" si="11"/>
        <v>111</v>
      </c>
      <c r="R32" s="753" t="s">
        <v>25</v>
      </c>
      <c r="S32" s="754">
        <f t="shared" si="12"/>
        <v>100</v>
      </c>
      <c r="T32" s="753" t="s">
        <v>25</v>
      </c>
      <c r="U32" s="754">
        <f t="shared" si="13"/>
        <v>100</v>
      </c>
      <c r="V32" s="753" t="s">
        <v>25</v>
      </c>
      <c r="W32" s="754">
        <f t="shared" si="14"/>
        <v>100</v>
      </c>
      <c r="X32" s="1900"/>
      <c r="Y32" s="3045"/>
      <c r="Z32" s="1902">
        <f t="shared" si="15"/>
        <v>111</v>
      </c>
      <c r="AA32" s="1903">
        <f t="shared" si="3"/>
        <v>1</v>
      </c>
      <c r="AB32" s="1903">
        <f t="shared" si="4"/>
        <v>1</v>
      </c>
      <c r="AC32" s="1903">
        <f t="shared" si="5"/>
        <v>1</v>
      </c>
    </row>
    <row r="33" spans="1:29" ht="15">
      <c r="A33" s="419" t="s">
        <v>2368</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5" t="s">
        <v>2370</v>
      </c>
      <c r="Q33" s="1899" t="str">
        <f t="shared" si="11"/>
        <v>建筑类型</v>
      </c>
      <c r="R33" s="753" t="s">
        <v>25</v>
      </c>
      <c r="S33" s="754">
        <f t="shared" si="12"/>
        <v>100</v>
      </c>
      <c r="T33" s="753" t="s">
        <v>25</v>
      </c>
      <c r="U33" s="754">
        <f t="shared" si="13"/>
        <v>100</v>
      </c>
      <c r="V33" s="753" t="s">
        <v>25</v>
      </c>
      <c r="W33" s="754">
        <f t="shared" si="14"/>
        <v>100</v>
      </c>
      <c r="X33" s="1900"/>
      <c r="Y33" s="3049"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6"/>
      <c r="Q34" s="755" t="str">
        <f t="shared" si="11"/>
        <v>项目建筑规模</v>
      </c>
      <c r="R34" s="756" t="s">
        <v>25</v>
      </c>
      <c r="S34" s="757" t="e">
        <f t="shared" si="12"/>
        <v>#N/A</v>
      </c>
      <c r="T34" s="756" t="s">
        <v>25</v>
      </c>
      <c r="U34" s="757" t="e">
        <f t="shared" si="13"/>
        <v>#N/A</v>
      </c>
      <c r="V34" s="756" t="s">
        <v>25</v>
      </c>
      <c r="W34" s="757" t="e">
        <f t="shared" si="14"/>
        <v>#N/A</v>
      </c>
      <c r="X34" s="758"/>
      <c r="Y34" s="3049"/>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6"/>
      <c r="Q35" s="1899" t="str">
        <f t="shared" si="11"/>
        <v>建筑结构</v>
      </c>
      <c r="R35" s="753" t="s">
        <v>25</v>
      </c>
      <c r="S35" s="754">
        <f t="shared" si="12"/>
        <v>100</v>
      </c>
      <c r="T35" s="753" t="s">
        <v>25</v>
      </c>
      <c r="U35" s="754">
        <f t="shared" si="13"/>
        <v>100</v>
      </c>
      <c r="V35" s="753" t="s">
        <v>25</v>
      </c>
      <c r="W35" s="754">
        <f t="shared" si="14"/>
        <v>100</v>
      </c>
      <c r="X35" s="1900"/>
      <c r="Y35" s="3049"/>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6"/>
      <c r="Q36" s="1899" t="str">
        <f t="shared" si="11"/>
        <v>公共部分装修</v>
      </c>
      <c r="R36" s="753" t="s">
        <v>25</v>
      </c>
      <c r="S36" s="754">
        <f t="shared" si="12"/>
        <v>100</v>
      </c>
      <c r="T36" s="753" t="s">
        <v>25</v>
      </c>
      <c r="U36" s="754">
        <f t="shared" si="13"/>
        <v>100</v>
      </c>
      <c r="V36" s="753" t="s">
        <v>25</v>
      </c>
      <c r="W36" s="754">
        <f t="shared" si="14"/>
        <v>100</v>
      </c>
      <c r="X36" s="1900"/>
      <c r="Y36" s="3049"/>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6"/>
      <c r="Q37" s="1899" t="str">
        <f t="shared" si="11"/>
        <v>成新度</v>
      </c>
      <c r="R37" s="753" t="s">
        <v>25</v>
      </c>
      <c r="S37" s="754" t="e">
        <f t="shared" si="12"/>
        <v>#N/A</v>
      </c>
      <c r="T37" s="753" t="s">
        <v>25</v>
      </c>
      <c r="U37" s="754" t="e">
        <f t="shared" si="13"/>
        <v>#N/A</v>
      </c>
      <c r="V37" s="753" t="s">
        <v>25</v>
      </c>
      <c r="W37" s="754" t="e">
        <f t="shared" si="14"/>
        <v>#N/A</v>
      </c>
      <c r="X37" s="1900"/>
      <c r="Y37" s="3049"/>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6"/>
      <c r="Q38" s="1887" t="str">
        <f t="shared" si="11"/>
        <v>写字楼等级</v>
      </c>
      <c r="R38" s="749" t="s">
        <v>25</v>
      </c>
      <c r="S38" s="750">
        <f t="shared" si="12"/>
        <v>100</v>
      </c>
      <c r="T38" s="749" t="s">
        <v>25</v>
      </c>
      <c r="U38" s="750">
        <f t="shared" si="13"/>
        <v>100</v>
      </c>
      <c r="V38" s="749" t="s">
        <v>25</v>
      </c>
      <c r="W38" s="750">
        <f t="shared" si="14"/>
        <v>100</v>
      </c>
      <c r="X38" s="751"/>
      <c r="Y38" s="304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6" t="s">
        <v>2370</v>
      </c>
      <c r="Q39" s="1899" t="str">
        <f t="shared" si="11"/>
        <v>物业管理</v>
      </c>
      <c r="R39" s="753" t="s">
        <v>25</v>
      </c>
      <c r="S39" s="754">
        <f t="shared" si="12"/>
        <v>100</v>
      </c>
      <c r="T39" s="753" t="s">
        <v>25</v>
      </c>
      <c r="U39" s="754">
        <f t="shared" si="13"/>
        <v>100</v>
      </c>
      <c r="V39" s="753" t="s">
        <v>25</v>
      </c>
      <c r="W39" s="754">
        <f t="shared" si="14"/>
        <v>100</v>
      </c>
      <c r="X39" s="1900"/>
      <c r="Y39" s="3049"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6"/>
      <c r="Q40" s="1899" t="str">
        <f t="shared" si="11"/>
        <v>市政基础设施</v>
      </c>
      <c r="R40" s="753" t="s">
        <v>25</v>
      </c>
      <c r="S40" s="754">
        <f t="shared" si="12"/>
        <v>100</v>
      </c>
      <c r="T40" s="753" t="s">
        <v>25</v>
      </c>
      <c r="U40" s="754">
        <f t="shared" si="13"/>
        <v>100</v>
      </c>
      <c r="V40" s="753" t="s">
        <v>25</v>
      </c>
      <c r="W40" s="754">
        <f t="shared" si="14"/>
        <v>100</v>
      </c>
      <c r="X40" s="1900"/>
      <c r="Y40" s="3049"/>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6"/>
      <c r="Q41" s="1899" t="str">
        <f t="shared" si="11"/>
        <v>层高</v>
      </c>
      <c r="R41" s="753" t="s">
        <v>25</v>
      </c>
      <c r="S41" s="754">
        <f t="shared" si="12"/>
        <v>100</v>
      </c>
      <c r="T41" s="753" t="s">
        <v>25</v>
      </c>
      <c r="U41" s="754">
        <f t="shared" si="13"/>
        <v>100</v>
      </c>
      <c r="V41" s="753" t="s">
        <v>25</v>
      </c>
      <c r="W41" s="754">
        <f t="shared" si="14"/>
        <v>100</v>
      </c>
      <c r="X41" s="1900"/>
      <c r="Y41" s="3049"/>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6"/>
      <c r="Q42" s="755" t="str">
        <f t="shared" si="11"/>
        <v>单套建筑面积</v>
      </c>
      <c r="R42" s="756" t="s">
        <v>25</v>
      </c>
      <c r="S42" s="757">
        <f t="shared" si="12"/>
        <v>100</v>
      </c>
      <c r="T42" s="756" t="s">
        <v>25</v>
      </c>
      <c r="U42" s="757">
        <f t="shared" si="13"/>
        <v>100</v>
      </c>
      <c r="V42" s="756" t="s">
        <v>25</v>
      </c>
      <c r="W42" s="757">
        <f t="shared" si="14"/>
        <v>100</v>
      </c>
      <c r="X42" s="758"/>
      <c r="Y42" s="3049"/>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6"/>
      <c r="Q43" s="1899" t="str">
        <f t="shared" si="11"/>
        <v>内部装修</v>
      </c>
      <c r="R43" s="753" t="s">
        <v>25</v>
      </c>
      <c r="S43" s="754">
        <f t="shared" si="12"/>
        <v>100</v>
      </c>
      <c r="T43" s="753" t="s">
        <v>25</v>
      </c>
      <c r="U43" s="754">
        <f t="shared" si="13"/>
        <v>100</v>
      </c>
      <c r="V43" s="753" t="s">
        <v>25</v>
      </c>
      <c r="W43" s="754">
        <f t="shared" si="14"/>
        <v>100</v>
      </c>
      <c r="X43" s="1900"/>
      <c r="Y43" s="3049"/>
      <c r="Z43" s="1902" t="str">
        <f t="shared" si="15"/>
        <v>内部装修</v>
      </c>
      <c r="AA43" s="1903">
        <f t="shared" si="3"/>
        <v>1</v>
      </c>
      <c r="AB43" s="1903">
        <f t="shared" si="4"/>
        <v>1</v>
      </c>
      <c r="AC43" s="1903">
        <f t="shared" si="5"/>
        <v>1</v>
      </c>
    </row>
    <row r="44" spans="1:29" ht="15">
      <c r="A44" s="453"/>
      <c r="B44" s="402" t="s">
        <v>2381</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6"/>
      <c r="Q44" s="1899" t="str">
        <f t="shared" si="11"/>
        <v>内部装修维护情况</v>
      </c>
      <c r="R44" s="753" t="s">
        <v>25</v>
      </c>
      <c r="S44" s="754">
        <f t="shared" si="12"/>
        <v>100</v>
      </c>
      <c r="T44" s="753" t="s">
        <v>25</v>
      </c>
      <c r="U44" s="754">
        <f t="shared" si="13"/>
        <v>100</v>
      </c>
      <c r="V44" s="753" t="s">
        <v>25</v>
      </c>
      <c r="W44" s="754">
        <f t="shared" si="14"/>
        <v>100</v>
      </c>
      <c r="X44" s="1900"/>
      <c r="Y44" s="3049"/>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6"/>
      <c r="Q45" s="1887">
        <f t="shared" si="11"/>
        <v>111</v>
      </c>
      <c r="R45" s="749" t="s">
        <v>25</v>
      </c>
      <c r="S45" s="750">
        <f t="shared" si="12"/>
        <v>100</v>
      </c>
      <c r="T45" s="749" t="s">
        <v>25</v>
      </c>
      <c r="U45" s="750">
        <f t="shared" si="13"/>
        <v>100</v>
      </c>
      <c r="V45" s="749" t="s">
        <v>25</v>
      </c>
      <c r="W45" s="750">
        <f t="shared" si="14"/>
        <v>100</v>
      </c>
      <c r="X45" s="751"/>
      <c r="Y45" s="3049"/>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49"/>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7"/>
      <c r="Q47" s="1899">
        <f t="shared" si="11"/>
        <v>111</v>
      </c>
      <c r="R47" s="753" t="s">
        <v>25</v>
      </c>
      <c r="S47" s="754">
        <f t="shared" si="12"/>
        <v>100</v>
      </c>
      <c r="T47" s="753" t="s">
        <v>25</v>
      </c>
      <c r="U47" s="754">
        <f t="shared" si="13"/>
        <v>100</v>
      </c>
      <c r="V47" s="753" t="s">
        <v>25</v>
      </c>
      <c r="W47" s="754">
        <f t="shared" si="14"/>
        <v>100</v>
      </c>
      <c r="X47" s="1900"/>
      <c r="Y47" s="3050"/>
      <c r="Z47" s="1902">
        <f t="shared" si="15"/>
        <v>111</v>
      </c>
      <c r="AA47" s="1903">
        <f t="shared" si="3"/>
        <v>1</v>
      </c>
      <c r="AB47" s="1903">
        <f t="shared" si="4"/>
        <v>1</v>
      </c>
      <c r="AC47" s="1903">
        <f t="shared" si="5"/>
        <v>1</v>
      </c>
    </row>
    <row r="48" spans="1:29" ht="15">
      <c r="A48" s="460" t="s">
        <v>2382</v>
      </c>
      <c r="B48" s="461"/>
      <c r="C48" s="1501" t="s">
        <v>1</v>
      </c>
      <c r="D48" s="1502"/>
      <c r="E48" s="1503"/>
      <c r="F48" s="1504"/>
      <c r="G48" s="1505"/>
      <c r="H48" s="1506"/>
      <c r="I48" s="1503"/>
      <c r="J48" s="1506"/>
      <c r="K48" s="762"/>
      <c r="L48" s="1256"/>
      <c r="M48" s="1244"/>
      <c r="N48" s="1244"/>
      <c r="O48" s="1244"/>
      <c r="P48" s="3056" t="str">
        <f>A48</f>
        <v>成交单价（元/平方米）</v>
      </c>
      <c r="Q48" s="3051"/>
      <c r="R48" s="3052">
        <f>E48</f>
        <v>0</v>
      </c>
      <c r="S48" s="3052"/>
      <c r="T48" s="3052">
        <f>G48</f>
        <v>0</v>
      </c>
      <c r="U48" s="3052"/>
      <c r="V48" s="3052">
        <f>I48</f>
        <v>0</v>
      </c>
      <c r="W48" s="3052"/>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6"/>
      <c r="M49" s="1244"/>
      <c r="N49" s="1244"/>
      <c r="O49" s="1244"/>
      <c r="P49" s="3056" t="str">
        <f>A49</f>
        <v>比较价值（元/平方米）</v>
      </c>
      <c r="Q49" s="3051"/>
      <c r="R49" s="3052" t="e">
        <f>IF(E1="售价",ROUND(PRODUCT(R48,AA7:AA47),0),ROUND(PRODUCT(R48,AA7:AA47),1))</f>
        <v>#DIV/0!</v>
      </c>
      <c r="S49" s="3052"/>
      <c r="T49" s="3052" t="e">
        <f>IF(E1="售价",ROUND(PRODUCT(T48,AB7:AB47),0),ROUND(PRODUCT(T48,AB7:AB47),1))</f>
        <v>#DIV/0!</v>
      </c>
      <c r="U49" s="3052"/>
      <c r="V49" s="3052" t="e">
        <f>IF(E1="售价",ROUND(PRODUCT(V48,AC7:AC47),0),ROUND(PRODUCT(V48,AC7:AC47),1))</f>
        <v>#DIV/0!</v>
      </c>
      <c r="W49" s="3052"/>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6"/>
      <c r="M50" s="1244"/>
      <c r="N50" s="1244"/>
      <c r="O50" s="1244"/>
      <c r="P50" s="3064"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0"/>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2338</v>
      </c>
      <c r="D3" s="378">
        <f>IF(C1="仅计算典型户型",'数据-取费表'!E5,'数据-取费表'!B5)</f>
        <v>142.82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7" t="s">
        <v>2340</v>
      </c>
      <c r="D4" s="3018"/>
      <c r="E4" s="3019" t="s">
        <v>2341</v>
      </c>
      <c r="F4" s="3020"/>
      <c r="G4" s="3017" t="s">
        <v>2342</v>
      </c>
      <c r="H4" s="3018"/>
      <c r="I4" s="3017" t="s">
        <v>2343</v>
      </c>
      <c r="J4" s="3018"/>
      <c r="K4" s="594" t="s">
        <v>2344</v>
      </c>
      <c r="L4" s="1243"/>
      <c r="M4" s="1244"/>
      <c r="N4" s="1244"/>
      <c r="O4" s="1244"/>
      <c r="P4" s="3021" t="s">
        <v>2345</v>
      </c>
      <c r="Q4" s="3022"/>
      <c r="R4" s="3027" t="s">
        <v>2341</v>
      </c>
      <c r="S4" s="3028"/>
      <c r="T4" s="3027" t="s">
        <v>2342</v>
      </c>
      <c r="U4" s="3028"/>
      <c r="V4" s="3037" t="s">
        <v>2343</v>
      </c>
      <c r="W4" s="3037"/>
      <c r="X4" s="1900"/>
      <c r="Y4" s="3027" t="s">
        <v>2345</v>
      </c>
      <c r="Z4" s="3028"/>
      <c r="AA4" s="3014" t="s">
        <v>2341</v>
      </c>
      <c r="AB4" s="3015" t="s">
        <v>2342</v>
      </c>
      <c r="AC4" s="3014" t="s">
        <v>2343</v>
      </c>
    </row>
    <row r="5" spans="1:29" ht="15">
      <c r="A5" s="383"/>
      <c r="B5" s="384"/>
      <c r="C5" s="3059" t="s">
        <v>2346</v>
      </c>
      <c r="D5" s="3032"/>
      <c r="E5" s="3060" t="s">
        <v>2347</v>
      </c>
      <c r="F5" s="3061"/>
      <c r="G5" s="3059" t="s">
        <v>2348</v>
      </c>
      <c r="H5" s="3032"/>
      <c r="I5" s="3059" t="s">
        <v>2349</v>
      </c>
      <c r="J5" s="3032"/>
      <c r="K5" s="594"/>
      <c r="L5" s="1243"/>
      <c r="M5" s="1244"/>
      <c r="N5" s="1244"/>
      <c r="O5" s="1244"/>
      <c r="P5" s="3023"/>
      <c r="Q5" s="3024"/>
      <c r="R5" s="3029"/>
      <c r="S5" s="3030"/>
      <c r="T5" s="3029"/>
      <c r="U5" s="3030"/>
      <c r="V5" s="3037"/>
      <c r="W5" s="3037"/>
      <c r="X5" s="1900"/>
      <c r="Y5" s="3029"/>
      <c r="Z5" s="3030"/>
      <c r="AA5" s="3015"/>
      <c r="AB5" s="3015"/>
      <c r="AC5" s="3015"/>
    </row>
    <row r="6" spans="1:29" ht="15.75" thickBot="1">
      <c r="A6" s="385"/>
      <c r="B6" s="386"/>
      <c r="C6" s="3058" t="s">
        <v>2350</v>
      </c>
      <c r="D6" s="3034"/>
      <c r="E6" s="3062" t="s">
        <v>2350</v>
      </c>
      <c r="F6" s="3063"/>
      <c r="G6" s="3058" t="s">
        <v>2350</v>
      </c>
      <c r="H6" s="3034"/>
      <c r="I6" s="3058" t="s">
        <v>2350</v>
      </c>
      <c r="J6" s="3034"/>
      <c r="K6" s="594" t="s">
        <v>2351</v>
      </c>
      <c r="L6" s="1243"/>
      <c r="M6" s="1244"/>
      <c r="N6" s="1244"/>
      <c r="O6" s="1244"/>
      <c r="P6" s="3025"/>
      <c r="Q6" s="3026"/>
      <c r="R6" s="3029"/>
      <c r="S6" s="3030"/>
      <c r="T6" s="3035"/>
      <c r="U6" s="3036"/>
      <c r="V6" s="3037"/>
      <c r="W6" s="3037"/>
      <c r="X6" s="1900"/>
      <c r="Y6" s="3035"/>
      <c r="Z6" s="3036"/>
      <c r="AA6" s="3016"/>
      <c r="AB6" s="3016"/>
      <c r="AC6" s="3016"/>
    </row>
    <row r="7" spans="1:29" s="35" customFormat="1" ht="15.75" thickBot="1">
      <c r="A7" s="387" t="s">
        <v>2352</v>
      </c>
      <c r="B7" s="388"/>
      <c r="C7" s="389">
        <f>'数据-取费表'!B2</f>
        <v>43074</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8" t="s">
        <v>2353</v>
      </c>
      <c r="Q7" s="3039"/>
      <c r="R7" s="749" t="s">
        <v>25</v>
      </c>
      <c r="S7" s="750">
        <f t="shared" ref="S7:S15" si="0">F7</f>
        <v>0</v>
      </c>
      <c r="T7" s="749" t="s">
        <v>25</v>
      </c>
      <c r="U7" s="750">
        <f t="shared" ref="U7:U15" si="1">H7</f>
        <v>0</v>
      </c>
      <c r="V7" s="749" t="s">
        <v>25</v>
      </c>
      <c r="W7" s="750">
        <f t="shared" ref="W7:W15" si="2">J7</f>
        <v>0</v>
      </c>
      <c r="X7" s="751"/>
      <c r="Y7" s="3038" t="s">
        <v>2353</v>
      </c>
      <c r="Z7" s="3040"/>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8" t="s">
        <v>2356</v>
      </c>
      <c r="Q8" s="3040"/>
      <c r="R8" s="749" t="s">
        <v>25</v>
      </c>
      <c r="S8" s="750">
        <f t="shared" si="0"/>
        <v>100</v>
      </c>
      <c r="T8" s="749" t="s">
        <v>25</v>
      </c>
      <c r="U8" s="750">
        <f t="shared" si="1"/>
        <v>100</v>
      </c>
      <c r="V8" s="749" t="s">
        <v>25</v>
      </c>
      <c r="W8" s="750">
        <f t="shared" si="2"/>
        <v>100</v>
      </c>
      <c r="X8" s="751"/>
      <c r="Y8" s="3038" t="s">
        <v>2356</v>
      </c>
      <c r="Z8" s="3040"/>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4" t="s">
        <v>2364</v>
      </c>
      <c r="Q15" s="1899" t="str">
        <f t="shared" si="6"/>
        <v>产业集聚程度</v>
      </c>
      <c r="R15" s="753" t="s">
        <v>25</v>
      </c>
      <c r="S15" s="754">
        <f t="shared" si="0"/>
        <v>100</v>
      </c>
      <c r="T15" s="753" t="s">
        <v>25</v>
      </c>
      <c r="U15" s="754">
        <f t="shared" si="1"/>
        <v>100</v>
      </c>
      <c r="V15" s="753" t="s">
        <v>25</v>
      </c>
      <c r="W15" s="754">
        <f t="shared" si="2"/>
        <v>100</v>
      </c>
      <c r="X15" s="1900"/>
      <c r="Y15" s="3044"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5"/>
      <c r="Q16" s="1899"/>
      <c r="R16" s="753"/>
      <c r="S16" s="754"/>
      <c r="T16" s="753"/>
      <c r="U16" s="754"/>
      <c r="V16" s="753"/>
      <c r="W16" s="754"/>
      <c r="X16" s="1900"/>
      <c r="Y16" s="3045"/>
      <c r="Z16" s="1902"/>
      <c r="AA16" s="1903">
        <v>1</v>
      </c>
      <c r="AB16" s="1903">
        <v>1</v>
      </c>
      <c r="AC16" s="1903">
        <v>1</v>
      </c>
    </row>
    <row r="17" spans="1:29" ht="85.5">
      <c r="A17" s="408"/>
      <c r="B17" s="431" t="s">
        <v>1750</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5"/>
      <c r="Q17" s="1899" t="str">
        <f>B17</f>
        <v>交通便捷度</v>
      </c>
      <c r="R17" s="753" t="s">
        <v>25</v>
      </c>
      <c r="S17" s="754">
        <f>F17</f>
        <v>100</v>
      </c>
      <c r="T17" s="753" t="s">
        <v>25</v>
      </c>
      <c r="U17" s="754">
        <f>H17</f>
        <v>100</v>
      </c>
      <c r="V17" s="753" t="s">
        <v>25</v>
      </c>
      <c r="W17" s="754">
        <f>J17</f>
        <v>100</v>
      </c>
      <c r="X17" s="1900"/>
      <c r="Y17" s="3045"/>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52"/>
      <c r="P18" s="3045"/>
      <c r="Q18" s="1899"/>
      <c r="R18" s="753"/>
      <c r="S18" s="754"/>
      <c r="T18" s="753"/>
      <c r="U18" s="754"/>
      <c r="V18" s="753"/>
      <c r="W18" s="754"/>
      <c r="X18" s="1900"/>
      <c r="Y18" s="3045"/>
      <c r="Z18" s="1902"/>
      <c r="AA18" s="1903">
        <v>1</v>
      </c>
      <c r="AB18" s="1903">
        <v>1</v>
      </c>
      <c r="AC18" s="1903">
        <v>1</v>
      </c>
    </row>
    <row r="19" spans="1:29" ht="42.75">
      <c r="A19" s="408"/>
      <c r="B19" s="615" t="s">
        <v>2479</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5"/>
      <c r="Q19" s="1899" t="str">
        <f>B19</f>
        <v>公共配套设施</v>
      </c>
      <c r="R19" s="753" t="s">
        <v>25</v>
      </c>
      <c r="S19" s="754">
        <f>F19</f>
        <v>100</v>
      </c>
      <c r="T19" s="753" t="s">
        <v>25</v>
      </c>
      <c r="U19" s="754">
        <f>H19</f>
        <v>100</v>
      </c>
      <c r="V19" s="753" t="s">
        <v>25</v>
      </c>
      <c r="W19" s="754">
        <f>J19</f>
        <v>100</v>
      </c>
      <c r="X19" s="1900"/>
      <c r="Y19" s="3045"/>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45"/>
      <c r="Q20" s="1899"/>
      <c r="R20" s="753"/>
      <c r="S20" s="754"/>
      <c r="T20" s="753"/>
      <c r="U20" s="754"/>
      <c r="V20" s="753"/>
      <c r="W20" s="754"/>
      <c r="X20" s="1900"/>
      <c r="Y20" s="3045"/>
      <c r="Z20" s="1902"/>
      <c r="AA20" s="1903">
        <v>1</v>
      </c>
      <c r="AB20" s="1903">
        <v>1</v>
      </c>
      <c r="AC20" s="1903">
        <v>1</v>
      </c>
    </row>
    <row r="21" spans="1:29" ht="28.5">
      <c r="A21" s="408"/>
      <c r="B21" s="617" t="s">
        <v>2480</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5"/>
      <c r="Q21" s="1899" t="str">
        <f>B21</f>
        <v>基础设施水平</v>
      </c>
      <c r="R21" s="753" t="s">
        <v>25</v>
      </c>
      <c r="S21" s="754">
        <f>F21</f>
        <v>100</v>
      </c>
      <c r="T21" s="753" t="s">
        <v>25</v>
      </c>
      <c r="U21" s="754">
        <f>H21</f>
        <v>100</v>
      </c>
      <c r="V21" s="753" t="s">
        <v>25</v>
      </c>
      <c r="W21" s="754">
        <f>J21</f>
        <v>100</v>
      </c>
      <c r="X21" s="1900"/>
      <c r="Y21" s="3045"/>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52"/>
      <c r="P22" s="3045"/>
      <c r="Q22" s="1899"/>
      <c r="R22" s="753"/>
      <c r="S22" s="754"/>
      <c r="T22" s="753"/>
      <c r="U22" s="754"/>
      <c r="V22" s="753"/>
      <c r="W22" s="754"/>
      <c r="X22" s="1900"/>
      <c r="Y22" s="3045"/>
      <c r="Z22" s="1902"/>
      <c r="AA22" s="1903">
        <v>1</v>
      </c>
      <c r="AB22" s="1903">
        <v>1</v>
      </c>
      <c r="AC22" s="1903">
        <v>1</v>
      </c>
    </row>
    <row r="23" spans="1:29" ht="71.25">
      <c r="A23" s="408"/>
      <c r="B23" s="431" t="s">
        <v>2481</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5"/>
      <c r="Q23" s="1899" t="str">
        <f>B23</f>
        <v>环境质量</v>
      </c>
      <c r="R23" s="753" t="s">
        <v>25</v>
      </c>
      <c r="S23" s="754">
        <f>F23</f>
        <v>100</v>
      </c>
      <c r="T23" s="753" t="s">
        <v>25</v>
      </c>
      <c r="U23" s="754">
        <f>H23</f>
        <v>100</v>
      </c>
      <c r="V23" s="753" t="s">
        <v>25</v>
      </c>
      <c r="W23" s="754">
        <f>J23</f>
        <v>100</v>
      </c>
      <c r="X23" s="1900"/>
      <c r="Y23" s="3045"/>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45"/>
      <c r="Q24" s="1899"/>
      <c r="R24" s="753"/>
      <c r="S24" s="754"/>
      <c r="T24" s="753"/>
      <c r="U24" s="754"/>
      <c r="V24" s="753"/>
      <c r="W24" s="754"/>
      <c r="X24" s="1900"/>
      <c r="Y24" s="3045"/>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5"/>
      <c r="Q25" s="1899">
        <f>B25</f>
        <v>111</v>
      </c>
      <c r="R25" s="753" t="s">
        <v>25</v>
      </c>
      <c r="S25" s="754">
        <f>F25</f>
        <v>100</v>
      </c>
      <c r="T25" s="753" t="s">
        <v>25</v>
      </c>
      <c r="U25" s="754">
        <f>H25</f>
        <v>100</v>
      </c>
      <c r="V25" s="753" t="s">
        <v>25</v>
      </c>
      <c r="W25" s="754">
        <f>J25</f>
        <v>100</v>
      </c>
      <c r="X25" s="1900"/>
      <c r="Y25" s="3045"/>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5"/>
      <c r="Q26" s="1899">
        <f t="shared" ref="Q26:Q40" si="11">B26</f>
        <v>111</v>
      </c>
      <c r="R26" s="753" t="s">
        <v>25</v>
      </c>
      <c r="S26" s="754">
        <f>F26</f>
        <v>100</v>
      </c>
      <c r="T26" s="753" t="s">
        <v>25</v>
      </c>
      <c r="U26" s="754">
        <f>H26</f>
        <v>100</v>
      </c>
      <c r="V26" s="753" t="s">
        <v>25</v>
      </c>
      <c r="W26" s="754">
        <f>J26</f>
        <v>100</v>
      </c>
      <c r="X26" s="1900"/>
      <c r="Y26" s="3045"/>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5"/>
      <c r="Q27" s="1887">
        <f t="shared" si="11"/>
        <v>111</v>
      </c>
      <c r="R27" s="749" t="s">
        <v>25</v>
      </c>
      <c r="S27" s="750">
        <f>F27</f>
        <v>100</v>
      </c>
      <c r="T27" s="749" t="s">
        <v>25</v>
      </c>
      <c r="U27" s="750">
        <f>H27</f>
        <v>100</v>
      </c>
      <c r="V27" s="749" t="s">
        <v>25</v>
      </c>
      <c r="W27" s="750">
        <f>J27</f>
        <v>100</v>
      </c>
      <c r="X27" s="751"/>
      <c r="Y27" s="3045"/>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5"/>
      <c r="Q28" s="1899">
        <f t="shared" si="11"/>
        <v>111</v>
      </c>
      <c r="R28" s="753" t="s">
        <v>25</v>
      </c>
      <c r="S28" s="754">
        <f t="shared" ref="S28:S40" si="12">F28</f>
        <v>100</v>
      </c>
      <c r="T28" s="753" t="s">
        <v>25</v>
      </c>
      <c r="U28" s="754">
        <f t="shared" ref="U28:U40" si="13">H28</f>
        <v>100</v>
      </c>
      <c r="V28" s="753" t="s">
        <v>25</v>
      </c>
      <c r="W28" s="754">
        <f t="shared" ref="W28:W40" si="14">J28</f>
        <v>100</v>
      </c>
      <c r="X28" s="1900"/>
      <c r="Y28" s="3045"/>
      <c r="Z28" s="1902">
        <f t="shared" ref="Z28:Z40" si="15">Q28</f>
        <v>111</v>
      </c>
      <c r="AA28" s="1903">
        <f t="shared" si="3"/>
        <v>1</v>
      </c>
      <c r="AB28" s="1903">
        <f t="shared" si="4"/>
        <v>1</v>
      </c>
      <c r="AC28" s="1903">
        <f t="shared" si="5"/>
        <v>1</v>
      </c>
    </row>
    <row r="29" spans="1:29" ht="15">
      <c r="A29" s="447" t="s">
        <v>2368</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71" t="s">
        <v>2370</v>
      </c>
      <c r="Q29" s="1899" t="str">
        <f t="shared" si="11"/>
        <v>建筑类型</v>
      </c>
      <c r="R29" s="753" t="s">
        <v>25</v>
      </c>
      <c r="S29" s="754">
        <f t="shared" si="12"/>
        <v>100</v>
      </c>
      <c r="T29" s="753" t="s">
        <v>25</v>
      </c>
      <c r="U29" s="754">
        <f t="shared" si="13"/>
        <v>100</v>
      </c>
      <c r="V29" s="753" t="s">
        <v>25</v>
      </c>
      <c r="W29" s="754">
        <f t="shared" si="14"/>
        <v>100</v>
      </c>
      <c r="X29" s="1900"/>
      <c r="Y29" s="3049"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9"/>
      <c r="Q30" s="755" t="str">
        <f t="shared" si="11"/>
        <v>项目建筑规模</v>
      </c>
      <c r="R30" s="756" t="s">
        <v>25</v>
      </c>
      <c r="S30" s="757" t="e">
        <f t="shared" si="12"/>
        <v>#N/A</v>
      </c>
      <c r="T30" s="756" t="s">
        <v>25</v>
      </c>
      <c r="U30" s="757" t="e">
        <f t="shared" si="13"/>
        <v>#N/A</v>
      </c>
      <c r="V30" s="756" t="s">
        <v>25</v>
      </c>
      <c r="W30" s="757" t="e">
        <f t="shared" si="14"/>
        <v>#N/A</v>
      </c>
      <c r="X30" s="758"/>
      <c r="Y30" s="3049"/>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9"/>
      <c r="Q31" s="1899" t="str">
        <f t="shared" si="11"/>
        <v>建筑结构</v>
      </c>
      <c r="R31" s="753" t="s">
        <v>25</v>
      </c>
      <c r="S31" s="754">
        <f t="shared" si="12"/>
        <v>100</v>
      </c>
      <c r="T31" s="753" t="s">
        <v>25</v>
      </c>
      <c r="U31" s="754">
        <f t="shared" si="13"/>
        <v>100</v>
      </c>
      <c r="V31" s="753" t="s">
        <v>25</v>
      </c>
      <c r="W31" s="754">
        <f t="shared" si="14"/>
        <v>100</v>
      </c>
      <c r="X31" s="1900"/>
      <c r="Y31" s="3049"/>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9"/>
      <c r="Q32" s="1899" t="str">
        <f t="shared" si="11"/>
        <v>公共部分装修</v>
      </c>
      <c r="R32" s="753" t="s">
        <v>25</v>
      </c>
      <c r="S32" s="754">
        <f t="shared" si="12"/>
        <v>100</v>
      </c>
      <c r="T32" s="753" t="s">
        <v>25</v>
      </c>
      <c r="U32" s="754">
        <f t="shared" si="13"/>
        <v>100</v>
      </c>
      <c r="V32" s="753" t="s">
        <v>25</v>
      </c>
      <c r="W32" s="754">
        <f t="shared" si="14"/>
        <v>100</v>
      </c>
      <c r="X32" s="1900"/>
      <c r="Y32" s="3049"/>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9"/>
      <c r="Q33" s="1899" t="str">
        <f t="shared" si="11"/>
        <v>成新度</v>
      </c>
      <c r="R33" s="753" t="s">
        <v>25</v>
      </c>
      <c r="S33" s="754" t="e">
        <f t="shared" si="12"/>
        <v>#N/A</v>
      </c>
      <c r="T33" s="753" t="s">
        <v>25</v>
      </c>
      <c r="U33" s="754" t="e">
        <f t="shared" si="13"/>
        <v>#N/A</v>
      </c>
      <c r="V33" s="753" t="s">
        <v>25</v>
      </c>
      <c r="W33" s="754" t="e">
        <f t="shared" si="14"/>
        <v>#N/A</v>
      </c>
      <c r="X33" s="1900"/>
      <c r="Y33" s="3049"/>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9"/>
      <c r="Q34" s="1887" t="str">
        <f t="shared" si="11"/>
        <v>物业管理</v>
      </c>
      <c r="R34" s="749" t="s">
        <v>25</v>
      </c>
      <c r="S34" s="750">
        <f t="shared" si="12"/>
        <v>100</v>
      </c>
      <c r="T34" s="749" t="s">
        <v>25</v>
      </c>
      <c r="U34" s="750">
        <f t="shared" si="13"/>
        <v>100</v>
      </c>
      <c r="V34" s="749" t="s">
        <v>25</v>
      </c>
      <c r="W34" s="750">
        <f t="shared" si="14"/>
        <v>100</v>
      </c>
      <c r="X34" s="751"/>
      <c r="Y34" s="304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9" t="s">
        <v>2370</v>
      </c>
      <c r="Q35" s="1899" t="str">
        <f t="shared" si="11"/>
        <v>市政基础设施</v>
      </c>
      <c r="R35" s="753" t="s">
        <v>25</v>
      </c>
      <c r="S35" s="754">
        <f t="shared" si="12"/>
        <v>100</v>
      </c>
      <c r="T35" s="753" t="s">
        <v>25</v>
      </c>
      <c r="U35" s="754">
        <f t="shared" si="13"/>
        <v>100</v>
      </c>
      <c r="V35" s="753" t="s">
        <v>25</v>
      </c>
      <c r="W35" s="754">
        <f t="shared" si="14"/>
        <v>100</v>
      </c>
      <c r="X35" s="1900"/>
      <c r="Y35" s="3049"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9"/>
      <c r="Q36" s="1899" t="str">
        <f t="shared" si="11"/>
        <v>内部装修</v>
      </c>
      <c r="R36" s="753" t="s">
        <v>25</v>
      </c>
      <c r="S36" s="754">
        <f t="shared" si="12"/>
        <v>100</v>
      </c>
      <c r="T36" s="753" t="s">
        <v>25</v>
      </c>
      <c r="U36" s="754">
        <f t="shared" si="13"/>
        <v>100</v>
      </c>
      <c r="V36" s="753" t="s">
        <v>25</v>
      </c>
      <c r="W36" s="754">
        <f t="shared" si="14"/>
        <v>100</v>
      </c>
      <c r="X36" s="1900"/>
      <c r="Y36" s="3049"/>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9"/>
      <c r="Q37" s="1899" t="str">
        <f t="shared" si="11"/>
        <v>内部装修状况</v>
      </c>
      <c r="R37" s="753" t="s">
        <v>25</v>
      </c>
      <c r="S37" s="754">
        <f t="shared" si="12"/>
        <v>0</v>
      </c>
      <c r="T37" s="753" t="s">
        <v>25</v>
      </c>
      <c r="U37" s="754">
        <f t="shared" si="13"/>
        <v>0</v>
      </c>
      <c r="V37" s="753" t="s">
        <v>25</v>
      </c>
      <c r="W37" s="754">
        <f t="shared" si="14"/>
        <v>0</v>
      </c>
      <c r="X37" s="1900"/>
      <c r="Y37" s="3049"/>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9"/>
      <c r="Q38" s="755">
        <f t="shared" si="11"/>
        <v>111</v>
      </c>
      <c r="R38" s="756" t="s">
        <v>25</v>
      </c>
      <c r="S38" s="757">
        <f t="shared" si="12"/>
        <v>100</v>
      </c>
      <c r="T38" s="756" t="s">
        <v>25</v>
      </c>
      <c r="U38" s="757">
        <f t="shared" si="13"/>
        <v>100</v>
      </c>
      <c r="V38" s="756" t="s">
        <v>25</v>
      </c>
      <c r="W38" s="757">
        <f t="shared" si="14"/>
        <v>100</v>
      </c>
      <c r="X38" s="758"/>
      <c r="Y38" s="3049"/>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9"/>
      <c r="Q39" s="1899">
        <f t="shared" si="11"/>
        <v>111</v>
      </c>
      <c r="R39" s="753" t="s">
        <v>25</v>
      </c>
      <c r="S39" s="754">
        <f t="shared" si="12"/>
        <v>100</v>
      </c>
      <c r="T39" s="753" t="s">
        <v>25</v>
      </c>
      <c r="U39" s="754">
        <f t="shared" si="13"/>
        <v>100</v>
      </c>
      <c r="V39" s="753" t="s">
        <v>25</v>
      </c>
      <c r="W39" s="754">
        <f t="shared" si="14"/>
        <v>100</v>
      </c>
      <c r="X39" s="1900"/>
      <c r="Y39" s="3049"/>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0"/>
      <c r="Q40" s="1899">
        <f t="shared" si="11"/>
        <v>111</v>
      </c>
      <c r="R40" s="753" t="s">
        <v>25</v>
      </c>
      <c r="S40" s="754">
        <f t="shared" si="12"/>
        <v>100</v>
      </c>
      <c r="T40" s="753" t="s">
        <v>25</v>
      </c>
      <c r="U40" s="754">
        <f t="shared" si="13"/>
        <v>100</v>
      </c>
      <c r="V40" s="753" t="s">
        <v>25</v>
      </c>
      <c r="W40" s="754">
        <f t="shared" si="14"/>
        <v>100</v>
      </c>
      <c r="X40" s="1900"/>
      <c r="Y40" s="3050"/>
      <c r="Z40" s="1902">
        <f t="shared" si="15"/>
        <v>111</v>
      </c>
      <c r="AA40" s="1903">
        <f t="shared" si="3"/>
        <v>1</v>
      </c>
      <c r="AB40" s="1903">
        <f t="shared" si="4"/>
        <v>1</v>
      </c>
      <c r="AC40" s="1903">
        <f t="shared" si="5"/>
        <v>1</v>
      </c>
    </row>
    <row r="41" spans="1:29" ht="15">
      <c r="A41" s="460" t="s">
        <v>2382</v>
      </c>
      <c r="B41" s="461"/>
      <c r="C41" s="1501" t="s">
        <v>1</v>
      </c>
      <c r="D41" s="1502"/>
      <c r="E41" s="1503"/>
      <c r="F41" s="1504"/>
      <c r="G41" s="1505"/>
      <c r="H41" s="1506"/>
      <c r="I41" s="1503"/>
      <c r="J41" s="1506"/>
      <c r="K41" s="762"/>
      <c r="L41" s="1256"/>
      <c r="M41" s="1257"/>
      <c r="N41" s="1244"/>
      <c r="O41" s="1257"/>
      <c r="P41" s="3051" t="str">
        <f>A41</f>
        <v>成交单价（元/平方米）</v>
      </c>
      <c r="Q41" s="3051"/>
      <c r="R41" s="3052">
        <f>E41</f>
        <v>0</v>
      </c>
      <c r="S41" s="3052"/>
      <c r="T41" s="3052">
        <f>G41</f>
        <v>0</v>
      </c>
      <c r="U41" s="3052"/>
      <c r="V41" s="3052">
        <f>I41</f>
        <v>0</v>
      </c>
      <c r="W41" s="3052"/>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6"/>
      <c r="M42" s="1257"/>
      <c r="N42" s="1244"/>
      <c r="O42" s="1257"/>
      <c r="P42" s="3051" t="str">
        <f>A42</f>
        <v>比较价值（元/平方米）</v>
      </c>
      <c r="Q42" s="3051"/>
      <c r="R42" s="3052" t="e">
        <f>IF(E1="售价",ROUND(PRODUCT(R41,AA7:AA40),0),ROUND(PRODUCT(R41,AA7:AA40),1))</f>
        <v>#DIV/0!</v>
      </c>
      <c r="S42" s="3052"/>
      <c r="T42" s="3052" t="e">
        <f>IF(E1="售价",ROUND(PRODUCT(T41,AB7:AB40),0),ROUND(PRODUCT(T41,AB7:AB40),1))</f>
        <v>#DIV/0!</v>
      </c>
      <c r="U42" s="3052"/>
      <c r="V42" s="3052" t="e">
        <f>IF(E1="售价",ROUND(PRODUCT(V41,AC7:AC40),0),ROUND(PRODUCT(V41,AC7:AC40),1))</f>
        <v>#DIV/0!</v>
      </c>
      <c r="W42" s="3052"/>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6"/>
      <c r="M43" s="1257"/>
      <c r="N43" s="1257"/>
      <c r="O43" s="1257"/>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0"/>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2338</v>
      </c>
      <c r="D3" s="378">
        <f>IF(C1="仅计算典型户型",'数据-取费表'!E5,'数据-取费表'!B5)</f>
        <v>142.82</v>
      </c>
      <c r="E3" s="1092"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17" t="s">
        <v>2340</v>
      </c>
      <c r="D4" s="3018"/>
      <c r="E4" s="3019" t="s">
        <v>2341</v>
      </c>
      <c r="F4" s="3020"/>
      <c r="G4" s="3017" t="s">
        <v>2342</v>
      </c>
      <c r="H4" s="3018"/>
      <c r="I4" s="3017" t="s">
        <v>2343</v>
      </c>
      <c r="J4" s="3018"/>
      <c r="K4" s="594" t="s">
        <v>2344</v>
      </c>
      <c r="L4" s="1513"/>
      <c r="M4" s="425"/>
      <c r="N4" s="425"/>
      <c r="O4" s="425"/>
      <c r="P4" s="3021" t="s">
        <v>2345</v>
      </c>
      <c r="Q4" s="3022"/>
      <c r="R4" s="3027" t="s">
        <v>2341</v>
      </c>
      <c r="S4" s="3028"/>
      <c r="T4" s="3027" t="s">
        <v>2342</v>
      </c>
      <c r="U4" s="3028"/>
      <c r="V4" s="3037" t="s">
        <v>2343</v>
      </c>
      <c r="W4" s="3037"/>
      <c r="X4" s="1900"/>
      <c r="Y4" s="3027" t="s">
        <v>2345</v>
      </c>
      <c r="Z4" s="3028"/>
      <c r="AA4" s="3014" t="s">
        <v>2341</v>
      </c>
      <c r="AB4" s="3015" t="s">
        <v>2342</v>
      </c>
      <c r="AC4" s="3014" t="s">
        <v>2343</v>
      </c>
    </row>
    <row r="5" spans="1:29" ht="15">
      <c r="A5" s="383"/>
      <c r="B5" s="384"/>
      <c r="C5" s="3059" t="s">
        <v>2346</v>
      </c>
      <c r="D5" s="3032"/>
      <c r="E5" s="3060" t="s">
        <v>2347</v>
      </c>
      <c r="F5" s="3061"/>
      <c r="G5" s="3059" t="s">
        <v>2348</v>
      </c>
      <c r="H5" s="3032"/>
      <c r="I5" s="3059" t="s">
        <v>2349</v>
      </c>
      <c r="J5" s="3032"/>
      <c r="K5" s="594"/>
      <c r="L5" s="1513"/>
      <c r="M5" s="425"/>
      <c r="N5" s="425"/>
      <c r="O5" s="425"/>
      <c r="P5" s="3023"/>
      <c r="Q5" s="3024"/>
      <c r="R5" s="3029"/>
      <c r="S5" s="3030"/>
      <c r="T5" s="3029"/>
      <c r="U5" s="3030"/>
      <c r="V5" s="3037"/>
      <c r="W5" s="3037"/>
      <c r="X5" s="1900"/>
      <c r="Y5" s="3029"/>
      <c r="Z5" s="3030"/>
      <c r="AA5" s="3015"/>
      <c r="AB5" s="3015"/>
      <c r="AC5" s="3015"/>
    </row>
    <row r="6" spans="1:29" ht="15.75" thickBot="1">
      <c r="A6" s="385"/>
      <c r="B6" s="386"/>
      <c r="C6" s="3058" t="s">
        <v>2350</v>
      </c>
      <c r="D6" s="3034"/>
      <c r="E6" s="3062" t="s">
        <v>2350</v>
      </c>
      <c r="F6" s="3063"/>
      <c r="G6" s="3058" t="s">
        <v>2350</v>
      </c>
      <c r="H6" s="3034"/>
      <c r="I6" s="3058" t="s">
        <v>2350</v>
      </c>
      <c r="J6" s="3034"/>
      <c r="K6" s="594" t="s">
        <v>2351</v>
      </c>
      <c r="L6" s="1513"/>
      <c r="M6" s="425"/>
      <c r="N6" s="425"/>
      <c r="O6" s="425"/>
      <c r="P6" s="3025"/>
      <c r="Q6" s="3026"/>
      <c r="R6" s="3029"/>
      <c r="S6" s="3030"/>
      <c r="T6" s="3035"/>
      <c r="U6" s="3036"/>
      <c r="V6" s="3037"/>
      <c r="W6" s="3037"/>
      <c r="X6" s="1900"/>
      <c r="Y6" s="3035"/>
      <c r="Z6" s="3036"/>
      <c r="AA6" s="3016"/>
      <c r="AB6" s="3016"/>
      <c r="AC6" s="3016"/>
    </row>
    <row r="7" spans="1:29" s="35" customFormat="1" ht="15.75" thickBot="1">
      <c r="A7" s="387" t="s">
        <v>2352</v>
      </c>
      <c r="B7" s="388"/>
      <c r="C7" s="389">
        <f>'数据-取费表'!B2</f>
        <v>43074</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8" t="s">
        <v>2353</v>
      </c>
      <c r="Q7" s="3039"/>
      <c r="R7" s="749" t="s">
        <v>25</v>
      </c>
      <c r="S7" s="750">
        <f t="shared" ref="S7:S14" si="0">F7</f>
        <v>0</v>
      </c>
      <c r="T7" s="749" t="s">
        <v>25</v>
      </c>
      <c r="U7" s="750">
        <f t="shared" ref="U7:U14" si="1">H7</f>
        <v>0</v>
      </c>
      <c r="V7" s="749" t="s">
        <v>25</v>
      </c>
      <c r="W7" s="750">
        <f t="shared" ref="W7:W14" si="2">J7</f>
        <v>0</v>
      </c>
      <c r="X7" s="751"/>
      <c r="Y7" s="3038" t="s">
        <v>2353</v>
      </c>
      <c r="Z7" s="3040"/>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8" t="s">
        <v>2356</v>
      </c>
      <c r="Q8" s="3040"/>
      <c r="R8" s="749" t="s">
        <v>25</v>
      </c>
      <c r="S8" s="750">
        <f t="shared" si="0"/>
        <v>0</v>
      </c>
      <c r="T8" s="749" t="s">
        <v>25</v>
      </c>
      <c r="U8" s="750">
        <f t="shared" si="1"/>
        <v>0</v>
      </c>
      <c r="V8" s="749" t="s">
        <v>25</v>
      </c>
      <c r="W8" s="750">
        <f t="shared" si="2"/>
        <v>0</v>
      </c>
      <c r="X8" s="751"/>
      <c r="Y8" s="3038" t="s">
        <v>2356</v>
      </c>
      <c r="Z8" s="3040"/>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85.5">
      <c r="A14" s="380" t="s">
        <v>2363</v>
      </c>
      <c r="B14" s="613" t="s">
        <v>2507</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44" t="s">
        <v>2364</v>
      </c>
      <c r="Q14" s="1899" t="str">
        <f t="shared" si="6"/>
        <v>交通便捷度</v>
      </c>
      <c r="R14" s="753" t="s">
        <v>25</v>
      </c>
      <c r="S14" s="754">
        <f t="shared" si="0"/>
        <v>100</v>
      </c>
      <c r="T14" s="753" t="s">
        <v>25</v>
      </c>
      <c r="U14" s="754">
        <f t="shared" si="1"/>
        <v>100</v>
      </c>
      <c r="V14" s="753" t="s">
        <v>25</v>
      </c>
      <c r="W14" s="754">
        <f t="shared" si="2"/>
        <v>100</v>
      </c>
      <c r="X14" s="1900"/>
      <c r="Y14" s="3044" t="s">
        <v>2364</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45"/>
      <c r="Q15" s="1899"/>
      <c r="R15" s="753"/>
      <c r="S15" s="754"/>
      <c r="T15" s="753"/>
      <c r="U15" s="754"/>
      <c r="V15" s="753"/>
      <c r="W15" s="754"/>
      <c r="X15" s="1900"/>
      <c r="Y15" s="3045"/>
      <c r="Z15" s="1902"/>
      <c r="AA15" s="1903">
        <v>1</v>
      </c>
      <c r="AB15" s="1903">
        <v>1</v>
      </c>
      <c r="AC15" s="1903">
        <v>1</v>
      </c>
    </row>
    <row r="16" spans="1:29" ht="42.75">
      <c r="A16" s="383"/>
      <c r="B16" s="615" t="s">
        <v>2479</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45"/>
      <c r="Q16" s="1899" t="str">
        <f>B16</f>
        <v>公共配套设施</v>
      </c>
      <c r="R16" s="753" t="s">
        <v>25</v>
      </c>
      <c r="S16" s="754">
        <f>F16</f>
        <v>100</v>
      </c>
      <c r="T16" s="753" t="s">
        <v>25</v>
      </c>
      <c r="U16" s="754">
        <f>H16</f>
        <v>100</v>
      </c>
      <c r="V16" s="753" t="s">
        <v>25</v>
      </c>
      <c r="W16" s="754">
        <f>J16</f>
        <v>100</v>
      </c>
      <c r="X16" s="1900"/>
      <c r="Y16" s="3045"/>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45"/>
      <c r="Q17" s="1899"/>
      <c r="R17" s="753"/>
      <c r="S17" s="754"/>
      <c r="T17" s="753"/>
      <c r="U17" s="754"/>
      <c r="V17" s="753"/>
      <c r="W17" s="754"/>
      <c r="X17" s="1900"/>
      <c r="Y17" s="3045"/>
      <c r="Z17" s="1902"/>
      <c r="AA17" s="1903">
        <v>1</v>
      </c>
      <c r="AB17" s="1903">
        <v>1</v>
      </c>
      <c r="AC17" s="1903">
        <v>1</v>
      </c>
    </row>
    <row r="18" spans="1:29" ht="28.5">
      <c r="A18" s="383"/>
      <c r="B18" s="617" t="s">
        <v>2480</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45"/>
      <c r="Q18" s="1899" t="str">
        <f>B18</f>
        <v>基础设施水平</v>
      </c>
      <c r="R18" s="753" t="s">
        <v>25</v>
      </c>
      <c r="S18" s="754">
        <f>F18</f>
        <v>100</v>
      </c>
      <c r="T18" s="753" t="s">
        <v>25</v>
      </c>
      <c r="U18" s="754">
        <f>H18</f>
        <v>100</v>
      </c>
      <c r="V18" s="753" t="s">
        <v>25</v>
      </c>
      <c r="W18" s="754">
        <f>J18</f>
        <v>100</v>
      </c>
      <c r="X18" s="1900"/>
      <c r="Y18" s="3045"/>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45"/>
      <c r="Q19" s="1899"/>
      <c r="R19" s="753"/>
      <c r="S19" s="754"/>
      <c r="T19" s="753"/>
      <c r="U19" s="754"/>
      <c r="V19" s="753"/>
      <c r="W19" s="754"/>
      <c r="X19" s="1900"/>
      <c r="Y19" s="3045"/>
      <c r="Z19" s="1902"/>
      <c r="AA19" s="1903">
        <v>1</v>
      </c>
      <c r="AB19" s="1903">
        <v>1</v>
      </c>
      <c r="AC19" s="1903">
        <v>1</v>
      </c>
    </row>
    <row r="20" spans="1:29" ht="57">
      <c r="A20" s="383"/>
      <c r="B20" s="615" t="s">
        <v>2508</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45"/>
      <c r="Q20" s="1899" t="str">
        <f>B20</f>
        <v>自然及人文环境</v>
      </c>
      <c r="R20" s="753" t="s">
        <v>25</v>
      </c>
      <c r="S20" s="754">
        <f>F20</f>
        <v>100</v>
      </c>
      <c r="T20" s="753" t="s">
        <v>25</v>
      </c>
      <c r="U20" s="754">
        <f>H20</f>
        <v>100</v>
      </c>
      <c r="V20" s="753" t="s">
        <v>25</v>
      </c>
      <c r="W20" s="754">
        <f>J20</f>
        <v>100</v>
      </c>
      <c r="X20" s="1900"/>
      <c r="Y20" s="3045"/>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45"/>
      <c r="Q21" s="1899"/>
      <c r="R21" s="753"/>
      <c r="S21" s="754"/>
      <c r="T21" s="753"/>
      <c r="U21" s="754"/>
      <c r="V21" s="753"/>
      <c r="W21" s="754"/>
      <c r="X21" s="1900"/>
      <c r="Y21" s="3045"/>
      <c r="Z21" s="1902"/>
      <c r="AA21" s="1903">
        <v>1</v>
      </c>
      <c r="AB21" s="1903">
        <v>1</v>
      </c>
      <c r="AC21" s="1903">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45"/>
      <c r="Q22" s="1899" t="str">
        <f>B22</f>
        <v>楼层</v>
      </c>
      <c r="R22" s="753" t="s">
        <v>25</v>
      </c>
      <c r="S22" s="754">
        <f>F22</f>
        <v>100</v>
      </c>
      <c r="T22" s="753" t="s">
        <v>25</v>
      </c>
      <c r="U22" s="754">
        <f>H22</f>
        <v>100</v>
      </c>
      <c r="V22" s="753" t="s">
        <v>25</v>
      </c>
      <c r="W22" s="754">
        <f>J22</f>
        <v>100</v>
      </c>
      <c r="X22" s="1900"/>
      <c r="Y22" s="3045"/>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45"/>
      <c r="Q23" s="1899">
        <f>B23</f>
        <v>111</v>
      </c>
      <c r="R23" s="753" t="s">
        <v>25</v>
      </c>
      <c r="S23" s="754">
        <f>F23</f>
        <v>100</v>
      </c>
      <c r="T23" s="753" t="s">
        <v>25</v>
      </c>
      <c r="U23" s="754">
        <f>H23</f>
        <v>100</v>
      </c>
      <c r="V23" s="753" t="s">
        <v>25</v>
      </c>
      <c r="W23" s="754">
        <f>J23</f>
        <v>100</v>
      </c>
      <c r="X23" s="1900"/>
      <c r="Y23" s="3045"/>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45"/>
      <c r="Q24" s="1899">
        <f t="shared" ref="Q24:Q36" si="11">B24</f>
        <v>111</v>
      </c>
      <c r="R24" s="753" t="s">
        <v>25</v>
      </c>
      <c r="S24" s="754">
        <f>F24</f>
        <v>100</v>
      </c>
      <c r="T24" s="753" t="s">
        <v>25</v>
      </c>
      <c r="U24" s="754">
        <f>H24</f>
        <v>100</v>
      </c>
      <c r="V24" s="753" t="s">
        <v>25</v>
      </c>
      <c r="W24" s="754">
        <f>J24</f>
        <v>100</v>
      </c>
      <c r="X24" s="1900"/>
      <c r="Y24" s="3045"/>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5"/>
      <c r="Q25" s="1887">
        <f t="shared" si="11"/>
        <v>111</v>
      </c>
      <c r="R25" s="749" t="s">
        <v>25</v>
      </c>
      <c r="S25" s="750">
        <f>F25</f>
        <v>100</v>
      </c>
      <c r="T25" s="749" t="s">
        <v>25</v>
      </c>
      <c r="U25" s="750">
        <f>H25</f>
        <v>100</v>
      </c>
      <c r="V25" s="749" t="s">
        <v>25</v>
      </c>
      <c r="W25" s="750">
        <f>J25</f>
        <v>100</v>
      </c>
      <c r="X25" s="751"/>
      <c r="Y25" s="3045"/>
      <c r="Z25" s="23">
        <f>Q25</f>
        <v>111</v>
      </c>
      <c r="AA25" s="1903">
        <f>D25/F25</f>
        <v>1</v>
      </c>
      <c r="AB25" s="1903">
        <f>D25/H25</f>
        <v>1</v>
      </c>
      <c r="AC25" s="1903">
        <f>D25/J25</f>
        <v>1</v>
      </c>
    </row>
    <row r="26" spans="1:29" ht="15">
      <c r="A26" s="635" t="s">
        <v>2368</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71"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9"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9"/>
      <c r="Q27" s="755" t="str">
        <f t="shared" si="11"/>
        <v>项目停车位配比</v>
      </c>
      <c r="R27" s="756" t="s">
        <v>25</v>
      </c>
      <c r="S27" s="757">
        <f t="shared" si="12"/>
        <v>100</v>
      </c>
      <c r="T27" s="756" t="s">
        <v>25</v>
      </c>
      <c r="U27" s="757">
        <f t="shared" si="13"/>
        <v>100</v>
      </c>
      <c r="V27" s="756" t="s">
        <v>25</v>
      </c>
      <c r="W27" s="757">
        <f t="shared" si="14"/>
        <v>100</v>
      </c>
      <c r="X27" s="758"/>
      <c r="Y27" s="3049"/>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49"/>
      <c r="Q28" s="1899" t="str">
        <f t="shared" si="11"/>
        <v>公共部分装修</v>
      </c>
      <c r="R28" s="753" t="s">
        <v>25</v>
      </c>
      <c r="S28" s="754">
        <f t="shared" si="12"/>
        <v>100</v>
      </c>
      <c r="T28" s="753" t="s">
        <v>25</v>
      </c>
      <c r="U28" s="754">
        <f t="shared" si="13"/>
        <v>100</v>
      </c>
      <c r="V28" s="753" t="s">
        <v>25</v>
      </c>
      <c r="W28" s="754">
        <f t="shared" si="14"/>
        <v>100</v>
      </c>
      <c r="X28" s="1900"/>
      <c r="Y28" s="3049"/>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49"/>
      <c r="Q29" s="1899" t="str">
        <f t="shared" si="11"/>
        <v>成新率</v>
      </c>
      <c r="R29" s="753" t="s">
        <v>25</v>
      </c>
      <c r="S29" s="754" t="e">
        <f t="shared" si="12"/>
        <v>#N/A</v>
      </c>
      <c r="T29" s="753" t="s">
        <v>25</v>
      </c>
      <c r="U29" s="754" t="e">
        <f t="shared" si="13"/>
        <v>#N/A</v>
      </c>
      <c r="V29" s="753" t="s">
        <v>25</v>
      </c>
      <c r="W29" s="754" t="e">
        <f t="shared" si="14"/>
        <v>#N/A</v>
      </c>
      <c r="X29" s="1900"/>
      <c r="Y29" s="3049"/>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49"/>
      <c r="Q30" s="1899" t="str">
        <f t="shared" si="11"/>
        <v>物业等级</v>
      </c>
      <c r="R30" s="753" t="s">
        <v>25</v>
      </c>
      <c r="S30" s="754">
        <f t="shared" si="12"/>
        <v>100</v>
      </c>
      <c r="T30" s="753" t="s">
        <v>25</v>
      </c>
      <c r="U30" s="754">
        <f t="shared" si="13"/>
        <v>100</v>
      </c>
      <c r="V30" s="753" t="s">
        <v>25</v>
      </c>
      <c r="W30" s="754">
        <f t="shared" si="14"/>
        <v>100</v>
      </c>
      <c r="X30" s="1900"/>
      <c r="Y30" s="3049"/>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9"/>
      <c r="Q31" s="1887" t="str">
        <f t="shared" si="11"/>
        <v>停车位面积</v>
      </c>
      <c r="R31" s="749" t="s">
        <v>25</v>
      </c>
      <c r="S31" s="750" t="e">
        <f t="shared" si="12"/>
        <v>#N/A</v>
      </c>
      <c r="T31" s="749" t="s">
        <v>25</v>
      </c>
      <c r="U31" s="750" t="e">
        <f t="shared" si="13"/>
        <v>#N/A</v>
      </c>
      <c r="V31" s="749" t="s">
        <v>25</v>
      </c>
      <c r="W31" s="750" t="e">
        <f t="shared" si="14"/>
        <v>#N/A</v>
      </c>
      <c r="X31" s="751"/>
      <c r="Y31" s="304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49" t="s">
        <v>2370</v>
      </c>
      <c r="Q32" s="1899" t="str">
        <f t="shared" si="11"/>
        <v>车位类型</v>
      </c>
      <c r="R32" s="753" t="s">
        <v>25</v>
      </c>
      <c r="S32" s="754">
        <f t="shared" si="12"/>
        <v>100</v>
      </c>
      <c r="T32" s="753" t="s">
        <v>25</v>
      </c>
      <c r="U32" s="754">
        <f t="shared" si="13"/>
        <v>100</v>
      </c>
      <c r="V32" s="753" t="s">
        <v>25</v>
      </c>
      <c r="W32" s="754">
        <f t="shared" si="14"/>
        <v>100</v>
      </c>
      <c r="X32" s="1900"/>
      <c r="Y32" s="3049"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49"/>
      <c r="Q33" s="1899" t="str">
        <f t="shared" si="11"/>
        <v>是否直接入户</v>
      </c>
      <c r="R33" s="753" t="s">
        <v>25</v>
      </c>
      <c r="S33" s="754">
        <f t="shared" si="12"/>
        <v>100</v>
      </c>
      <c r="T33" s="753" t="s">
        <v>25</v>
      </c>
      <c r="U33" s="754">
        <f t="shared" si="13"/>
        <v>100</v>
      </c>
      <c r="V33" s="753" t="s">
        <v>25</v>
      </c>
      <c r="W33" s="754">
        <f t="shared" si="14"/>
        <v>100</v>
      </c>
      <c r="X33" s="1900"/>
      <c r="Y33" s="304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49"/>
      <c r="Q34" s="1899">
        <f t="shared" si="11"/>
        <v>111</v>
      </c>
      <c r="R34" s="753" t="s">
        <v>25</v>
      </c>
      <c r="S34" s="754">
        <f t="shared" si="12"/>
        <v>100</v>
      </c>
      <c r="T34" s="753" t="s">
        <v>25</v>
      </c>
      <c r="U34" s="754">
        <f t="shared" si="13"/>
        <v>100</v>
      </c>
      <c r="V34" s="753" t="s">
        <v>25</v>
      </c>
      <c r="W34" s="754">
        <f t="shared" si="14"/>
        <v>100</v>
      </c>
      <c r="X34" s="1900"/>
      <c r="Y34" s="304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9"/>
      <c r="Q35" s="755">
        <f t="shared" si="11"/>
        <v>111</v>
      </c>
      <c r="R35" s="756" t="s">
        <v>25</v>
      </c>
      <c r="S35" s="757">
        <f t="shared" si="12"/>
        <v>100</v>
      </c>
      <c r="T35" s="756" t="s">
        <v>25</v>
      </c>
      <c r="U35" s="757">
        <f t="shared" si="13"/>
        <v>100</v>
      </c>
      <c r="V35" s="756" t="s">
        <v>25</v>
      </c>
      <c r="W35" s="757">
        <f t="shared" si="14"/>
        <v>100</v>
      </c>
      <c r="X35" s="758"/>
      <c r="Y35" s="304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49"/>
      <c r="Q36" s="1899">
        <f t="shared" si="11"/>
        <v>111</v>
      </c>
      <c r="R36" s="753" t="s">
        <v>25</v>
      </c>
      <c r="S36" s="754">
        <f t="shared" si="12"/>
        <v>100</v>
      </c>
      <c r="T36" s="753" t="s">
        <v>25</v>
      </c>
      <c r="U36" s="754">
        <f t="shared" si="13"/>
        <v>100</v>
      </c>
      <c r="V36" s="753" t="s">
        <v>25</v>
      </c>
      <c r="W36" s="754">
        <f t="shared" si="14"/>
        <v>100</v>
      </c>
      <c r="X36" s="1900"/>
      <c r="Y36" s="3049"/>
      <c r="Z36" s="1902">
        <f t="shared" si="15"/>
        <v>111</v>
      </c>
      <c r="AA36" s="1903">
        <f t="shared" si="3"/>
        <v>1</v>
      </c>
      <c r="AB36" s="1903">
        <f t="shared" si="4"/>
        <v>1</v>
      </c>
      <c r="AC36" s="1903">
        <f t="shared" si="5"/>
        <v>1</v>
      </c>
    </row>
    <row r="37" spans="1:29" ht="15">
      <c r="A37" s="460" t="s">
        <v>2518</v>
      </c>
      <c r="B37" s="1093" t="s">
        <v>2519</v>
      </c>
      <c r="C37" s="1501" t="s">
        <v>1</v>
      </c>
      <c r="D37" s="1502"/>
      <c r="E37" s="1503"/>
      <c r="F37" s="1504"/>
      <c r="G37" s="1505"/>
      <c r="H37" s="1506"/>
      <c r="I37" s="1503"/>
      <c r="J37" s="1506"/>
      <c r="K37" s="603"/>
      <c r="L37" s="1524"/>
      <c r="M37" s="738"/>
      <c r="N37" s="425"/>
      <c r="O37" s="738"/>
      <c r="P37" s="3051" t="str">
        <f>A37</f>
        <v>成交单价</v>
      </c>
      <c r="Q37" s="3051"/>
      <c r="R37" s="3052">
        <f>E37</f>
        <v>0</v>
      </c>
      <c r="S37" s="3052"/>
      <c r="T37" s="3052">
        <f>G37</f>
        <v>0</v>
      </c>
      <c r="U37" s="3052"/>
      <c r="V37" s="3052">
        <f>I37</f>
        <v>0</v>
      </c>
      <c r="W37" s="3052"/>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1" t="str">
        <f>A38</f>
        <v>比较价值</v>
      </c>
      <c r="Q38" s="3051"/>
      <c r="R38" s="3052" t="e">
        <f>IF(E1="售价",ROUND(PRODUCT(R37,AA7:AA36),0),ROUND(PRODUCT(R37,AA7:AA36),1))</f>
        <v>#DIV/0!</v>
      </c>
      <c r="S38" s="3052"/>
      <c r="T38" s="3052" t="e">
        <f>IF(E1="售价",ROUND(PRODUCT(T37,AB7:AB36),0),ROUND(PRODUCT(T37,AB7:AB36),1))</f>
        <v>#DIV/0!</v>
      </c>
      <c r="U38" s="3052"/>
      <c r="V38" s="3052" t="e">
        <f>IF(E1="售价",ROUND(PRODUCT(V37,AC7:AC36),0),ROUND(PRODUCT(V37,AC7:AC36),1))</f>
        <v>#DIV/0!</v>
      </c>
      <c r="W38" s="3052"/>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0"/>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2338</v>
      </c>
      <c r="D3" s="378">
        <f>IF(C1="仅计算典型户型",'数据-取费表'!E5,'数据-取费表'!B5)</f>
        <v>142.82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7" t="s">
        <v>2340</v>
      </c>
      <c r="D4" s="3018"/>
      <c r="E4" s="3019" t="s">
        <v>2341</v>
      </c>
      <c r="F4" s="3020"/>
      <c r="G4" s="3017" t="s">
        <v>2342</v>
      </c>
      <c r="H4" s="3018"/>
      <c r="I4" s="3017" t="s">
        <v>2343</v>
      </c>
      <c r="J4" s="3018"/>
      <c r="K4" s="594" t="s">
        <v>2344</v>
      </c>
      <c r="L4" s="1243"/>
      <c r="M4" s="1244"/>
      <c r="N4" s="1244"/>
      <c r="O4" s="1244"/>
      <c r="P4" s="3021" t="s">
        <v>2345</v>
      </c>
      <c r="Q4" s="3022"/>
      <c r="R4" s="3027" t="s">
        <v>2341</v>
      </c>
      <c r="S4" s="3028"/>
      <c r="T4" s="3027" t="s">
        <v>2342</v>
      </c>
      <c r="U4" s="3028"/>
      <c r="V4" s="3037" t="s">
        <v>2343</v>
      </c>
      <c r="W4" s="3037"/>
      <c r="X4" s="1900"/>
      <c r="Y4" s="3027" t="s">
        <v>2345</v>
      </c>
      <c r="Z4" s="3028"/>
      <c r="AA4" s="3014" t="s">
        <v>2341</v>
      </c>
      <c r="AB4" s="3015" t="s">
        <v>2342</v>
      </c>
      <c r="AC4" s="3014" t="s">
        <v>2343</v>
      </c>
    </row>
    <row r="5" spans="1:29" ht="15">
      <c r="A5" s="383"/>
      <c r="B5" s="384"/>
      <c r="C5" s="3059" t="s">
        <v>2346</v>
      </c>
      <c r="D5" s="3032"/>
      <c r="E5" s="3060" t="s">
        <v>2347</v>
      </c>
      <c r="F5" s="3061"/>
      <c r="G5" s="3059" t="s">
        <v>2348</v>
      </c>
      <c r="H5" s="3032"/>
      <c r="I5" s="3059" t="s">
        <v>2349</v>
      </c>
      <c r="J5" s="3032"/>
      <c r="K5" s="594"/>
      <c r="L5" s="1243"/>
      <c r="M5" s="1244"/>
      <c r="N5" s="1244"/>
      <c r="O5" s="1244"/>
      <c r="P5" s="3023"/>
      <c r="Q5" s="3024"/>
      <c r="R5" s="3029"/>
      <c r="S5" s="3030"/>
      <c r="T5" s="3029"/>
      <c r="U5" s="3030"/>
      <c r="V5" s="3037"/>
      <c r="W5" s="3037"/>
      <c r="X5" s="1900"/>
      <c r="Y5" s="3029"/>
      <c r="Z5" s="3030"/>
      <c r="AA5" s="3015"/>
      <c r="AB5" s="3015"/>
      <c r="AC5" s="3015"/>
    </row>
    <row r="6" spans="1:29" ht="15.75" thickBot="1">
      <c r="A6" s="385"/>
      <c r="B6" s="386"/>
      <c r="C6" s="3058" t="s">
        <v>2350</v>
      </c>
      <c r="D6" s="3034"/>
      <c r="E6" s="3062" t="s">
        <v>2350</v>
      </c>
      <c r="F6" s="3063"/>
      <c r="G6" s="3058" t="s">
        <v>2350</v>
      </c>
      <c r="H6" s="3034"/>
      <c r="I6" s="3058" t="s">
        <v>2350</v>
      </c>
      <c r="J6" s="3034"/>
      <c r="K6" s="594" t="s">
        <v>2351</v>
      </c>
      <c r="L6" s="1243"/>
      <c r="M6" s="1244"/>
      <c r="N6" s="1244"/>
      <c r="O6" s="1244"/>
      <c r="P6" s="3025"/>
      <c r="Q6" s="3026"/>
      <c r="R6" s="3029"/>
      <c r="S6" s="3030"/>
      <c r="T6" s="3035"/>
      <c r="U6" s="3036"/>
      <c r="V6" s="3037"/>
      <c r="W6" s="3037"/>
      <c r="X6" s="1900"/>
      <c r="Y6" s="3035"/>
      <c r="Z6" s="3036"/>
      <c r="AA6" s="3016"/>
      <c r="AB6" s="3016"/>
      <c r="AC6" s="3016"/>
    </row>
    <row r="7" spans="1:29" s="35" customFormat="1" ht="15.75" thickBot="1">
      <c r="A7" s="387" t="s">
        <v>2352</v>
      </c>
      <c r="B7" s="388"/>
      <c r="C7" s="389">
        <f>'数据-取费表'!B2</f>
        <v>43074</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38" t="s">
        <v>2353</v>
      </c>
      <c r="Q7" s="3039"/>
      <c r="R7" s="749" t="s">
        <v>25</v>
      </c>
      <c r="S7" s="750">
        <f t="shared" ref="S7:S14" si="0">F7</f>
        <v>0</v>
      </c>
      <c r="T7" s="749" t="s">
        <v>25</v>
      </c>
      <c r="U7" s="750">
        <f t="shared" ref="U7:U14" si="1">H7</f>
        <v>0</v>
      </c>
      <c r="V7" s="749" t="s">
        <v>25</v>
      </c>
      <c r="W7" s="750">
        <f t="shared" ref="W7:W14" si="2">J7</f>
        <v>0</v>
      </c>
      <c r="X7" s="751"/>
      <c r="Y7" s="3038" t="s">
        <v>2353</v>
      </c>
      <c r="Z7" s="3040"/>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8" t="s">
        <v>2356</v>
      </c>
      <c r="Q8" s="3040"/>
      <c r="R8" s="749" t="s">
        <v>25</v>
      </c>
      <c r="S8" s="750">
        <f t="shared" si="0"/>
        <v>0</v>
      </c>
      <c r="T8" s="749" t="s">
        <v>25</v>
      </c>
      <c r="U8" s="750">
        <f t="shared" si="1"/>
        <v>0</v>
      </c>
      <c r="V8" s="749" t="s">
        <v>25</v>
      </c>
      <c r="W8" s="750">
        <f t="shared" si="2"/>
        <v>0</v>
      </c>
      <c r="X8" s="751"/>
      <c r="Y8" s="3038" t="s">
        <v>2356</v>
      </c>
      <c r="Z8" s="3040"/>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85.5">
      <c r="A14" s="419" t="s">
        <v>2363</v>
      </c>
      <c r="B14" s="26" t="s">
        <v>2507</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4" t="s">
        <v>2364</v>
      </c>
      <c r="Q14" s="1899" t="str">
        <f t="shared" si="6"/>
        <v>交通便捷度</v>
      </c>
      <c r="R14" s="753" t="s">
        <v>25</v>
      </c>
      <c r="S14" s="754">
        <f t="shared" si="0"/>
        <v>100</v>
      </c>
      <c r="T14" s="753" t="s">
        <v>25</v>
      </c>
      <c r="U14" s="754">
        <f t="shared" si="1"/>
        <v>100</v>
      </c>
      <c r="V14" s="753" t="s">
        <v>25</v>
      </c>
      <c r="W14" s="754">
        <f t="shared" si="2"/>
        <v>100</v>
      </c>
      <c r="X14" s="1900"/>
      <c r="Y14" s="3044"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5"/>
      <c r="Q15" s="1899"/>
      <c r="R15" s="753"/>
      <c r="S15" s="754"/>
      <c r="T15" s="753"/>
      <c r="U15" s="754"/>
      <c r="V15" s="753"/>
      <c r="W15" s="754"/>
      <c r="X15" s="1900"/>
      <c r="Y15" s="3045"/>
      <c r="Z15" s="1902"/>
      <c r="AA15" s="1903">
        <v>1</v>
      </c>
      <c r="AB15" s="1903">
        <v>1</v>
      </c>
      <c r="AC15" s="1903">
        <v>1</v>
      </c>
    </row>
    <row r="16" spans="1:29" ht="42.75">
      <c r="A16" s="408"/>
      <c r="B16" s="615" t="s">
        <v>2479</v>
      </c>
      <c r="C16" s="2404"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5"/>
      <c r="Q16" s="1899" t="str">
        <f>B16</f>
        <v>公共配套设施</v>
      </c>
      <c r="R16" s="753" t="s">
        <v>25</v>
      </c>
      <c r="S16" s="754">
        <f>F16</f>
        <v>100</v>
      </c>
      <c r="T16" s="753" t="s">
        <v>25</v>
      </c>
      <c r="U16" s="754">
        <f>H16</f>
        <v>100</v>
      </c>
      <c r="V16" s="753" t="s">
        <v>25</v>
      </c>
      <c r="W16" s="754">
        <f>J16</f>
        <v>100</v>
      </c>
      <c r="X16" s="1900"/>
      <c r="Y16" s="304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5"/>
      <c r="Q17" s="1899"/>
      <c r="R17" s="753"/>
      <c r="S17" s="754"/>
      <c r="T17" s="753"/>
      <c r="U17" s="754"/>
      <c r="V17" s="753"/>
      <c r="W17" s="754"/>
      <c r="X17" s="1900"/>
      <c r="Y17" s="3045"/>
      <c r="Z17" s="1902"/>
      <c r="AA17" s="1903">
        <v>1</v>
      </c>
      <c r="AB17" s="1903">
        <v>1</v>
      </c>
      <c r="AC17" s="1903">
        <v>1</v>
      </c>
    </row>
    <row r="18" spans="1:29" ht="28.5">
      <c r="A18" s="408"/>
      <c r="B18" s="617" t="s">
        <v>2480</v>
      </c>
      <c r="C18" s="2404"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5"/>
      <c r="Q18" s="1899" t="str">
        <f>B18</f>
        <v>基础设施水平</v>
      </c>
      <c r="R18" s="753" t="s">
        <v>25</v>
      </c>
      <c r="S18" s="754">
        <f>F18</f>
        <v>100</v>
      </c>
      <c r="T18" s="753" t="s">
        <v>25</v>
      </c>
      <c r="U18" s="754">
        <f>H18</f>
        <v>100</v>
      </c>
      <c r="V18" s="753" t="s">
        <v>25</v>
      </c>
      <c r="W18" s="754">
        <f>J18</f>
        <v>100</v>
      </c>
      <c r="X18" s="1900"/>
      <c r="Y18" s="304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3"/>
      <c r="M19" s="1244"/>
      <c r="N19" s="1244"/>
      <c r="O19" s="1252"/>
      <c r="P19" s="3045"/>
      <c r="Q19" s="1899"/>
      <c r="R19" s="753"/>
      <c r="S19" s="754"/>
      <c r="T19" s="753"/>
      <c r="U19" s="754"/>
      <c r="V19" s="753"/>
      <c r="W19" s="754"/>
      <c r="X19" s="1900"/>
      <c r="Y19" s="3045"/>
      <c r="Z19" s="1902"/>
      <c r="AA19" s="1903">
        <v>1</v>
      </c>
      <c r="AB19" s="1903">
        <v>1</v>
      </c>
      <c r="AC19" s="1903">
        <v>1</v>
      </c>
    </row>
    <row r="20" spans="1:29" ht="57">
      <c r="A20" s="408"/>
      <c r="B20" s="431" t="s">
        <v>2508</v>
      </c>
      <c r="C20" s="2404"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5"/>
      <c r="Q20" s="1899" t="str">
        <f>B20</f>
        <v>自然及人文环境</v>
      </c>
      <c r="R20" s="753" t="s">
        <v>25</v>
      </c>
      <c r="S20" s="754">
        <f>F20</f>
        <v>100</v>
      </c>
      <c r="T20" s="753" t="s">
        <v>25</v>
      </c>
      <c r="U20" s="754">
        <f>H20</f>
        <v>100</v>
      </c>
      <c r="V20" s="753" t="s">
        <v>25</v>
      </c>
      <c r="W20" s="754">
        <f>J20</f>
        <v>100</v>
      </c>
      <c r="X20" s="1900"/>
      <c r="Y20" s="304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5"/>
      <c r="Q21" s="1899"/>
      <c r="R21" s="753"/>
      <c r="S21" s="754"/>
      <c r="T21" s="753"/>
      <c r="U21" s="754"/>
      <c r="V21" s="753"/>
      <c r="W21" s="754"/>
      <c r="X21" s="1900"/>
      <c r="Y21" s="3045"/>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5"/>
      <c r="Q22" s="1899" t="str">
        <f>B22</f>
        <v>楼层</v>
      </c>
      <c r="R22" s="753" t="s">
        <v>25</v>
      </c>
      <c r="S22" s="754">
        <f>F22</f>
        <v>100</v>
      </c>
      <c r="T22" s="753" t="s">
        <v>25</v>
      </c>
      <c r="U22" s="754">
        <f>H22</f>
        <v>100</v>
      </c>
      <c r="V22" s="753" t="s">
        <v>25</v>
      </c>
      <c r="W22" s="754">
        <f>J22</f>
        <v>100</v>
      </c>
      <c r="X22" s="1900"/>
      <c r="Y22" s="3045"/>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5"/>
      <c r="Q23" s="1899">
        <f>B23</f>
        <v>111</v>
      </c>
      <c r="R23" s="753" t="s">
        <v>25</v>
      </c>
      <c r="S23" s="754">
        <f>F23</f>
        <v>100</v>
      </c>
      <c r="T23" s="753" t="s">
        <v>25</v>
      </c>
      <c r="U23" s="754">
        <f>H23</f>
        <v>100</v>
      </c>
      <c r="V23" s="753" t="s">
        <v>25</v>
      </c>
      <c r="W23" s="754">
        <f>J23</f>
        <v>100</v>
      </c>
      <c r="X23" s="1900"/>
      <c r="Y23" s="3045"/>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5"/>
      <c r="Q24" s="1899">
        <f t="shared" ref="Q24:Q34" si="11">B24</f>
        <v>111</v>
      </c>
      <c r="R24" s="753" t="s">
        <v>25</v>
      </c>
      <c r="S24" s="754">
        <f>F24</f>
        <v>100</v>
      </c>
      <c r="T24" s="753" t="s">
        <v>25</v>
      </c>
      <c r="U24" s="754">
        <f>H24</f>
        <v>100</v>
      </c>
      <c r="V24" s="753" t="s">
        <v>25</v>
      </c>
      <c r="W24" s="754">
        <f>J24</f>
        <v>100</v>
      </c>
      <c r="X24" s="1900"/>
      <c r="Y24" s="3045"/>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45"/>
      <c r="Q25" s="1887">
        <f t="shared" si="11"/>
        <v>111</v>
      </c>
      <c r="R25" s="749" t="s">
        <v>25</v>
      </c>
      <c r="S25" s="750">
        <f>F25</f>
        <v>100</v>
      </c>
      <c r="T25" s="749" t="s">
        <v>25</v>
      </c>
      <c r="U25" s="750">
        <f>H25</f>
        <v>100</v>
      </c>
      <c r="V25" s="749" t="s">
        <v>25</v>
      </c>
      <c r="W25" s="750">
        <f>J25</f>
        <v>100</v>
      </c>
      <c r="X25" s="751"/>
      <c r="Y25" s="3045"/>
      <c r="Z25" s="23">
        <f>Q25</f>
        <v>111</v>
      </c>
      <c r="AA25" s="1903">
        <f>D25/F25</f>
        <v>1</v>
      </c>
      <c r="AB25" s="1903">
        <f>D25/H25</f>
        <v>1</v>
      </c>
      <c r="AC25" s="1903">
        <f>D25/J25</f>
        <v>1</v>
      </c>
    </row>
    <row r="26" spans="1:29" ht="15">
      <c r="A26" s="447" t="s">
        <v>2368</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71"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9"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9"/>
      <c r="Q27" s="755" t="str">
        <f t="shared" si="11"/>
        <v>成新率</v>
      </c>
      <c r="R27" s="756" t="s">
        <v>25</v>
      </c>
      <c r="S27" s="757" t="e">
        <f t="shared" si="12"/>
        <v>#N/A</v>
      </c>
      <c r="T27" s="756" t="s">
        <v>25</v>
      </c>
      <c r="U27" s="757" t="e">
        <f t="shared" si="13"/>
        <v>#N/A</v>
      </c>
      <c r="V27" s="756" t="s">
        <v>25</v>
      </c>
      <c r="W27" s="757" t="e">
        <f t="shared" si="14"/>
        <v>#N/A</v>
      </c>
      <c r="X27" s="758"/>
      <c r="Y27" s="3049"/>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9"/>
      <c r="Q28" s="1899" t="str">
        <f t="shared" si="11"/>
        <v>物业等级</v>
      </c>
      <c r="R28" s="753" t="s">
        <v>25</v>
      </c>
      <c r="S28" s="754">
        <f t="shared" si="12"/>
        <v>100</v>
      </c>
      <c r="T28" s="753" t="s">
        <v>25</v>
      </c>
      <c r="U28" s="754">
        <f t="shared" si="13"/>
        <v>100</v>
      </c>
      <c r="V28" s="753" t="s">
        <v>25</v>
      </c>
      <c r="W28" s="754">
        <f t="shared" si="14"/>
        <v>100</v>
      </c>
      <c r="X28" s="1900"/>
      <c r="Y28" s="3049"/>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9"/>
      <c r="Q29" s="1899" t="str">
        <f t="shared" si="11"/>
        <v>有无电梯</v>
      </c>
      <c r="R29" s="753" t="s">
        <v>25</v>
      </c>
      <c r="S29" s="754">
        <f t="shared" si="12"/>
        <v>100</v>
      </c>
      <c r="T29" s="753" t="s">
        <v>25</v>
      </c>
      <c r="U29" s="754">
        <f t="shared" si="13"/>
        <v>100</v>
      </c>
      <c r="V29" s="753" t="s">
        <v>25</v>
      </c>
      <c r="W29" s="754">
        <f t="shared" si="14"/>
        <v>100</v>
      </c>
      <c r="X29" s="1900"/>
      <c r="Y29" s="3049"/>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9"/>
      <c r="Q30" s="1899" t="str">
        <f t="shared" si="11"/>
        <v>建筑面积</v>
      </c>
      <c r="R30" s="753" t="s">
        <v>25</v>
      </c>
      <c r="S30" s="754" t="e">
        <f t="shared" si="12"/>
        <v>#N/A</v>
      </c>
      <c r="T30" s="753" t="s">
        <v>25</v>
      </c>
      <c r="U30" s="754" t="e">
        <f t="shared" si="13"/>
        <v>#N/A</v>
      </c>
      <c r="V30" s="753" t="s">
        <v>25</v>
      </c>
      <c r="W30" s="754" t="e">
        <f t="shared" si="14"/>
        <v>#N/A</v>
      </c>
      <c r="X30" s="1900"/>
      <c r="Y30" s="3049"/>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9"/>
      <c r="Q31" s="1887" t="str">
        <f t="shared" si="11"/>
        <v>是否封闭</v>
      </c>
      <c r="R31" s="749" t="s">
        <v>25</v>
      </c>
      <c r="S31" s="750">
        <f t="shared" si="12"/>
        <v>100</v>
      </c>
      <c r="T31" s="749" t="s">
        <v>25</v>
      </c>
      <c r="U31" s="750">
        <f t="shared" si="13"/>
        <v>100</v>
      </c>
      <c r="V31" s="749" t="s">
        <v>25</v>
      </c>
      <c r="W31" s="750">
        <f t="shared" si="14"/>
        <v>100</v>
      </c>
      <c r="X31" s="751"/>
      <c r="Y31" s="3049"/>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9" t="s">
        <v>2370</v>
      </c>
      <c r="Q32" s="1899">
        <f t="shared" si="11"/>
        <v>111</v>
      </c>
      <c r="R32" s="753" t="s">
        <v>25</v>
      </c>
      <c r="S32" s="754">
        <f t="shared" si="12"/>
        <v>100</v>
      </c>
      <c r="T32" s="753" t="s">
        <v>25</v>
      </c>
      <c r="U32" s="754">
        <f t="shared" si="13"/>
        <v>100</v>
      </c>
      <c r="V32" s="753" t="s">
        <v>25</v>
      </c>
      <c r="W32" s="754">
        <f t="shared" si="14"/>
        <v>100</v>
      </c>
      <c r="X32" s="1900"/>
      <c r="Y32" s="3049" t="s">
        <v>2370</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9"/>
      <c r="Q33" s="1899">
        <f t="shared" si="11"/>
        <v>111</v>
      </c>
      <c r="R33" s="753" t="s">
        <v>25</v>
      </c>
      <c r="S33" s="754">
        <f t="shared" si="12"/>
        <v>100</v>
      </c>
      <c r="T33" s="753" t="s">
        <v>25</v>
      </c>
      <c r="U33" s="754">
        <f t="shared" si="13"/>
        <v>100</v>
      </c>
      <c r="V33" s="753" t="s">
        <v>25</v>
      </c>
      <c r="W33" s="754">
        <f t="shared" si="14"/>
        <v>100</v>
      </c>
      <c r="X33" s="1900"/>
      <c r="Y33" s="3049"/>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49"/>
      <c r="Q34" s="1899">
        <f t="shared" si="11"/>
        <v>111</v>
      </c>
      <c r="R34" s="753" t="s">
        <v>25</v>
      </c>
      <c r="S34" s="754">
        <f t="shared" si="12"/>
        <v>100</v>
      </c>
      <c r="T34" s="753" t="s">
        <v>25</v>
      </c>
      <c r="U34" s="754">
        <f t="shared" si="13"/>
        <v>100</v>
      </c>
      <c r="V34" s="753" t="s">
        <v>25</v>
      </c>
      <c r="W34" s="754">
        <f t="shared" si="14"/>
        <v>100</v>
      </c>
      <c r="X34" s="1900"/>
      <c r="Y34" s="3049"/>
      <c r="Z34" s="1902">
        <f t="shared" si="15"/>
        <v>111</v>
      </c>
      <c r="AA34" s="1903">
        <f t="shared" si="3"/>
        <v>1</v>
      </c>
      <c r="AB34" s="1903">
        <f t="shared" si="4"/>
        <v>1</v>
      </c>
      <c r="AC34" s="1903">
        <f t="shared" si="5"/>
        <v>1</v>
      </c>
    </row>
    <row r="35" spans="1:29" ht="15">
      <c r="A35" s="460" t="s">
        <v>2382</v>
      </c>
      <c r="B35" s="461"/>
      <c r="C35" s="1501" t="s">
        <v>1</v>
      </c>
      <c r="D35" s="1502"/>
      <c r="E35" s="1503"/>
      <c r="F35" s="1504"/>
      <c r="G35" s="1505"/>
      <c r="H35" s="1506"/>
      <c r="I35" s="1503"/>
      <c r="J35" s="1506"/>
      <c r="K35" s="762"/>
      <c r="L35" s="1256"/>
      <c r="M35" s="1257"/>
      <c r="N35" s="1244"/>
      <c r="O35" s="1257"/>
      <c r="P35" s="3051" t="str">
        <f>A35</f>
        <v>成交单价（元/平方米）</v>
      </c>
      <c r="Q35" s="3051"/>
      <c r="R35" s="3052">
        <f>E35</f>
        <v>0</v>
      </c>
      <c r="S35" s="3052"/>
      <c r="T35" s="3052">
        <f>G35</f>
        <v>0</v>
      </c>
      <c r="U35" s="3052"/>
      <c r="V35" s="3052">
        <f>I35</f>
        <v>0</v>
      </c>
      <c r="W35" s="3052"/>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6"/>
      <c r="M36" s="1257"/>
      <c r="N36" s="1244"/>
      <c r="O36" s="1257"/>
      <c r="P36" s="3051" t="str">
        <f>A36</f>
        <v>比较价值（元/平方米）</v>
      </c>
      <c r="Q36" s="3051"/>
      <c r="R36" s="3052" t="e">
        <f>IF(E1="售价",ROUND(PRODUCT(R35,AA7:AA34),0),ROUND(PRODUCT(R35,AA7:AA34),1))</f>
        <v>#DIV/0!</v>
      </c>
      <c r="S36" s="3052"/>
      <c r="T36" s="3052" t="e">
        <f>IF(E1="售价",ROUND(PRODUCT(T35,AB7:AB34),0),ROUND(PRODUCT(T35,AB7:AB34),1))</f>
        <v>#DIV/0!</v>
      </c>
      <c r="U36" s="3052"/>
      <c r="V36" s="3052" t="e">
        <f>IF(E1="售价",ROUND(PRODUCT(V35,AC7:AC34),0),ROUND(PRODUCT(V35,AC7:AC34),1))</f>
        <v>#DIV/0!</v>
      </c>
      <c r="W36" s="3052"/>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6"/>
      <c r="M37" s="1257"/>
      <c r="N37" s="1257"/>
      <c r="O37" s="1257"/>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滇虹药业集团股份有限公司：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受贵公司委托，我公司对重庆市房地产进行了预评估。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估价对象为重庆市房地产，为滇虹药业集团股份有限公司所有。根据《不动产权证书》[]，估价对象建筑面积为142.82平方米，（分摊）出让国有建设用地使用权面积为平方米。估价对象用途为住宅。</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2017年12月5日（评估专业人员实地查勘之日）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17" t="s">
        <v>2340</v>
      </c>
      <c r="D4" s="3018"/>
      <c r="E4" s="3019" t="s">
        <v>2341</v>
      </c>
      <c r="F4" s="3020"/>
      <c r="G4" s="3017" t="s">
        <v>2342</v>
      </c>
      <c r="H4" s="3018"/>
      <c r="I4" s="3017" t="s">
        <v>2343</v>
      </c>
      <c r="J4" s="3018"/>
      <c r="K4" s="594" t="s">
        <v>2344</v>
      </c>
      <c r="L4" s="1243"/>
      <c r="M4" s="1244"/>
      <c r="N4" s="1244"/>
      <c r="O4" s="1244"/>
      <c r="P4" s="3021" t="s">
        <v>2345</v>
      </c>
      <c r="Q4" s="3022"/>
      <c r="R4" s="3027" t="s">
        <v>2341</v>
      </c>
      <c r="S4" s="3028"/>
      <c r="T4" s="3027" t="s">
        <v>2342</v>
      </c>
      <c r="U4" s="3028"/>
      <c r="V4" s="3037" t="s">
        <v>2343</v>
      </c>
      <c r="W4" s="3037"/>
      <c r="X4" s="1900"/>
      <c r="Y4" s="3027" t="s">
        <v>2345</v>
      </c>
      <c r="Z4" s="3028"/>
      <c r="AA4" s="3014" t="s">
        <v>2341</v>
      </c>
      <c r="AB4" s="3015" t="s">
        <v>2342</v>
      </c>
      <c r="AC4" s="3014" t="s">
        <v>2343</v>
      </c>
    </row>
    <row r="5" spans="1:30" ht="15">
      <c r="A5" s="383"/>
      <c r="B5" s="384"/>
      <c r="C5" s="3059" t="s">
        <v>2346</v>
      </c>
      <c r="D5" s="3032"/>
      <c r="E5" s="3060" t="s">
        <v>2347</v>
      </c>
      <c r="F5" s="3061"/>
      <c r="G5" s="3059" t="s">
        <v>2348</v>
      </c>
      <c r="H5" s="3032"/>
      <c r="I5" s="3059" t="s">
        <v>2349</v>
      </c>
      <c r="J5" s="3032"/>
      <c r="K5" s="594"/>
      <c r="L5" s="1243"/>
      <c r="M5" s="1244"/>
      <c r="N5" s="1244"/>
      <c r="O5" s="1244"/>
      <c r="P5" s="3023"/>
      <c r="Q5" s="3024"/>
      <c r="R5" s="3029"/>
      <c r="S5" s="3030"/>
      <c r="T5" s="3029"/>
      <c r="U5" s="3030"/>
      <c r="V5" s="3037"/>
      <c r="W5" s="3037"/>
      <c r="X5" s="1900"/>
      <c r="Y5" s="3029"/>
      <c r="Z5" s="3030"/>
      <c r="AA5" s="3015"/>
      <c r="AB5" s="3015"/>
      <c r="AC5" s="3015"/>
    </row>
    <row r="6" spans="1:30" ht="15.75" thickBot="1">
      <c r="A6" s="385"/>
      <c r="B6" s="386"/>
      <c r="C6" s="3058" t="s">
        <v>2350</v>
      </c>
      <c r="D6" s="3034"/>
      <c r="E6" s="3062" t="s">
        <v>2350</v>
      </c>
      <c r="F6" s="3063"/>
      <c r="G6" s="3058" t="s">
        <v>2350</v>
      </c>
      <c r="H6" s="3034"/>
      <c r="I6" s="3058" t="s">
        <v>2350</v>
      </c>
      <c r="J6" s="3034"/>
      <c r="K6" s="594" t="s">
        <v>2351</v>
      </c>
      <c r="L6" s="1243"/>
      <c r="M6" s="1244"/>
      <c r="N6" s="1244"/>
      <c r="O6" s="1244"/>
      <c r="P6" s="3025"/>
      <c r="Q6" s="3026"/>
      <c r="R6" s="3029"/>
      <c r="S6" s="3030"/>
      <c r="T6" s="3035"/>
      <c r="U6" s="3036"/>
      <c r="V6" s="3037"/>
      <c r="W6" s="3037"/>
      <c r="X6" s="1900"/>
      <c r="Y6" s="3035"/>
      <c r="Z6" s="3036"/>
      <c r="AA6" s="3016"/>
      <c r="AB6" s="3016"/>
      <c r="AC6" s="3016"/>
    </row>
    <row r="7" spans="1:30" s="35" customFormat="1" ht="15.75" thickBot="1">
      <c r="A7" s="387" t="s">
        <v>2352</v>
      </c>
      <c r="B7" s="388"/>
      <c r="C7" s="389">
        <f>'数据-取费表'!B2</f>
        <v>43074</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38" t="s">
        <v>2353</v>
      </c>
      <c r="Q7" s="3039"/>
      <c r="R7" s="749" t="s">
        <v>25</v>
      </c>
      <c r="S7" s="750">
        <f t="shared" ref="S7:S15" si="0">F7</f>
        <v>0</v>
      </c>
      <c r="T7" s="749" t="s">
        <v>25</v>
      </c>
      <c r="U7" s="750">
        <f t="shared" ref="U7:U15" si="1">H7</f>
        <v>0</v>
      </c>
      <c r="V7" s="749" t="s">
        <v>25</v>
      </c>
      <c r="W7" s="750">
        <f t="shared" ref="W7:W15" si="2">J7</f>
        <v>0</v>
      </c>
      <c r="X7" s="751"/>
      <c r="Y7" s="3038" t="s">
        <v>2353</v>
      </c>
      <c r="Z7" s="3040"/>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8" t="s">
        <v>2356</v>
      </c>
      <c r="Q8" s="3040"/>
      <c r="R8" s="749" t="s">
        <v>25</v>
      </c>
      <c r="S8" s="750">
        <f t="shared" si="0"/>
        <v>0</v>
      </c>
      <c r="T8" s="749" t="s">
        <v>25</v>
      </c>
      <c r="U8" s="750">
        <f t="shared" si="1"/>
        <v>0</v>
      </c>
      <c r="V8" s="749" t="s">
        <v>25</v>
      </c>
      <c r="W8" s="750">
        <f t="shared" si="2"/>
        <v>0</v>
      </c>
      <c r="X8" s="751"/>
      <c r="Y8" s="3038" t="s">
        <v>2356</v>
      </c>
      <c r="Z8" s="3040"/>
      <c r="AA8" s="752" t="e">
        <f t="shared" ref="AA8:AA45" si="3">D8/F8</f>
        <v>#DIV/0!</v>
      </c>
      <c r="AB8" s="752" t="e">
        <f t="shared" ref="AB8:AB45" si="4">D8/H8</f>
        <v>#DIV/0!</v>
      </c>
      <c r="AC8" s="752" t="e">
        <f t="shared" ref="AC8:AC45" si="5">D8/J8</f>
        <v>#DIV/0!</v>
      </c>
    </row>
    <row r="9" spans="1:30" s="35" customFormat="1">
      <c r="A9" s="395" t="s">
        <v>2357</v>
      </c>
      <c r="B9" s="28" t="s">
        <v>2358</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5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134</v>
      </c>
      <c r="G10" s="444"/>
      <c r="H10" s="52">
        <f>ROUND(100/'数据-取费表'!B14,0)</f>
        <v>134</v>
      </c>
      <c r="I10" s="444"/>
      <c r="J10" s="52">
        <f>ROUND(100/'数据-取费表'!B14,0)</f>
        <v>134</v>
      </c>
      <c r="K10" s="655"/>
      <c r="L10" s="1248"/>
      <c r="M10" s="1249"/>
      <c r="N10" s="1249"/>
      <c r="O10" s="1250"/>
      <c r="P10" s="3051"/>
      <c r="Q10" s="1887" t="str">
        <f t="shared" si="6"/>
        <v>土地使用年限（年）</v>
      </c>
      <c r="R10" s="749" t="s">
        <v>25</v>
      </c>
      <c r="S10" s="750">
        <f t="shared" si="0"/>
        <v>134</v>
      </c>
      <c r="T10" s="749" t="s">
        <v>25</v>
      </c>
      <c r="U10" s="750">
        <f t="shared" si="1"/>
        <v>134</v>
      </c>
      <c r="V10" s="749" t="s">
        <v>25</v>
      </c>
      <c r="W10" s="750">
        <f t="shared" si="2"/>
        <v>134</v>
      </c>
      <c r="X10" s="751"/>
      <c r="Y10" s="2846"/>
      <c r="Z10" s="23" t="str">
        <f t="shared" si="7"/>
        <v>土地使用年限（年）</v>
      </c>
      <c r="AA10" s="752">
        <f t="shared" si="3"/>
        <v>0.74626865671641796</v>
      </c>
      <c r="AB10" s="752">
        <f t="shared" si="4"/>
        <v>0.74626865671641796</v>
      </c>
      <c r="AC10" s="752">
        <f t="shared" si="5"/>
        <v>0.74626865671641796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7"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99.75">
      <c r="A15" s="380" t="s">
        <v>2363</v>
      </c>
      <c r="B15" s="1486" t="s">
        <v>1739</v>
      </c>
      <c r="C15" s="2465"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4" t="s">
        <v>2364</v>
      </c>
      <c r="Q15" s="1899" t="str">
        <f t="shared" si="6"/>
        <v>居住社区成熟度</v>
      </c>
      <c r="R15" s="753" t="s">
        <v>25</v>
      </c>
      <c r="S15" s="754">
        <f t="shared" si="0"/>
        <v>100</v>
      </c>
      <c r="T15" s="753" t="s">
        <v>25</v>
      </c>
      <c r="U15" s="754">
        <f t="shared" si="1"/>
        <v>100</v>
      </c>
      <c r="V15" s="753" t="s">
        <v>25</v>
      </c>
      <c r="W15" s="754">
        <f t="shared" si="2"/>
        <v>100</v>
      </c>
      <c r="X15" s="1900"/>
      <c r="Y15" s="3044" t="s">
        <v>2364</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3"/>
      <c r="M16" s="1244"/>
      <c r="N16" s="1244"/>
      <c r="O16" s="1252"/>
      <c r="P16" s="3045"/>
      <c r="Q16" s="1899"/>
      <c r="R16" s="753"/>
      <c r="S16" s="754"/>
      <c r="T16" s="753"/>
      <c r="U16" s="754"/>
      <c r="V16" s="753"/>
      <c r="W16" s="754"/>
      <c r="X16" s="1900"/>
      <c r="Y16" s="3045"/>
      <c r="Z16" s="1902"/>
      <c r="AA16" s="1903">
        <v>1</v>
      </c>
      <c r="AB16" s="1903">
        <v>1</v>
      </c>
      <c r="AC16" s="1903">
        <v>1</v>
      </c>
    </row>
    <row r="17" spans="1:29" ht="71.25">
      <c r="A17" s="383"/>
      <c r="B17" s="1488" t="s">
        <v>2449</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5"/>
      <c r="Q17" s="1899" t="str">
        <f>B17</f>
        <v>商业繁华度</v>
      </c>
      <c r="R17" s="753" t="s">
        <v>25</v>
      </c>
      <c r="S17" s="754">
        <f>F17</f>
        <v>100</v>
      </c>
      <c r="T17" s="753" t="s">
        <v>25</v>
      </c>
      <c r="U17" s="754">
        <f>H17</f>
        <v>100</v>
      </c>
      <c r="V17" s="753" t="s">
        <v>25</v>
      </c>
      <c r="W17" s="754">
        <f>J17</f>
        <v>100</v>
      </c>
      <c r="X17" s="1900"/>
      <c r="Y17" s="3045"/>
      <c r="Z17" s="1902" t="str">
        <f>Q17</f>
        <v>商业繁华度</v>
      </c>
      <c r="AA17" s="1903">
        <f t="shared" si="3"/>
        <v>1</v>
      </c>
      <c r="AB17" s="1903">
        <f t="shared" si="4"/>
        <v>1</v>
      </c>
      <c r="AC17" s="1903">
        <f t="shared" si="5"/>
        <v>1</v>
      </c>
    </row>
    <row r="18" spans="1:29" ht="15">
      <c r="A18" s="383"/>
      <c r="B18" s="1489"/>
      <c r="C18" s="2467"/>
      <c r="D18" s="430"/>
      <c r="E18" s="1467"/>
      <c r="F18" s="430"/>
      <c r="G18" s="1467"/>
      <c r="H18" s="427"/>
      <c r="I18" s="2405"/>
      <c r="J18" s="427"/>
      <c r="K18" s="655"/>
      <c r="L18" s="1253"/>
      <c r="M18" s="1244"/>
      <c r="N18" s="1244"/>
      <c r="O18" s="1252"/>
      <c r="P18" s="3045"/>
      <c r="Q18" s="1899"/>
      <c r="R18" s="753"/>
      <c r="S18" s="754"/>
      <c r="T18" s="753"/>
      <c r="U18" s="754"/>
      <c r="V18" s="753"/>
      <c r="W18" s="754"/>
      <c r="X18" s="1900"/>
      <c r="Y18" s="3045"/>
      <c r="Z18" s="1902"/>
      <c r="AA18" s="1903">
        <v>1</v>
      </c>
      <c r="AB18" s="1903">
        <v>1</v>
      </c>
      <c r="AC18" s="1903">
        <v>1</v>
      </c>
    </row>
    <row r="19" spans="1:29" ht="71.25">
      <c r="A19" s="383"/>
      <c r="B19" s="1488"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5"/>
      <c r="Q19" s="1899" t="str">
        <f>B19</f>
        <v>办公集聚程度</v>
      </c>
      <c r="R19" s="753" t="s">
        <v>25</v>
      </c>
      <c r="S19" s="754">
        <f>F19</f>
        <v>100</v>
      </c>
      <c r="T19" s="753" t="s">
        <v>25</v>
      </c>
      <c r="U19" s="754">
        <f>H19</f>
        <v>100</v>
      </c>
      <c r="V19" s="753" t="s">
        <v>25</v>
      </c>
      <c r="W19" s="754">
        <f>J19</f>
        <v>100</v>
      </c>
      <c r="X19" s="1900"/>
      <c r="Y19" s="3045"/>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3"/>
      <c r="M20" s="1244"/>
      <c r="N20" s="1244"/>
      <c r="O20" s="1252"/>
      <c r="P20" s="3045"/>
      <c r="Q20" s="1899"/>
      <c r="R20" s="753"/>
      <c r="S20" s="754"/>
      <c r="T20" s="753"/>
      <c r="U20" s="754"/>
      <c r="V20" s="753"/>
      <c r="W20" s="754"/>
      <c r="X20" s="1900"/>
      <c r="Y20" s="3045"/>
      <c r="Z20" s="1902"/>
      <c r="AA20" s="1903">
        <v>1</v>
      </c>
      <c r="AB20" s="1903">
        <v>1</v>
      </c>
      <c r="AC20" s="1903">
        <v>1</v>
      </c>
    </row>
    <row r="21" spans="1:29" ht="85.5">
      <c r="A21" s="383"/>
      <c r="B21" s="1488" t="s">
        <v>2507</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5"/>
      <c r="Q21" s="1899" t="str">
        <f>B21</f>
        <v>交通便捷度</v>
      </c>
      <c r="R21" s="753" t="s">
        <v>25</v>
      </c>
      <c r="S21" s="754">
        <f>F21</f>
        <v>100</v>
      </c>
      <c r="T21" s="753" t="s">
        <v>25</v>
      </c>
      <c r="U21" s="754">
        <f>H21</f>
        <v>100</v>
      </c>
      <c r="V21" s="753" t="s">
        <v>25</v>
      </c>
      <c r="W21" s="754">
        <f>J21</f>
        <v>100</v>
      </c>
      <c r="X21" s="1900"/>
      <c r="Y21" s="3045"/>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3"/>
      <c r="M22" s="1244"/>
      <c r="N22" s="1244"/>
      <c r="O22" s="1252"/>
      <c r="P22" s="3045"/>
      <c r="Q22" s="1899"/>
      <c r="R22" s="753"/>
      <c r="S22" s="754"/>
      <c r="T22" s="753"/>
      <c r="U22" s="754"/>
      <c r="V22" s="753"/>
      <c r="W22" s="754"/>
      <c r="X22" s="1900"/>
      <c r="Y22" s="3045"/>
      <c r="Z22" s="1902"/>
      <c r="AA22" s="1903">
        <v>1</v>
      </c>
      <c r="AB22" s="1903">
        <v>1</v>
      </c>
      <c r="AC22" s="1903">
        <v>1</v>
      </c>
    </row>
    <row r="23" spans="1:29" ht="15">
      <c r="A23" s="383"/>
      <c r="B23" s="1491"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5"/>
      <c r="Q23" s="1899" t="str">
        <f t="shared" ref="Q23:Q37" si="8">B23</f>
        <v>区域土地利用方向</v>
      </c>
      <c r="R23" s="753" t="s">
        <v>25</v>
      </c>
      <c r="S23" s="754">
        <f>F23</f>
        <v>100</v>
      </c>
      <c r="T23" s="753" t="s">
        <v>25</v>
      </c>
      <c r="U23" s="754">
        <f>H23</f>
        <v>100</v>
      </c>
      <c r="V23" s="753" t="s">
        <v>25</v>
      </c>
      <c r="W23" s="754">
        <f>J23</f>
        <v>100</v>
      </c>
      <c r="X23" s="1900"/>
      <c r="Y23" s="3045"/>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3"/>
      <c r="M24" s="1244"/>
      <c r="N24" s="1244"/>
      <c r="O24" s="1252"/>
      <c r="P24" s="3045"/>
      <c r="Q24" s="1899"/>
      <c r="R24" s="753"/>
      <c r="S24" s="754"/>
      <c r="T24" s="753"/>
      <c r="U24" s="754"/>
      <c r="V24" s="753"/>
      <c r="W24" s="754"/>
      <c r="X24" s="1900"/>
      <c r="Y24" s="3045"/>
      <c r="Z24" s="1902"/>
      <c r="AA24" s="1903"/>
      <c r="AB24" s="1903"/>
      <c r="AC24" s="1903"/>
    </row>
    <row r="25" spans="1:29" ht="57">
      <c r="A25" s="383"/>
      <c r="B25" s="1490" t="s">
        <v>2548</v>
      </c>
      <c r="C25" s="248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5"/>
      <c r="Q25" s="1899" t="str">
        <f t="shared" si="8"/>
        <v>自然及人文环境状况</v>
      </c>
      <c r="R25" s="753" t="s">
        <v>25</v>
      </c>
      <c r="S25" s="754">
        <f>F25</f>
        <v>100</v>
      </c>
      <c r="T25" s="753" t="s">
        <v>25</v>
      </c>
      <c r="U25" s="754">
        <f>H25</f>
        <v>100</v>
      </c>
      <c r="V25" s="753" t="s">
        <v>25</v>
      </c>
      <c r="W25" s="754">
        <f>J25</f>
        <v>100</v>
      </c>
      <c r="X25" s="1900"/>
      <c r="Y25" s="3045"/>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3"/>
      <c r="M26" s="1244"/>
      <c r="N26" s="1244"/>
      <c r="O26" s="1252"/>
      <c r="P26" s="3045"/>
      <c r="Q26" s="1899"/>
      <c r="R26" s="753"/>
      <c r="S26" s="754"/>
      <c r="T26" s="753"/>
      <c r="U26" s="754"/>
      <c r="V26" s="753"/>
      <c r="W26" s="754"/>
      <c r="X26" s="1900"/>
      <c r="Y26" s="3045"/>
      <c r="Z26" s="1902"/>
      <c r="AA26" s="1903">
        <v>1</v>
      </c>
      <c r="AB26" s="1903">
        <v>1</v>
      </c>
      <c r="AC26" s="1903">
        <v>1</v>
      </c>
    </row>
    <row r="27" spans="1:29" ht="42.75">
      <c r="A27" s="383"/>
      <c r="B27" s="1490" t="s">
        <v>2450</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45"/>
      <c r="Q27" s="1887" t="str">
        <f t="shared" ref="Q27" si="9">B27</f>
        <v>公共配套设施</v>
      </c>
      <c r="R27" s="749" t="s">
        <v>25</v>
      </c>
      <c r="S27" s="750">
        <f>F27</f>
        <v>100</v>
      </c>
      <c r="T27" s="749" t="s">
        <v>25</v>
      </c>
      <c r="U27" s="750">
        <f>H27</f>
        <v>100</v>
      </c>
      <c r="V27" s="749" t="s">
        <v>25</v>
      </c>
      <c r="W27" s="750">
        <f>J27</f>
        <v>100</v>
      </c>
      <c r="X27" s="1900"/>
      <c r="Y27" s="3045"/>
      <c r="Z27" s="23" t="str">
        <f>Q27</f>
        <v>公共配套设施</v>
      </c>
      <c r="AA27" s="1903">
        <f>D27/F27</f>
        <v>1</v>
      </c>
      <c r="AB27" s="1903">
        <f>D27/H27</f>
        <v>1</v>
      </c>
      <c r="AC27" s="1903">
        <f>D27/J27</f>
        <v>1</v>
      </c>
    </row>
    <row r="28" spans="1:29" ht="15">
      <c r="A28" s="383"/>
      <c r="B28" s="1489"/>
      <c r="C28" s="2485"/>
      <c r="D28" s="427"/>
      <c r="E28" s="2485"/>
      <c r="F28" s="427"/>
      <c r="G28" s="2485"/>
      <c r="H28" s="427"/>
      <c r="I28" s="2485"/>
      <c r="J28" s="427"/>
      <c r="K28" s="655"/>
      <c r="L28" s="1253"/>
      <c r="M28" s="1244"/>
      <c r="N28" s="1244"/>
      <c r="O28" s="1252"/>
      <c r="P28" s="3045"/>
      <c r="Q28" s="1899"/>
      <c r="R28" s="753"/>
      <c r="S28" s="754"/>
      <c r="T28" s="753"/>
      <c r="U28" s="754"/>
      <c r="V28" s="753"/>
      <c r="W28" s="754"/>
      <c r="X28" s="1900"/>
      <c r="Y28" s="3045"/>
      <c r="Z28" s="23"/>
      <c r="AA28" s="1903">
        <v>1</v>
      </c>
      <c r="AB28" s="1903">
        <v>1</v>
      </c>
      <c r="AC28" s="1903">
        <v>1</v>
      </c>
    </row>
    <row r="29" spans="1:29" s="35" customFormat="1" ht="28.5">
      <c r="A29" s="633"/>
      <c r="B29" s="1490" t="s">
        <v>2451</v>
      </c>
      <c r="C29" s="248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45"/>
      <c r="Q29" s="1887" t="str">
        <f t="shared" si="8"/>
        <v>基础设施水平</v>
      </c>
      <c r="R29" s="749" t="s">
        <v>25</v>
      </c>
      <c r="S29" s="750">
        <f>F29</f>
        <v>100</v>
      </c>
      <c r="T29" s="749" t="s">
        <v>25</v>
      </c>
      <c r="U29" s="750">
        <f>H29</f>
        <v>100</v>
      </c>
      <c r="V29" s="749" t="s">
        <v>25</v>
      </c>
      <c r="W29" s="750">
        <f>J29</f>
        <v>100</v>
      </c>
      <c r="X29" s="751"/>
      <c r="Y29" s="3045"/>
      <c r="Z29" s="23" t="str">
        <f>Q29</f>
        <v>基础设施水平</v>
      </c>
      <c r="AA29" s="1903">
        <f>D29/F29</f>
        <v>1</v>
      </c>
      <c r="AB29" s="1903">
        <f>D29/H29</f>
        <v>1</v>
      </c>
      <c r="AC29" s="1903">
        <f>D29/J29</f>
        <v>1</v>
      </c>
    </row>
    <row r="30" spans="1:29" s="35" customFormat="1" ht="15">
      <c r="A30" s="633"/>
      <c r="B30" s="1489"/>
      <c r="C30" s="2485"/>
      <c r="D30" s="427"/>
      <c r="E30" s="2485"/>
      <c r="F30" s="427"/>
      <c r="G30" s="2485"/>
      <c r="H30" s="427"/>
      <c r="I30" s="2485"/>
      <c r="J30" s="427"/>
      <c r="K30" s="655"/>
      <c r="L30" s="1245"/>
      <c r="M30" s="1246"/>
      <c r="N30" s="1246"/>
      <c r="O30" s="1247"/>
      <c r="P30" s="3045"/>
      <c r="Q30" s="1887"/>
      <c r="R30" s="749"/>
      <c r="S30" s="750"/>
      <c r="T30" s="749"/>
      <c r="U30" s="750"/>
      <c r="V30" s="749"/>
      <c r="W30" s="750"/>
      <c r="X30" s="751"/>
      <c r="Y30" s="3045"/>
      <c r="Z30" s="23"/>
      <c r="AA30" s="1903">
        <v>1</v>
      </c>
      <c r="AB30" s="1903">
        <v>1</v>
      </c>
      <c r="AC30" s="1903">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5"/>
      <c r="Z31" s="1902" t="str">
        <f t="shared" ref="Z31:Z45" si="13">Q31</f>
        <v>临街状况</v>
      </c>
      <c r="AA31" s="1903">
        <f t="shared" si="3"/>
        <v>1</v>
      </c>
      <c r="AB31" s="1903">
        <f t="shared" si="4"/>
        <v>1</v>
      </c>
      <c r="AC31" s="1903">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5"/>
      <c r="Q32" s="1899" t="str">
        <f t="shared" si="8"/>
        <v>毗邻道路的类型与等级</v>
      </c>
      <c r="R32" s="753" t="s">
        <v>25</v>
      </c>
      <c r="S32" s="754">
        <f t="shared" si="10"/>
        <v>100</v>
      </c>
      <c r="T32" s="753" t="s">
        <v>25</v>
      </c>
      <c r="U32" s="754">
        <f t="shared" si="11"/>
        <v>100</v>
      </c>
      <c r="V32" s="753" t="s">
        <v>25</v>
      </c>
      <c r="W32" s="754">
        <f t="shared" si="12"/>
        <v>100</v>
      </c>
      <c r="X32" s="1900"/>
      <c r="Y32" s="3045"/>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3"/>
      <c r="M33" s="1244"/>
      <c r="N33" s="1244"/>
      <c r="O33" s="1252"/>
      <c r="P33" s="3045"/>
      <c r="Q33" s="1899"/>
      <c r="R33" s="753"/>
      <c r="S33" s="754"/>
      <c r="T33" s="753"/>
      <c r="U33" s="754"/>
      <c r="V33" s="753"/>
      <c r="W33" s="754"/>
      <c r="X33" s="1900"/>
      <c r="Y33" s="3045"/>
      <c r="Z33" s="1902"/>
      <c r="AA33" s="1903">
        <v>1</v>
      </c>
      <c r="AB33" s="1903">
        <v>1</v>
      </c>
      <c r="AC33" s="1903">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5"/>
      <c r="Q34" s="1899" t="str">
        <f t="shared" si="8"/>
        <v>土地级别</v>
      </c>
      <c r="R34" s="753" t="s">
        <v>25</v>
      </c>
      <c r="S34" s="754">
        <f t="shared" si="10"/>
        <v>100</v>
      </c>
      <c r="T34" s="753" t="s">
        <v>25</v>
      </c>
      <c r="U34" s="754">
        <f t="shared" si="11"/>
        <v>100</v>
      </c>
      <c r="V34" s="753" t="s">
        <v>25</v>
      </c>
      <c r="W34" s="754">
        <f t="shared" si="12"/>
        <v>100</v>
      </c>
      <c r="X34" s="1900"/>
      <c r="Y34" s="3045"/>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5"/>
      <c r="Q35" s="1899">
        <f t="shared" si="8"/>
        <v>111</v>
      </c>
      <c r="R35" s="753" t="s">
        <v>25</v>
      </c>
      <c r="S35" s="754">
        <f t="shared" si="10"/>
        <v>100</v>
      </c>
      <c r="T35" s="753" t="s">
        <v>25</v>
      </c>
      <c r="U35" s="754">
        <f t="shared" si="11"/>
        <v>100</v>
      </c>
      <c r="V35" s="753" t="s">
        <v>25</v>
      </c>
      <c r="W35" s="754">
        <f t="shared" si="12"/>
        <v>100</v>
      </c>
      <c r="X35" s="1900"/>
      <c r="Y35" s="3045"/>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1" t="s">
        <v>2370</v>
      </c>
      <c r="Q36" s="1899">
        <f t="shared" si="8"/>
        <v>111</v>
      </c>
      <c r="R36" s="753" t="s">
        <v>25</v>
      </c>
      <c r="S36" s="754">
        <f t="shared" si="10"/>
        <v>100</v>
      </c>
      <c r="T36" s="753" t="s">
        <v>25</v>
      </c>
      <c r="U36" s="754">
        <f t="shared" si="11"/>
        <v>100</v>
      </c>
      <c r="V36" s="753" t="s">
        <v>25</v>
      </c>
      <c r="W36" s="754">
        <f t="shared" si="12"/>
        <v>100</v>
      </c>
      <c r="X36" s="1900"/>
      <c r="Y36" s="3049" t="s">
        <v>2370</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9"/>
      <c r="Q37" s="1899">
        <f t="shared" si="8"/>
        <v>111</v>
      </c>
      <c r="R37" s="756" t="s">
        <v>25</v>
      </c>
      <c r="S37" s="757">
        <f t="shared" si="10"/>
        <v>100</v>
      </c>
      <c r="T37" s="756" t="s">
        <v>25</v>
      </c>
      <c r="U37" s="757">
        <f t="shared" si="11"/>
        <v>100</v>
      </c>
      <c r="V37" s="756" t="s">
        <v>25</v>
      </c>
      <c r="W37" s="757">
        <f t="shared" si="12"/>
        <v>100</v>
      </c>
      <c r="X37" s="758"/>
      <c r="Y37" s="3049"/>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9"/>
      <c r="Q38" s="1899" t="str">
        <f>B38</f>
        <v>宗地面积</v>
      </c>
      <c r="R38" s="753" t="s">
        <v>25</v>
      </c>
      <c r="S38" s="754" t="e">
        <f t="shared" si="10"/>
        <v>#N/A</v>
      </c>
      <c r="T38" s="753" t="s">
        <v>25</v>
      </c>
      <c r="U38" s="754" t="e">
        <f t="shared" si="11"/>
        <v>#N/A</v>
      </c>
      <c r="V38" s="753" t="s">
        <v>25</v>
      </c>
      <c r="W38" s="754" t="e">
        <f t="shared" si="12"/>
        <v>#N/A</v>
      </c>
      <c r="X38" s="1900"/>
      <c r="Y38" s="3049"/>
      <c r="Z38" s="1902" t="str">
        <f t="shared" si="13"/>
        <v>宗地面积</v>
      </c>
      <c r="AA38" s="1903" t="e">
        <f t="shared" si="3"/>
        <v>#N/A</v>
      </c>
      <c r="AB38" s="1903" t="e">
        <f t="shared" si="4"/>
        <v>#N/A</v>
      </c>
      <c r="AC38" s="1903" t="e">
        <f t="shared" si="5"/>
        <v>#N/A</v>
      </c>
    </row>
    <row r="39" spans="1:29" ht="15">
      <c r="A39" s="453"/>
      <c r="B39" s="402" t="s">
        <v>2551</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49"/>
      <c r="Q39" s="1899" t="str">
        <f t="shared" ref="Q39:Q45" si="14">B39</f>
        <v>宗地形状</v>
      </c>
      <c r="R39" s="753" t="s">
        <v>25</v>
      </c>
      <c r="S39" s="754">
        <f t="shared" si="10"/>
        <v>100</v>
      </c>
      <c r="T39" s="753" t="s">
        <v>25</v>
      </c>
      <c r="U39" s="754">
        <f t="shared" si="11"/>
        <v>100</v>
      </c>
      <c r="V39" s="753" t="s">
        <v>25</v>
      </c>
      <c r="W39" s="754">
        <f t="shared" si="12"/>
        <v>100</v>
      </c>
      <c r="X39" s="1900"/>
      <c r="Y39" s="3049"/>
      <c r="Z39" s="1902" t="str">
        <f t="shared" si="13"/>
        <v>宗地形状</v>
      </c>
      <c r="AA39" s="1903">
        <f t="shared" si="3"/>
        <v>1</v>
      </c>
      <c r="AB39" s="1903">
        <f t="shared" si="4"/>
        <v>1</v>
      </c>
      <c r="AC39" s="1903">
        <f t="shared" si="5"/>
        <v>1</v>
      </c>
    </row>
    <row r="40" spans="1:29" ht="15">
      <c r="A40" s="453"/>
      <c r="B40" s="402" t="s">
        <v>2552</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49"/>
      <c r="Q40" s="1899" t="str">
        <f t="shared" si="14"/>
        <v>临街宽度及深度</v>
      </c>
      <c r="R40" s="753" t="s">
        <v>25</v>
      </c>
      <c r="S40" s="754">
        <f t="shared" si="10"/>
        <v>100</v>
      </c>
      <c r="T40" s="753" t="s">
        <v>25</v>
      </c>
      <c r="U40" s="754">
        <f t="shared" si="11"/>
        <v>100</v>
      </c>
      <c r="V40" s="753" t="s">
        <v>25</v>
      </c>
      <c r="W40" s="754">
        <f t="shared" si="12"/>
        <v>100</v>
      </c>
      <c r="X40" s="1900"/>
      <c r="Y40" s="3049"/>
      <c r="Z40" s="1902" t="str">
        <f t="shared" si="13"/>
        <v>临街宽度及深度</v>
      </c>
      <c r="AA40" s="1903">
        <f t="shared" si="3"/>
        <v>1</v>
      </c>
      <c r="AB40" s="1903">
        <f t="shared" si="4"/>
        <v>1</v>
      </c>
      <c r="AC40" s="1903">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49"/>
      <c r="Q41" s="1899" t="str">
        <f t="shared" si="14"/>
        <v>宗地开发程度</v>
      </c>
      <c r="R41" s="749" t="s">
        <v>25</v>
      </c>
      <c r="S41" s="750">
        <f t="shared" si="10"/>
        <v>100</v>
      </c>
      <c r="T41" s="749" t="s">
        <v>25</v>
      </c>
      <c r="U41" s="750">
        <f t="shared" si="11"/>
        <v>100</v>
      </c>
      <c r="V41" s="749" t="s">
        <v>25</v>
      </c>
      <c r="W41" s="750">
        <f t="shared" si="12"/>
        <v>100</v>
      </c>
      <c r="X41" s="751"/>
      <c r="Y41" s="3049"/>
      <c r="Z41" s="23" t="str">
        <f t="shared" si="13"/>
        <v>宗地开发程度</v>
      </c>
      <c r="AA41" s="752">
        <f t="shared" si="3"/>
        <v>1</v>
      </c>
      <c r="AB41" s="752">
        <f t="shared" si="4"/>
        <v>1</v>
      </c>
      <c r="AC41" s="752">
        <f t="shared" si="5"/>
        <v>1</v>
      </c>
    </row>
    <row r="42" spans="1:29" ht="15">
      <c r="A42" s="453"/>
      <c r="B42" s="402" t="s">
        <v>2554</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49" t="s">
        <v>2370</v>
      </c>
      <c r="Q42" s="1899" t="str">
        <f t="shared" si="14"/>
        <v>工程地质条件</v>
      </c>
      <c r="R42" s="753" t="s">
        <v>25</v>
      </c>
      <c r="S42" s="754">
        <f t="shared" si="10"/>
        <v>100</v>
      </c>
      <c r="T42" s="753" t="s">
        <v>25</v>
      </c>
      <c r="U42" s="754">
        <f t="shared" si="11"/>
        <v>100</v>
      </c>
      <c r="V42" s="753" t="s">
        <v>25</v>
      </c>
      <c r="W42" s="754">
        <f t="shared" si="12"/>
        <v>100</v>
      </c>
      <c r="X42" s="1900"/>
      <c r="Y42" s="3049" t="s">
        <v>2370</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9"/>
      <c r="Q43" s="1899">
        <f t="shared" si="14"/>
        <v>111</v>
      </c>
      <c r="R43" s="753" t="s">
        <v>25</v>
      </c>
      <c r="S43" s="754">
        <f t="shared" si="10"/>
        <v>100</v>
      </c>
      <c r="T43" s="753" t="s">
        <v>25</v>
      </c>
      <c r="U43" s="754">
        <f t="shared" si="11"/>
        <v>100</v>
      </c>
      <c r="V43" s="753" t="s">
        <v>25</v>
      </c>
      <c r="W43" s="754">
        <f t="shared" si="12"/>
        <v>100</v>
      </c>
      <c r="X43" s="1900"/>
      <c r="Y43" s="3049"/>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9"/>
      <c r="Q44" s="1899">
        <f t="shared" si="14"/>
        <v>111</v>
      </c>
      <c r="R44" s="753" t="s">
        <v>25</v>
      </c>
      <c r="S44" s="754">
        <f t="shared" si="10"/>
        <v>100</v>
      </c>
      <c r="T44" s="753" t="s">
        <v>25</v>
      </c>
      <c r="U44" s="754">
        <f t="shared" si="11"/>
        <v>100</v>
      </c>
      <c r="V44" s="753" t="s">
        <v>25</v>
      </c>
      <c r="W44" s="754">
        <f t="shared" si="12"/>
        <v>100</v>
      </c>
      <c r="X44" s="1900"/>
      <c r="Y44" s="3049"/>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9"/>
      <c r="Q45" s="1899">
        <f t="shared" si="14"/>
        <v>111</v>
      </c>
      <c r="R45" s="756" t="s">
        <v>25</v>
      </c>
      <c r="S45" s="757">
        <f t="shared" si="10"/>
        <v>100</v>
      </c>
      <c r="T45" s="756" t="s">
        <v>25</v>
      </c>
      <c r="U45" s="757">
        <f t="shared" si="11"/>
        <v>100</v>
      </c>
      <c r="V45" s="756" t="s">
        <v>25</v>
      </c>
      <c r="W45" s="757">
        <f t="shared" si="12"/>
        <v>100</v>
      </c>
      <c r="X45" s="758"/>
      <c r="Y45" s="3049"/>
      <c r="Z45" s="759">
        <f t="shared" si="13"/>
        <v>111</v>
      </c>
      <c r="AA45" s="1903">
        <f t="shared" si="3"/>
        <v>1</v>
      </c>
      <c r="AB45" s="1903">
        <f t="shared" si="4"/>
        <v>1</v>
      </c>
      <c r="AC45" s="1903">
        <f t="shared" si="5"/>
        <v>1</v>
      </c>
    </row>
    <row r="46" spans="1:29" ht="15">
      <c r="A46" s="460" t="s">
        <v>2518</v>
      </c>
      <c r="B46" s="2490" t="s">
        <v>2555</v>
      </c>
      <c r="C46" s="665" t="s">
        <v>1</v>
      </c>
      <c r="D46" s="462"/>
      <c r="E46" s="463"/>
      <c r="F46" s="464"/>
      <c r="G46" s="465"/>
      <c r="H46" s="466"/>
      <c r="I46" s="463"/>
      <c r="J46" s="466"/>
      <c r="K46" s="762"/>
      <c r="L46" s="1256"/>
      <c r="M46" s="1257"/>
      <c r="N46" s="1244"/>
      <c r="O46" s="1257"/>
      <c r="P46" s="3051" t="str">
        <f>A46</f>
        <v>成交单价</v>
      </c>
      <c r="Q46" s="3051"/>
      <c r="R46" s="3037">
        <f>E46</f>
        <v>0</v>
      </c>
      <c r="S46" s="3037"/>
      <c r="T46" s="3037">
        <f>G46</f>
        <v>0</v>
      </c>
      <c r="U46" s="3037"/>
      <c r="V46" s="3037">
        <f>I46</f>
        <v>0</v>
      </c>
      <c r="W46" s="3037"/>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51" t="str">
        <f>A47</f>
        <v>比较价值（元/平方米）</v>
      </c>
      <c r="Q47" s="3051"/>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55" t="str">
        <f>A48</f>
        <v>估价对象XX用房的比较价值（楼面单价，元/平方米）</v>
      </c>
      <c r="Q48" s="3056"/>
      <c r="R48" s="3073" t="e">
        <f>ROUND(AVERAGE(R47:V47),0)</f>
        <v>#DIV/0!</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t="str">
        <f>项目基本情况!G8</f>
        <v>重庆市</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5" t="s">
        <v>2576</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7" t="s">
        <v>2340</v>
      </c>
      <c r="D4" s="3018"/>
      <c r="E4" s="3019" t="s">
        <v>2341</v>
      </c>
      <c r="F4" s="3020"/>
      <c r="G4" s="3017" t="s">
        <v>2342</v>
      </c>
      <c r="H4" s="3018"/>
      <c r="I4" s="3017" t="s">
        <v>2343</v>
      </c>
      <c r="J4" s="3018"/>
      <c r="K4" s="594" t="s">
        <v>2344</v>
      </c>
      <c r="L4" s="1243"/>
      <c r="M4" s="1244"/>
      <c r="N4" s="1244"/>
      <c r="O4" s="1244"/>
      <c r="P4" s="3021" t="s">
        <v>2345</v>
      </c>
      <c r="Q4" s="3022"/>
      <c r="R4" s="3027" t="s">
        <v>2341</v>
      </c>
      <c r="S4" s="3028"/>
      <c r="T4" s="3027" t="s">
        <v>2342</v>
      </c>
      <c r="U4" s="3028"/>
      <c r="V4" s="3037" t="s">
        <v>2343</v>
      </c>
      <c r="W4" s="3037"/>
      <c r="X4" s="1900"/>
      <c r="Y4" s="3027" t="s">
        <v>2345</v>
      </c>
      <c r="Z4" s="3028"/>
      <c r="AA4" s="3014" t="s">
        <v>2341</v>
      </c>
      <c r="AB4" s="3015" t="s">
        <v>2342</v>
      </c>
      <c r="AC4" s="3014" t="s">
        <v>2343</v>
      </c>
    </row>
    <row r="5" spans="1:29" ht="15">
      <c r="A5" s="383"/>
      <c r="B5" s="384"/>
      <c r="C5" s="3059" t="s">
        <v>2346</v>
      </c>
      <c r="D5" s="3032"/>
      <c r="E5" s="3060" t="s">
        <v>2347</v>
      </c>
      <c r="F5" s="3061"/>
      <c r="G5" s="3059" t="s">
        <v>2348</v>
      </c>
      <c r="H5" s="3032"/>
      <c r="I5" s="3059" t="s">
        <v>2349</v>
      </c>
      <c r="J5" s="3032"/>
      <c r="K5" s="594"/>
      <c r="L5" s="1243"/>
      <c r="M5" s="1244"/>
      <c r="N5" s="1244"/>
      <c r="O5" s="1244"/>
      <c r="P5" s="3023"/>
      <c r="Q5" s="3024"/>
      <c r="R5" s="3029"/>
      <c r="S5" s="3030"/>
      <c r="T5" s="3029"/>
      <c r="U5" s="3030"/>
      <c r="V5" s="3037"/>
      <c r="W5" s="3037"/>
      <c r="X5" s="1900"/>
      <c r="Y5" s="3029"/>
      <c r="Z5" s="3030"/>
      <c r="AA5" s="3015"/>
      <c r="AB5" s="3015"/>
      <c r="AC5" s="3015"/>
    </row>
    <row r="6" spans="1:29" ht="15.75" thickBot="1">
      <c r="A6" s="385"/>
      <c r="B6" s="386"/>
      <c r="C6" s="3058" t="s">
        <v>2350</v>
      </c>
      <c r="D6" s="3034"/>
      <c r="E6" s="3062" t="s">
        <v>2350</v>
      </c>
      <c r="F6" s="3063"/>
      <c r="G6" s="3058" t="s">
        <v>2350</v>
      </c>
      <c r="H6" s="3034"/>
      <c r="I6" s="3058" t="s">
        <v>2350</v>
      </c>
      <c r="J6" s="3034"/>
      <c r="K6" s="594" t="s">
        <v>2351</v>
      </c>
      <c r="L6" s="1243"/>
      <c r="M6" s="1244"/>
      <c r="N6" s="1244"/>
      <c r="O6" s="1244"/>
      <c r="P6" s="3025"/>
      <c r="Q6" s="3026"/>
      <c r="R6" s="3029"/>
      <c r="S6" s="3030"/>
      <c r="T6" s="3035"/>
      <c r="U6" s="3036"/>
      <c r="V6" s="3037"/>
      <c r="W6" s="3037"/>
      <c r="X6" s="1900"/>
      <c r="Y6" s="3035"/>
      <c r="Z6" s="3036"/>
      <c r="AA6" s="3016"/>
      <c r="AB6" s="3016"/>
      <c r="AC6" s="3016"/>
    </row>
    <row r="7" spans="1:29" s="35" customFormat="1" ht="15.75" thickBot="1">
      <c r="A7" s="387" t="s">
        <v>2352</v>
      </c>
      <c r="B7" s="388"/>
      <c r="C7" s="389">
        <f>'数据-取费表'!B2</f>
        <v>43074</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38" t="s">
        <v>2353</v>
      </c>
      <c r="Q7" s="3039"/>
      <c r="R7" s="749" t="s">
        <v>25</v>
      </c>
      <c r="S7" s="750">
        <f t="shared" ref="S7:S15" si="0">F7</f>
        <v>0</v>
      </c>
      <c r="T7" s="749" t="s">
        <v>25</v>
      </c>
      <c r="U7" s="750">
        <f t="shared" ref="U7:U15" si="1">H7</f>
        <v>0</v>
      </c>
      <c r="V7" s="749" t="s">
        <v>25</v>
      </c>
      <c r="W7" s="750">
        <f t="shared" ref="W7:W15" si="2">J7</f>
        <v>0</v>
      </c>
      <c r="X7" s="751"/>
      <c r="Y7" s="3038" t="s">
        <v>2353</v>
      </c>
      <c r="Z7" s="3040"/>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8" t="s">
        <v>2356</v>
      </c>
      <c r="Q8" s="3040"/>
      <c r="R8" s="749" t="s">
        <v>25</v>
      </c>
      <c r="S8" s="750">
        <f t="shared" si="0"/>
        <v>0</v>
      </c>
      <c r="T8" s="749" t="s">
        <v>25</v>
      </c>
      <c r="U8" s="750">
        <f t="shared" si="1"/>
        <v>0</v>
      </c>
      <c r="V8" s="749" t="s">
        <v>25</v>
      </c>
      <c r="W8" s="750">
        <f t="shared" si="2"/>
        <v>0</v>
      </c>
      <c r="X8" s="751"/>
      <c r="Y8" s="3038" t="s">
        <v>2356</v>
      </c>
      <c r="Z8" s="3040"/>
      <c r="AA8" s="752" t="e">
        <f t="shared" ref="AA8:AA40" si="3">D8/F8</f>
        <v>#DIV/0!</v>
      </c>
      <c r="AB8" s="752" t="e">
        <f t="shared" ref="AB8:AB40" si="4">D8/H8</f>
        <v>#DIV/0!</v>
      </c>
      <c r="AC8" s="752" t="e">
        <f t="shared" ref="AC8:AC40" si="5">D8/J8</f>
        <v>#DIV/0!</v>
      </c>
    </row>
    <row r="9" spans="1:29" s="35" customFormat="1">
      <c r="A9" s="395" t="s">
        <v>2357</v>
      </c>
      <c r="B9" s="28" t="s">
        <v>2358</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5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134</v>
      </c>
      <c r="G10" s="412"/>
      <c r="H10" s="52">
        <f>ROUND(100/'数据-取费表'!B14,0)</f>
        <v>134</v>
      </c>
      <c r="I10" s="412"/>
      <c r="J10" s="52">
        <f>ROUND(100/'数据-取费表'!B14,0)</f>
        <v>134</v>
      </c>
      <c r="K10" s="655"/>
      <c r="L10" s="1248"/>
      <c r="M10" s="1249"/>
      <c r="N10" s="1249"/>
      <c r="O10" s="1250"/>
      <c r="P10" s="3051"/>
      <c r="Q10" s="1887" t="str">
        <f t="shared" si="6"/>
        <v>土地使用年限（年）</v>
      </c>
      <c r="R10" s="749" t="s">
        <v>25</v>
      </c>
      <c r="S10" s="750">
        <f t="shared" si="0"/>
        <v>134</v>
      </c>
      <c r="T10" s="749" t="s">
        <v>25</v>
      </c>
      <c r="U10" s="750">
        <f t="shared" si="1"/>
        <v>134</v>
      </c>
      <c r="V10" s="749" t="s">
        <v>25</v>
      </c>
      <c r="W10" s="750">
        <f t="shared" si="2"/>
        <v>134</v>
      </c>
      <c r="X10" s="751"/>
      <c r="Y10" s="2846"/>
      <c r="Z10" s="23" t="str">
        <f t="shared" si="7"/>
        <v>土地使用年限（年）</v>
      </c>
      <c r="AA10" s="752">
        <f t="shared" si="3"/>
        <v>0.74626865671641796</v>
      </c>
      <c r="AB10" s="752">
        <f t="shared" si="4"/>
        <v>0.74626865671641796</v>
      </c>
      <c r="AC10" s="752">
        <f t="shared" si="5"/>
        <v>0.74626865671641796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4" t="s">
        <v>2364</v>
      </c>
      <c r="Q15" s="1899" t="str">
        <f t="shared" si="6"/>
        <v>产业集聚程度</v>
      </c>
      <c r="R15" s="753" t="s">
        <v>25</v>
      </c>
      <c r="S15" s="754">
        <f t="shared" si="0"/>
        <v>100</v>
      </c>
      <c r="T15" s="753" t="s">
        <v>25</v>
      </c>
      <c r="U15" s="754">
        <f t="shared" si="1"/>
        <v>100</v>
      </c>
      <c r="V15" s="753" t="s">
        <v>25</v>
      </c>
      <c r="W15" s="754">
        <f t="shared" si="2"/>
        <v>100</v>
      </c>
      <c r="X15" s="1900"/>
      <c r="Y15" s="3044" t="s">
        <v>2364</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3"/>
      <c r="M16" s="1244"/>
      <c r="N16" s="1244"/>
      <c r="O16" s="1252"/>
      <c r="P16" s="3045"/>
      <c r="Q16" s="1899"/>
      <c r="R16" s="753"/>
      <c r="S16" s="754"/>
      <c r="T16" s="753"/>
      <c r="U16" s="754"/>
      <c r="V16" s="753"/>
      <c r="W16" s="754"/>
      <c r="X16" s="1900"/>
      <c r="Y16" s="3045"/>
      <c r="Z16" s="1902"/>
      <c r="AA16" s="1903">
        <v>1</v>
      </c>
      <c r="AB16" s="1903">
        <v>1</v>
      </c>
      <c r="AC16" s="1903">
        <v>1</v>
      </c>
    </row>
    <row r="17" spans="1:29" ht="85.5">
      <c r="A17" s="408"/>
      <c r="B17" s="615" t="s">
        <v>2507</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5"/>
      <c r="Q17" s="1899" t="str">
        <f>B17</f>
        <v>交通便捷度</v>
      </c>
      <c r="R17" s="753" t="s">
        <v>25</v>
      </c>
      <c r="S17" s="754">
        <f>F17</f>
        <v>100</v>
      </c>
      <c r="T17" s="753" t="s">
        <v>25</v>
      </c>
      <c r="U17" s="754">
        <f>H17</f>
        <v>100</v>
      </c>
      <c r="V17" s="753" t="s">
        <v>25</v>
      </c>
      <c r="W17" s="754">
        <f>J17</f>
        <v>100</v>
      </c>
      <c r="X17" s="1900"/>
      <c r="Y17" s="304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45"/>
      <c r="Q18" s="1899"/>
      <c r="R18" s="753"/>
      <c r="S18" s="754"/>
      <c r="T18" s="753"/>
      <c r="U18" s="754"/>
      <c r="V18" s="753"/>
      <c r="W18" s="754"/>
      <c r="X18" s="1900"/>
      <c r="Y18" s="3045"/>
      <c r="Z18" s="1902"/>
      <c r="AA18" s="1903">
        <v>1</v>
      </c>
      <c r="AB18" s="1903">
        <v>1</v>
      </c>
      <c r="AC18" s="1903">
        <v>1</v>
      </c>
    </row>
    <row r="19" spans="1:29" ht="15">
      <c r="A19" s="408"/>
      <c r="B19" s="615" t="s">
        <v>2547</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5"/>
      <c r="Q19" s="1899" t="str">
        <f t="shared" ref="Q19:Q33" si="8">B19</f>
        <v>区域土地利用方向</v>
      </c>
      <c r="R19" s="753" t="s">
        <v>25</v>
      </c>
      <c r="S19" s="754">
        <f>F19</f>
        <v>100</v>
      </c>
      <c r="T19" s="753" t="s">
        <v>25</v>
      </c>
      <c r="U19" s="754">
        <f>H19</f>
        <v>100</v>
      </c>
      <c r="V19" s="753" t="s">
        <v>25</v>
      </c>
      <c r="W19" s="754">
        <f>J19</f>
        <v>100</v>
      </c>
      <c r="X19" s="1900"/>
      <c r="Y19" s="304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5"/>
      <c r="Q20" s="1899"/>
      <c r="R20" s="753"/>
      <c r="S20" s="754"/>
      <c r="T20" s="753"/>
      <c r="U20" s="754"/>
      <c r="V20" s="753"/>
      <c r="W20" s="754"/>
      <c r="X20" s="1900"/>
      <c r="Y20" s="3045"/>
      <c r="Z20" s="1902"/>
      <c r="AA20" s="1903"/>
      <c r="AB20" s="1903"/>
      <c r="AC20" s="1903"/>
    </row>
    <row r="21" spans="1:29" ht="71.25">
      <c r="A21" s="383"/>
      <c r="B21" s="615" t="s">
        <v>2592</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5"/>
      <c r="Q21" s="1899" t="str">
        <f t="shared" si="8"/>
        <v>环境状况</v>
      </c>
      <c r="R21" s="753" t="s">
        <v>25</v>
      </c>
      <c r="S21" s="754">
        <f>F21</f>
        <v>100</v>
      </c>
      <c r="T21" s="753" t="s">
        <v>25</v>
      </c>
      <c r="U21" s="754">
        <f>H21</f>
        <v>100</v>
      </c>
      <c r="V21" s="753" t="s">
        <v>25</v>
      </c>
      <c r="W21" s="754">
        <f>J21</f>
        <v>100</v>
      </c>
      <c r="X21" s="1900"/>
      <c r="Y21" s="3045"/>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3"/>
      <c r="M22" s="1244"/>
      <c r="N22" s="1244"/>
      <c r="O22" s="1252"/>
      <c r="P22" s="3045"/>
      <c r="Q22" s="1899"/>
      <c r="R22" s="753"/>
      <c r="S22" s="754"/>
      <c r="T22" s="753"/>
      <c r="U22" s="754"/>
      <c r="V22" s="753"/>
      <c r="W22" s="754"/>
      <c r="X22" s="1900"/>
      <c r="Y22" s="3045"/>
      <c r="Z22" s="1902"/>
      <c r="AA22" s="1903">
        <v>1</v>
      </c>
      <c r="AB22" s="1903">
        <v>1</v>
      </c>
      <c r="AC22" s="1903">
        <v>1</v>
      </c>
    </row>
    <row r="23" spans="1:29" s="35" customFormat="1" ht="42.75">
      <c r="A23" s="633"/>
      <c r="B23" s="615" t="s">
        <v>2450</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5"/>
      <c r="Q23" s="1887" t="str">
        <f t="shared" si="8"/>
        <v>公共配套设施</v>
      </c>
      <c r="R23" s="749" t="s">
        <v>25</v>
      </c>
      <c r="S23" s="750">
        <f>F23</f>
        <v>100</v>
      </c>
      <c r="T23" s="749" t="s">
        <v>25</v>
      </c>
      <c r="U23" s="750">
        <f>H23</f>
        <v>100</v>
      </c>
      <c r="V23" s="749" t="s">
        <v>25</v>
      </c>
      <c r="W23" s="750">
        <f>J23</f>
        <v>100</v>
      </c>
      <c r="X23" s="751"/>
      <c r="Y23" s="3045"/>
      <c r="Z23" s="23" t="str">
        <f>Q23</f>
        <v>公共配套设施</v>
      </c>
      <c r="AA23" s="1903">
        <f>D23/F23</f>
        <v>1</v>
      </c>
      <c r="AB23" s="1903">
        <f>D23/H23</f>
        <v>1</v>
      </c>
      <c r="AC23" s="1903">
        <f>D23/J23</f>
        <v>1</v>
      </c>
    </row>
    <row r="24" spans="1:29" s="35" customFormat="1" ht="15">
      <c r="A24" s="633"/>
      <c r="B24" s="616"/>
      <c r="C24" s="2496"/>
      <c r="D24" s="427"/>
      <c r="E24" s="1471"/>
      <c r="F24" s="427"/>
      <c r="G24" s="1471"/>
      <c r="H24" s="427"/>
      <c r="I24" s="426"/>
      <c r="J24" s="427"/>
      <c r="K24" s="655"/>
      <c r="L24" s="1245"/>
      <c r="M24" s="1246"/>
      <c r="N24" s="1246"/>
      <c r="O24" s="1247"/>
      <c r="P24" s="3045"/>
      <c r="Q24" s="1887"/>
      <c r="R24" s="749"/>
      <c r="S24" s="750"/>
      <c r="T24" s="749"/>
      <c r="U24" s="750"/>
      <c r="V24" s="749"/>
      <c r="W24" s="750"/>
      <c r="X24" s="751"/>
      <c r="Y24" s="3045"/>
      <c r="Z24" s="23"/>
      <c r="AA24" s="752">
        <v>1</v>
      </c>
      <c r="AB24" s="752">
        <v>1</v>
      </c>
      <c r="AC24" s="752">
        <v>1</v>
      </c>
    </row>
    <row r="25" spans="1:29" s="35" customFormat="1" ht="28.5">
      <c r="A25" s="633"/>
      <c r="B25" s="617" t="s">
        <v>2451</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5"/>
      <c r="Q25" s="1887" t="str">
        <f t="shared" ref="Q25" si="9">B25</f>
        <v>基础设施水平</v>
      </c>
      <c r="R25" s="749" t="s">
        <v>25</v>
      </c>
      <c r="S25" s="750">
        <f>F25</f>
        <v>100</v>
      </c>
      <c r="T25" s="749" t="s">
        <v>25</v>
      </c>
      <c r="U25" s="750">
        <f>H25</f>
        <v>100</v>
      </c>
      <c r="V25" s="749" t="s">
        <v>25</v>
      </c>
      <c r="W25" s="750">
        <f>J25</f>
        <v>100</v>
      </c>
      <c r="X25" s="751"/>
      <c r="Y25" s="3045"/>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45"/>
      <c r="Q26" s="1887"/>
      <c r="R26" s="749"/>
      <c r="S26" s="750"/>
      <c r="T26" s="749"/>
      <c r="U26" s="750"/>
      <c r="V26" s="749"/>
      <c r="W26" s="750"/>
      <c r="X26" s="751"/>
      <c r="Y26" s="304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5"/>
      <c r="Z27" s="1902" t="str">
        <f t="shared" ref="Z27:Z40" si="13">Q27</f>
        <v>临街状况</v>
      </c>
      <c r="AA27" s="1903">
        <f t="shared" si="3"/>
        <v>1</v>
      </c>
      <c r="AB27" s="1903">
        <f t="shared" si="4"/>
        <v>1</v>
      </c>
      <c r="AC27" s="1903">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5"/>
      <c r="Q28" s="1899" t="str">
        <f t="shared" si="8"/>
        <v>毗邻道路的类型与等级</v>
      </c>
      <c r="R28" s="753" t="s">
        <v>25</v>
      </c>
      <c r="S28" s="754">
        <f t="shared" si="10"/>
        <v>100</v>
      </c>
      <c r="T28" s="753" t="s">
        <v>25</v>
      </c>
      <c r="U28" s="754">
        <f t="shared" si="11"/>
        <v>100</v>
      </c>
      <c r="V28" s="753" t="s">
        <v>25</v>
      </c>
      <c r="W28" s="754">
        <f t="shared" si="12"/>
        <v>100</v>
      </c>
      <c r="X28" s="1900"/>
      <c r="Y28" s="3045"/>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3"/>
      <c r="M29" s="1244"/>
      <c r="N29" s="1244"/>
      <c r="O29" s="1252"/>
      <c r="P29" s="3045"/>
      <c r="Q29" s="1899"/>
      <c r="R29" s="753"/>
      <c r="S29" s="754"/>
      <c r="T29" s="753"/>
      <c r="U29" s="754"/>
      <c r="V29" s="753"/>
      <c r="W29" s="754"/>
      <c r="X29" s="1900"/>
      <c r="Y29" s="3045"/>
      <c r="Z29" s="1902"/>
      <c r="AA29" s="1903">
        <v>1</v>
      </c>
      <c r="AB29" s="1903">
        <v>1</v>
      </c>
      <c r="AC29" s="1903">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5"/>
      <c r="Q30" s="1899" t="str">
        <f t="shared" si="8"/>
        <v>土地级别</v>
      </c>
      <c r="R30" s="753" t="s">
        <v>25</v>
      </c>
      <c r="S30" s="754">
        <f t="shared" si="10"/>
        <v>100</v>
      </c>
      <c r="T30" s="753" t="s">
        <v>25</v>
      </c>
      <c r="U30" s="754">
        <f t="shared" si="11"/>
        <v>100</v>
      </c>
      <c r="V30" s="753" t="s">
        <v>25</v>
      </c>
      <c r="W30" s="754">
        <f t="shared" si="12"/>
        <v>100</v>
      </c>
      <c r="X30" s="1900"/>
      <c r="Y30" s="3045"/>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5"/>
      <c r="Q31" s="1899">
        <f t="shared" si="8"/>
        <v>111</v>
      </c>
      <c r="R31" s="753" t="s">
        <v>25</v>
      </c>
      <c r="S31" s="754">
        <f t="shared" si="10"/>
        <v>100</v>
      </c>
      <c r="T31" s="753" t="s">
        <v>25</v>
      </c>
      <c r="U31" s="754">
        <f t="shared" si="11"/>
        <v>100</v>
      </c>
      <c r="V31" s="753" t="s">
        <v>25</v>
      </c>
      <c r="W31" s="754">
        <f t="shared" si="12"/>
        <v>100</v>
      </c>
      <c r="X31" s="1900"/>
      <c r="Y31" s="3045"/>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1" t="s">
        <v>2370</v>
      </c>
      <c r="Q32" s="1899">
        <f t="shared" si="8"/>
        <v>111</v>
      </c>
      <c r="R32" s="753" t="s">
        <v>25</v>
      </c>
      <c r="S32" s="754">
        <f t="shared" si="10"/>
        <v>100</v>
      </c>
      <c r="T32" s="753" t="s">
        <v>25</v>
      </c>
      <c r="U32" s="754">
        <f t="shared" si="11"/>
        <v>100</v>
      </c>
      <c r="V32" s="753" t="s">
        <v>25</v>
      </c>
      <c r="W32" s="754">
        <f t="shared" si="12"/>
        <v>100</v>
      </c>
      <c r="X32" s="1900"/>
      <c r="Y32" s="3049" t="s">
        <v>2370</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9"/>
      <c r="Q33" s="1899">
        <f t="shared" si="8"/>
        <v>111</v>
      </c>
      <c r="R33" s="756" t="s">
        <v>25</v>
      </c>
      <c r="S33" s="757">
        <f t="shared" si="10"/>
        <v>100</v>
      </c>
      <c r="T33" s="756" t="s">
        <v>25</v>
      </c>
      <c r="U33" s="757">
        <f t="shared" si="11"/>
        <v>100</v>
      </c>
      <c r="V33" s="756" t="s">
        <v>25</v>
      </c>
      <c r="W33" s="757">
        <f t="shared" si="12"/>
        <v>100</v>
      </c>
      <c r="X33" s="758"/>
      <c r="Y33" s="3049"/>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9"/>
      <c r="Q34" s="1899" t="str">
        <f>B34</f>
        <v>宗地面积</v>
      </c>
      <c r="R34" s="753" t="s">
        <v>25</v>
      </c>
      <c r="S34" s="754" t="e">
        <f t="shared" si="10"/>
        <v>#N/A</v>
      </c>
      <c r="T34" s="753" t="s">
        <v>25</v>
      </c>
      <c r="U34" s="754" t="e">
        <f t="shared" si="11"/>
        <v>#N/A</v>
      </c>
      <c r="V34" s="753" t="s">
        <v>25</v>
      </c>
      <c r="W34" s="754" t="e">
        <f t="shared" si="12"/>
        <v>#N/A</v>
      </c>
      <c r="X34" s="1900"/>
      <c r="Y34" s="3049"/>
      <c r="Z34" s="1902" t="str">
        <f t="shared" si="13"/>
        <v>宗地面积</v>
      </c>
      <c r="AA34" s="1903" t="e">
        <f t="shared" si="3"/>
        <v>#N/A</v>
      </c>
      <c r="AB34" s="1903" t="e">
        <f t="shared" si="4"/>
        <v>#N/A</v>
      </c>
      <c r="AC34" s="1903" t="e">
        <f t="shared" si="5"/>
        <v>#N/A</v>
      </c>
    </row>
    <row r="35" spans="1:29" ht="15">
      <c r="A35" s="453"/>
      <c r="B35" s="402" t="s">
        <v>2551</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49"/>
      <c r="Q35" s="1899" t="str">
        <f t="shared" ref="Q35:Q40" si="14">B35</f>
        <v>宗地形状</v>
      </c>
      <c r="R35" s="753" t="s">
        <v>25</v>
      </c>
      <c r="S35" s="754">
        <f t="shared" si="10"/>
        <v>100</v>
      </c>
      <c r="T35" s="753" t="s">
        <v>25</v>
      </c>
      <c r="U35" s="754">
        <f t="shared" si="11"/>
        <v>100</v>
      </c>
      <c r="V35" s="753" t="s">
        <v>25</v>
      </c>
      <c r="W35" s="754">
        <f t="shared" si="12"/>
        <v>100</v>
      </c>
      <c r="X35" s="1900"/>
      <c r="Y35" s="3049"/>
      <c r="Z35" s="1902" t="str">
        <f t="shared" si="13"/>
        <v>宗地形状</v>
      </c>
      <c r="AA35" s="1903">
        <f t="shared" si="3"/>
        <v>1</v>
      </c>
      <c r="AB35" s="1903">
        <f t="shared" si="4"/>
        <v>1</v>
      </c>
      <c r="AC35" s="1903">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49"/>
      <c r="Q36" s="1899" t="str">
        <f t="shared" si="14"/>
        <v>宗地开发程度</v>
      </c>
      <c r="R36" s="749" t="s">
        <v>25</v>
      </c>
      <c r="S36" s="750">
        <f t="shared" si="10"/>
        <v>100</v>
      </c>
      <c r="T36" s="749" t="s">
        <v>25</v>
      </c>
      <c r="U36" s="750">
        <f t="shared" si="11"/>
        <v>100</v>
      </c>
      <c r="V36" s="749" t="s">
        <v>25</v>
      </c>
      <c r="W36" s="750">
        <f t="shared" si="12"/>
        <v>100</v>
      </c>
      <c r="X36" s="751"/>
      <c r="Y36" s="3049"/>
      <c r="Z36" s="23" t="str">
        <f t="shared" si="13"/>
        <v>宗地开发程度</v>
      </c>
      <c r="AA36" s="752">
        <f t="shared" si="3"/>
        <v>1</v>
      </c>
      <c r="AB36" s="752">
        <f t="shared" si="4"/>
        <v>1</v>
      </c>
      <c r="AC36" s="752">
        <f t="shared" si="5"/>
        <v>1</v>
      </c>
    </row>
    <row r="37" spans="1:29" ht="15">
      <c r="A37" s="453"/>
      <c r="B37" s="402" t="s">
        <v>2554</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49" t="s">
        <v>2370</v>
      </c>
      <c r="Q37" s="1899" t="str">
        <f t="shared" si="14"/>
        <v>工程地质条件</v>
      </c>
      <c r="R37" s="753" t="s">
        <v>25</v>
      </c>
      <c r="S37" s="754">
        <f t="shared" si="10"/>
        <v>100</v>
      </c>
      <c r="T37" s="753" t="s">
        <v>25</v>
      </c>
      <c r="U37" s="754">
        <f t="shared" si="11"/>
        <v>100</v>
      </c>
      <c r="V37" s="753" t="s">
        <v>25</v>
      </c>
      <c r="W37" s="754">
        <f t="shared" si="12"/>
        <v>100</v>
      </c>
      <c r="X37" s="1900"/>
      <c r="Y37" s="3049" t="s">
        <v>2370</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9"/>
      <c r="Q38" s="1899">
        <f t="shared" si="14"/>
        <v>111</v>
      </c>
      <c r="R38" s="753" t="s">
        <v>25</v>
      </c>
      <c r="S38" s="754">
        <f t="shared" si="10"/>
        <v>100</v>
      </c>
      <c r="T38" s="753" t="s">
        <v>25</v>
      </c>
      <c r="U38" s="754">
        <f t="shared" si="11"/>
        <v>100</v>
      </c>
      <c r="V38" s="753" t="s">
        <v>25</v>
      </c>
      <c r="W38" s="754">
        <f t="shared" si="12"/>
        <v>100</v>
      </c>
      <c r="X38" s="1900"/>
      <c r="Y38" s="3049"/>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9"/>
      <c r="Q39" s="1899">
        <f t="shared" si="14"/>
        <v>111</v>
      </c>
      <c r="R39" s="753" t="s">
        <v>25</v>
      </c>
      <c r="S39" s="754">
        <f t="shared" si="10"/>
        <v>100</v>
      </c>
      <c r="T39" s="753" t="s">
        <v>25</v>
      </c>
      <c r="U39" s="754">
        <f t="shared" si="11"/>
        <v>100</v>
      </c>
      <c r="V39" s="753" t="s">
        <v>25</v>
      </c>
      <c r="W39" s="754">
        <f t="shared" si="12"/>
        <v>100</v>
      </c>
      <c r="X39" s="1900"/>
      <c r="Y39" s="3049"/>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9"/>
      <c r="Q40" s="1899">
        <f t="shared" si="14"/>
        <v>111</v>
      </c>
      <c r="R40" s="756" t="s">
        <v>25</v>
      </c>
      <c r="S40" s="757">
        <f t="shared" si="10"/>
        <v>100</v>
      </c>
      <c r="T40" s="756" t="s">
        <v>25</v>
      </c>
      <c r="U40" s="757">
        <f t="shared" si="11"/>
        <v>100</v>
      </c>
      <c r="V40" s="756" t="s">
        <v>25</v>
      </c>
      <c r="W40" s="757">
        <f t="shared" si="12"/>
        <v>100</v>
      </c>
      <c r="X40" s="758"/>
      <c r="Y40" s="3049"/>
      <c r="Z40" s="759">
        <f t="shared" si="13"/>
        <v>111</v>
      </c>
      <c r="AA40" s="1903">
        <f t="shared" si="3"/>
        <v>1</v>
      </c>
      <c r="AB40" s="1903">
        <f t="shared" si="4"/>
        <v>1</v>
      </c>
      <c r="AC40" s="1903">
        <f t="shared" si="5"/>
        <v>1</v>
      </c>
    </row>
    <row r="41" spans="1:29" ht="15">
      <c r="A41" s="460" t="s">
        <v>2518</v>
      </c>
      <c r="B41" s="2490" t="s">
        <v>2593</v>
      </c>
      <c r="C41" s="665" t="s">
        <v>1</v>
      </c>
      <c r="D41" s="462"/>
      <c r="E41" s="463"/>
      <c r="F41" s="464"/>
      <c r="G41" s="465"/>
      <c r="H41" s="466"/>
      <c r="I41" s="463"/>
      <c r="J41" s="466"/>
      <c r="K41" s="762"/>
      <c r="L41" s="1256"/>
      <c r="M41" s="1244"/>
      <c r="N41" s="1244"/>
      <c r="O41" s="1257"/>
      <c r="P41" s="3051" t="str">
        <f>A41</f>
        <v>成交单价</v>
      </c>
      <c r="Q41" s="3051"/>
      <c r="R41" s="3037">
        <f>E41</f>
        <v>0</v>
      </c>
      <c r="S41" s="3037"/>
      <c r="T41" s="3037">
        <f>G41</f>
        <v>0</v>
      </c>
      <c r="U41" s="3037"/>
      <c r="V41" s="3037">
        <f>I41</f>
        <v>0</v>
      </c>
      <c r="W41" s="3037"/>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51" t="str">
        <f>A42</f>
        <v>比较价值（元/平方米）</v>
      </c>
      <c r="Q42" s="3051"/>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55" t="str">
        <f>A43</f>
        <v>估价对象XX用房的比较价值（楼面单价，元/平方米）</v>
      </c>
      <c r="Q43" s="3056"/>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2" t="s">
        <v>2594</v>
      </c>
      <c r="H50" s="1902" t="str">
        <f>项目基本情况!G8</f>
        <v>重庆市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0" t="s">
        <v>2595</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J11" sqref="J11"/>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1"/>
      <c r="P1" s="1461"/>
      <c r="Q1" s="1461"/>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f>项目基本情况!F9</f>
        <v>0</v>
      </c>
      <c r="H2" s="2510" t="s">
        <v>2608</v>
      </c>
      <c r="I2" s="2509">
        <f>项目基本情况!F10</f>
        <v>0</v>
      </c>
      <c r="J2" s="2511"/>
      <c r="L2" s="2512" t="s">
        <v>2609</v>
      </c>
      <c r="M2" s="1120">
        <f>SUMPRODUCT((区片价!B10:B28=I2)*(区片价!C3:F3=E2)*(区片价!C10:F28))</f>
        <v>0</v>
      </c>
      <c r="N2" s="1123">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7"/>
      <c r="B4" s="3078"/>
      <c r="C4" s="3078"/>
      <c r="D4" s="3079"/>
      <c r="E4" s="3079"/>
      <c r="F4" s="3079"/>
      <c r="G4" s="3079"/>
      <c r="H4" s="3079"/>
      <c r="I4" s="3079"/>
      <c r="J4" s="3080"/>
      <c r="L4" s="2512" t="s">
        <v>2617</v>
      </c>
      <c r="M4" s="1120">
        <f>SUMPRODUCT((区片价!B49:B75=I2)*(区片价!C3:F3=E2)*(区片价!C49:F75))</f>
        <v>0</v>
      </c>
      <c r="N4" s="1123">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81"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2"/>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1"/>
      <c r="P8" s="1461"/>
      <c r="Q8" s="1461"/>
      <c r="R8" s="1709">
        <v>7</v>
      </c>
      <c r="S8" s="1710"/>
      <c r="T8" s="1709" t="e">
        <f t="shared" si="0"/>
        <v>#DIV/0!</v>
      </c>
      <c r="U8" s="1710"/>
      <c r="V8" s="1709" t="e">
        <f t="shared" si="1"/>
        <v>#DIV/0!</v>
      </c>
      <c r="W8" s="3074" t="s">
        <v>2632</v>
      </c>
      <c r="X8" s="3075"/>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2"/>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1"/>
      <c r="P9" s="1461"/>
      <c r="Q9" s="1461"/>
      <c r="R9" s="1709">
        <v>8</v>
      </c>
      <c r="S9" s="1710"/>
      <c r="T9" s="1709" t="e">
        <f t="shared" si="0"/>
        <v>#DIV/0!</v>
      </c>
      <c r="U9" s="1710"/>
      <c r="V9" s="1709" t="e">
        <f t="shared" si="1"/>
        <v>#DIV/0!</v>
      </c>
      <c r="W9" s="3076"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2"/>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1"/>
      <c r="P10" s="1461"/>
      <c r="Q10" s="1461"/>
      <c r="R10" s="1709">
        <v>9</v>
      </c>
      <c r="S10" s="1710"/>
      <c r="T10" s="1709" t="e">
        <f t="shared" si="0"/>
        <v>#DIV/0!</v>
      </c>
      <c r="U10" s="1710"/>
      <c r="V10" s="1709" t="e">
        <f t="shared" si="1"/>
        <v>#DIV/0!</v>
      </c>
      <c r="W10" s="307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2"/>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1"/>
      <c r="P11" s="1461"/>
      <c r="Q11" s="1461"/>
      <c r="R11" s="1709">
        <v>10</v>
      </c>
      <c r="S11" s="1710"/>
      <c r="T11" s="1709" t="e">
        <f t="shared" si="0"/>
        <v>#DIV/0!</v>
      </c>
      <c r="U11" s="1710"/>
      <c r="V11" s="1709" t="e">
        <f t="shared" si="1"/>
        <v>#DIV/0!</v>
      </c>
      <c r="W11" s="3076"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1"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1"/>
      <c r="P12" s="1461"/>
      <c r="Q12" s="1461"/>
      <c r="R12" s="1709">
        <v>11</v>
      </c>
      <c r="S12" s="1710"/>
      <c r="T12" s="1709" t="e">
        <f t="shared" si="0"/>
        <v>#DIV/0!</v>
      </c>
      <c r="U12" s="1710"/>
      <c r="V12" s="1709" t="e">
        <f t="shared" si="1"/>
        <v>#DIV/0!</v>
      </c>
      <c r="W12" s="3076"/>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3"/>
      <c r="B13" s="2551" t="s">
        <v>2662</v>
      </c>
      <c r="C13" s="2552" t="s">
        <v>2663</v>
      </c>
      <c r="D13" s="2553" t="s">
        <v>2664</v>
      </c>
      <c r="E13" s="2553" t="s">
        <v>2665</v>
      </c>
      <c r="F13" s="20" t="s">
        <v>2666</v>
      </c>
      <c r="G13" s="2554" t="s">
        <v>2667</v>
      </c>
      <c r="H13" s="2554" t="s">
        <v>2667</v>
      </c>
      <c r="I13" s="2554" t="s">
        <v>2667</v>
      </c>
      <c r="J13" s="2555" t="s">
        <v>2667</v>
      </c>
      <c r="L13" s="1461"/>
      <c r="M13" s="1461"/>
      <c r="N13" s="1461"/>
      <c r="O13" s="1461"/>
      <c r="P13" s="1461"/>
      <c r="Q13" s="1461"/>
      <c r="R13" s="1709">
        <v>12</v>
      </c>
      <c r="S13" s="1710"/>
      <c r="T13" s="1709" t="e">
        <f t="shared" si="0"/>
        <v>#DIV/0!</v>
      </c>
      <c r="U13" s="1710"/>
      <c r="V13" s="1709" t="e">
        <f t="shared" si="1"/>
        <v>#DIV/0!</v>
      </c>
      <c r="W13" s="307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3"/>
      <c r="B14" s="2556"/>
      <c r="C14" s="2557" t="s">
        <v>2668</v>
      </c>
      <c r="D14" s="2558" t="s">
        <v>2669</v>
      </c>
      <c r="E14" s="2558" t="s">
        <v>2669</v>
      </c>
      <c r="F14" s="2559" t="s">
        <v>2670</v>
      </c>
      <c r="G14" s="2560" t="s">
        <v>2671</v>
      </c>
      <c r="H14" s="2561"/>
      <c r="I14" s="2562"/>
      <c r="J14" s="2563"/>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4"/>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1" t="b">
        <f>IF(E2="办公",2,IF(E2="工业",2,IF(E2="住宅",3,IF(E2="商业",IF(C8="不临58条商业街",2,3)))))</f>
        <v>0</v>
      </c>
      <c r="B16" s="2532" t="s">
        <v>2678</v>
      </c>
      <c r="C16" s="1885" t="e">
        <f>ROUND(SUM(G17:J17)/C17,0)</f>
        <v>#DIV/0!</v>
      </c>
      <c r="D16" s="2567" t="s">
        <v>2679</v>
      </c>
      <c r="E16" s="2568"/>
      <c r="F16" s="2569"/>
      <c r="G16" s="2570"/>
      <c r="H16" s="2570"/>
      <c r="I16" s="2570"/>
      <c r="J16" s="2571"/>
      <c r="L16" s="1459" t="s">
        <v>2680</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2"/>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2687</v>
      </c>
      <c r="B19" s="2575" t="s">
        <v>2688</v>
      </c>
      <c r="C19" s="952" t="e">
        <f>ROUND(IF(H19="按公示增长率计算",SUMPRODUCT((地价!A3:A20=YEAR(G19)&amp;"-"&amp;ROUNDUP(MONTH(G19)/3,0))*(地价!X2:AB2=E2)*(地价!X3:AB20)),IF(H19="地价指数",M20/M19,(1+I19)^O19)),4)</f>
        <v>#DIV/0!</v>
      </c>
      <c r="D19" s="2583" t="s">
        <v>2689</v>
      </c>
      <c r="E19" s="953">
        <v>41640</v>
      </c>
      <c r="F19" s="2583" t="s">
        <v>2690</v>
      </c>
      <c r="G19" s="954">
        <f>'数据-取费表'!B2</f>
        <v>43074</v>
      </c>
      <c r="H19" s="2584" t="s">
        <v>2691</v>
      </c>
      <c r="I19" s="955" t="str">
        <f>IF(H19="季度增幅（自定义）",SUMIF(N21:N24,E2,O21:O24),"")</f>
        <v/>
      </c>
      <c r="J19" s="2580"/>
      <c r="K19" s="2581"/>
      <c r="L19" s="2585" t="s">
        <v>2692</v>
      </c>
      <c r="M19" s="1826">
        <f>ROUND(SUMIF(地价!B2:F2,E2,地价!B20:F20),0)</f>
        <v>0</v>
      </c>
      <c r="N19" s="1465" t="s">
        <v>2693</v>
      </c>
      <c r="O19" s="956">
        <f>ROUNDDOWN(DATEDIF(E19,G19,"M")/3,0)</f>
        <v>15</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6">
        <f ca="1">存贷款利率!D4/100</f>
        <v>4.3499999999999997E-2</v>
      </c>
      <c r="F20" s="2591" t="s">
        <v>2684</v>
      </c>
      <c r="G20" s="963">
        <f>SUMIF(M15:P15,E2,M17:P17)</f>
        <v>0</v>
      </c>
      <c r="H20" s="2591" t="s">
        <v>2697</v>
      </c>
      <c r="I20" s="964">
        <f>'数据-取费表'!B13</f>
        <v>26.12</v>
      </c>
      <c r="J20" s="965">
        <f>IF(E2="住宅",70,IF(E2="商业",40,50))</f>
        <v>50</v>
      </c>
      <c r="K20" s="2581"/>
      <c r="L20" s="2592" t="s">
        <v>2698</v>
      </c>
      <c r="M20" s="1827">
        <f>ROUND(SUMPRODUCT((地价!A5:A20=YEAR(G19)&amp;"-"&amp;ROUNDUP(MONTH(G19)/3,0))*(地价!B2:F2=E2)*(地价!B5:F20)),0)</f>
        <v>0</v>
      </c>
      <c r="N20" s="2593" t="s">
        <v>2699</v>
      </c>
      <c r="O20" s="2594" t="s">
        <v>2700</v>
      </c>
      <c r="P20" s="2595" t="s">
        <v>2701</v>
      </c>
      <c r="R20" s="1461"/>
      <c r="S20" s="1461"/>
      <c r="T20" s="1461"/>
      <c r="U20" s="1461"/>
      <c r="V20" s="1461"/>
      <c r="W20" s="1461"/>
      <c r="X20" s="1461"/>
      <c r="Y20" s="1461"/>
      <c r="Z20" s="1461"/>
      <c r="AA20" s="1461"/>
      <c r="AB20" s="1461"/>
      <c r="AC20" s="1461"/>
      <c r="AD20" s="1461"/>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2707</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1"/>
      <c r="AF22" s="2581"/>
    </row>
    <row r="23" spans="1:37" ht="27">
      <c r="A23" s="2601">
        <v>2</v>
      </c>
      <c r="B23" s="2602" t="s">
        <v>2708</v>
      </c>
      <c r="C23" s="958">
        <f>ROUND(IF(G3&gt;1,IF(I3&lt;7,SUMPRODUCT((B93:B98=I3)*(C92:N92=G2)*(C93:N98)),SUMIF(C92:N92,G2,C100:N100)),IF(I3&lt;7,SUMPRODUCT((B102:B107=I3)*(C92:N92=G2)*(C102:N107)),SUMIF(C92:N92,G2,C109:N109))),4)</f>
        <v>0</v>
      </c>
      <c r="D23" s="2561"/>
      <c r="E23" s="2561"/>
      <c r="F23" s="2603"/>
      <c r="G23" s="2604"/>
      <c r="H23" s="2605"/>
      <c r="I23" s="2606"/>
      <c r="J23" s="2607"/>
      <c r="N23" s="2600" t="s">
        <v>2709</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1"/>
      <c r="AF24" s="2581"/>
    </row>
    <row r="25" spans="1:37" ht="15" thickBot="1">
      <c r="A25" s="2589" t="s">
        <v>2713</v>
      </c>
      <c r="B25" s="2614" t="s">
        <v>2714</v>
      </c>
      <c r="C25" s="959"/>
      <c r="D25" s="2535"/>
      <c r="E25" s="2535"/>
      <c r="F25" s="2615"/>
      <c r="G25" s="2535"/>
      <c r="H25" s="2535"/>
      <c r="I25" s="2535"/>
      <c r="J25" s="2536"/>
      <c r="L25" s="1461"/>
      <c r="M25" s="1461"/>
      <c r="N25" s="2616" t="s">
        <v>2715</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7"/>
      <c r="B26" s="2602" t="s">
        <v>2716</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2717</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2718</v>
      </c>
      <c r="C28" s="2627" t="s">
        <v>2719</v>
      </c>
      <c r="D28" s="2627" t="s">
        <v>2720</v>
      </c>
      <c r="E28" s="2628" t="s">
        <v>2721</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2722</v>
      </c>
      <c r="C29" s="123" t="e">
        <f>ROUND(C5*C18*C19*C20*C21*C24,0)</f>
        <v>#DIV/0!</v>
      </c>
      <c r="D29" s="2632"/>
      <c r="E29" s="972" t="e">
        <f>ROUND(C29*D29,0)</f>
        <v>#DIV/0!</v>
      </c>
      <c r="F29" s="2633" t="s">
        <v>2723</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2726</v>
      </c>
      <c r="C31" s="2644" t="s">
        <v>2727</v>
      </c>
      <c r="D31" s="2548"/>
      <c r="E31" s="2644"/>
      <c r="F31" s="2644"/>
      <c r="G31" s="2546" t="s">
        <v>2728</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93" t="s">
        <v>2730</v>
      </c>
      <c r="B33" s="2647" t="s">
        <v>2731</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4"/>
      <c r="B34" s="2552" t="s">
        <v>2732</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4"/>
      <c r="B35" s="2552" t="s">
        <v>2733</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5"/>
      <c r="B36" s="2552" t="s">
        <v>2734</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2735</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2736</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2737</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2738</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2739</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2677</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2756</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51">
      <c r="A49" s="2668" t="s">
        <v>2757</v>
      </c>
      <c r="B49" s="2672" t="str">
        <f>估价对象房地状况!C18</f>
        <v>估价对象周边道路状况、公共交通通达情况、停车便捷程度，综合评价交通便捷度较好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2758</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2759</v>
      </c>
      <c r="B51" s="2673" t="s">
        <v>2760</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2761</v>
      </c>
      <c r="B52" s="2672">
        <f>估价对象房地状况!C24</f>
        <v>0</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2762</v>
      </c>
      <c r="B53" s="2674" t="s">
        <v>2763</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2764</v>
      </c>
      <c r="B54" s="2676" t="str">
        <f>估价对象房地状况!C21</f>
        <v>估价对象所在区域公共配套设施齐备情况</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2765</v>
      </c>
      <c r="B55" s="2672" t="str">
        <f>估价对象房地状况!C22</f>
        <v>估价对象所在区域基础设施水平</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39" thickBot="1">
      <c r="A56" s="2677" t="s">
        <v>2766</v>
      </c>
      <c r="B56" s="2678" t="str">
        <f>估价对象房地状况!C20</f>
        <v>区域自然环境：；人文环境；综合评价环境状况一般</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51">
      <c r="A60" s="2668" t="s">
        <v>2757</v>
      </c>
      <c r="B60" s="2672" t="str">
        <f>估价对象房地状况!C18</f>
        <v>估价对象周边道路状况、公共交通通达情况、停车便捷程度，综合评价交通便捷度较好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2758</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2759</v>
      </c>
      <c r="B62" s="2673" t="s">
        <v>2760</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2761</v>
      </c>
      <c r="B63" s="2672">
        <f>估价对象房地状况!C24</f>
        <v>0</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2762</v>
      </c>
      <c r="B64" s="2674" t="s">
        <v>2763</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2764</v>
      </c>
      <c r="B65" s="2676" t="str">
        <f>估价对象房地状况!C21</f>
        <v>估价对象所在区域公共配套设施齐备情况</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2765</v>
      </c>
      <c r="B66" s="2676" t="str">
        <f>估价对象房地状况!C22</f>
        <v>估价对象所在区域基础设施水平</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39" thickBot="1">
      <c r="A67" s="2677" t="s">
        <v>2766</v>
      </c>
      <c r="B67" s="2680" t="str">
        <f>估价对象房地状况!C20</f>
        <v>区域自然环境：；人文环境；综合评价环境状况一般</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2773</v>
      </c>
      <c r="B70" s="2671" t="str">
        <f>估价对象房地状况!C15</f>
        <v>估价对象周边居住用地比例、居住小区规模和社区发展完善程度，综合评价居住社区成熟度较好</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51">
      <c r="A71" s="2668" t="s">
        <v>2757</v>
      </c>
      <c r="B71" s="2672" t="str">
        <f>估价对象房地状况!C18</f>
        <v>估价对象周边道路状况、公共交通通达情况、停车便捷程度，综合评价交通便捷度较好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2758</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2774</v>
      </c>
      <c r="B73" s="2672">
        <f>估价对象房地状况!C24</f>
        <v>0</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2764</v>
      </c>
      <c r="B74" s="2676" t="str">
        <f>估价对象房地状况!C21</f>
        <v>估价对象所在区域公共配套设施齐备情况</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2765</v>
      </c>
      <c r="B75" s="2676" t="str">
        <f>估价对象房地状况!C22</f>
        <v>估价对象所在区域基础设施水平</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2762</v>
      </c>
      <c r="B76" s="2674" t="s">
        <v>2763</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38.25">
      <c r="A77" s="2668" t="s">
        <v>2766</v>
      </c>
      <c r="B77" s="2671" t="str">
        <f>估价对象房地状况!C20</f>
        <v>区域自然环境：；人文环境；综合评价环境状况一般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2775</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2758</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2774</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2764</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2765</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2762</v>
      </c>
      <c r="B87" s="2674" t="s">
        <v>2763</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85" t="s">
        <v>2779</v>
      </c>
      <c r="B90" s="3085"/>
      <c r="C90" s="3085"/>
      <c r="D90" s="3085"/>
      <c r="E90" s="3085"/>
      <c r="F90" s="3085"/>
      <c r="G90" s="3085"/>
      <c r="H90" s="3085"/>
      <c r="I90" s="3085"/>
      <c r="J90" s="3085"/>
      <c r="K90" s="2685"/>
      <c r="L90" s="2685"/>
      <c r="M90" s="2685"/>
      <c r="N90" s="2685"/>
    </row>
    <row r="91" spans="1:37">
      <c r="A91" s="3087" t="s">
        <v>2780</v>
      </c>
      <c r="B91" s="3087" t="s">
        <v>2781</v>
      </c>
      <c r="C91" s="2633" t="s">
        <v>2782</v>
      </c>
      <c r="D91" s="2634"/>
      <c r="E91" s="2634"/>
      <c r="F91" s="2634"/>
      <c r="G91" s="2634"/>
      <c r="H91" s="2634"/>
      <c r="I91" s="2634"/>
      <c r="J91" s="2686"/>
      <c r="K91" s="2687"/>
      <c r="L91" s="2687"/>
      <c r="M91" s="2687"/>
      <c r="N91" s="2687"/>
    </row>
    <row r="92" spans="1:37">
      <c r="A92" s="3087"/>
      <c r="B92" s="308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8"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9"/>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8"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89"/>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89"/>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89"/>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89"/>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89"/>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89"/>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89"/>
      <c r="B108" s="3091"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0"/>
      <c r="B109" s="3092"/>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6" t="s">
        <v>2787</v>
      </c>
      <c r="B110" s="3086"/>
      <c r="C110" s="3086"/>
      <c r="D110" s="3086"/>
      <c r="E110" s="3086"/>
      <c r="F110" s="3086"/>
      <c r="G110" s="3086"/>
      <c r="H110" s="3086"/>
      <c r="I110" s="3086"/>
      <c r="J110" s="3086"/>
      <c r="K110" s="2694"/>
      <c r="L110" s="2694"/>
      <c r="M110" s="2694"/>
      <c r="N110" s="2694"/>
    </row>
    <row r="112" spans="1:14" ht="13.5" thickBot="1"/>
    <row r="113" spans="1:13" ht="25.5" thickBot="1">
      <c r="A113" s="928" t="s">
        <v>2788</v>
      </c>
      <c r="B113" s="1378">
        <f>G3</f>
        <v>0</v>
      </c>
      <c r="C113" s="929" t="s">
        <v>2789</v>
      </c>
      <c r="D113" s="930">
        <f>SUMPRODUCT((A115:A118=F113)*(B114:M114=H113)*B115:M118)</f>
        <v>0</v>
      </c>
      <c r="E113" s="2696" t="s">
        <v>2673</v>
      </c>
      <c r="F113" s="2697">
        <f>E2</f>
        <v>0</v>
      </c>
      <c r="G113" s="2696" t="s">
        <v>2607</v>
      </c>
      <c r="H113" s="2697">
        <f>G2</f>
        <v>0</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788</v>
      </c>
      <c r="B1" s="3096"/>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106" t="s">
        <v>1034</v>
      </c>
      <c r="C1" s="3106"/>
      <c r="D1" s="3106"/>
      <c r="E1" s="3106"/>
      <c r="F1" s="3106"/>
      <c r="G1" s="3102" t="s">
        <v>1035</v>
      </c>
      <c r="H1" s="3102"/>
      <c r="I1" s="3102"/>
      <c r="J1" s="3102"/>
      <c r="K1" s="3102"/>
      <c r="L1" s="3102"/>
      <c r="N1" s="3102" t="s">
        <v>1036</v>
      </c>
      <c r="O1" s="3102"/>
      <c r="P1" s="3102"/>
      <c r="Q1" s="3102"/>
      <c r="R1" s="1547"/>
      <c r="S1" s="3102" t="s">
        <v>1037</v>
      </c>
      <c r="T1" s="3102"/>
      <c r="U1" s="3102"/>
      <c r="V1" s="3102"/>
      <c r="X1" s="3101" t="s">
        <v>1038</v>
      </c>
      <c r="Y1" s="3102"/>
      <c r="Z1" s="3102"/>
      <c r="AA1" s="3102"/>
      <c r="AB1" s="3102"/>
      <c r="AD1" s="3101" t="s">
        <v>1039</v>
      </c>
      <c r="AE1" s="3102"/>
      <c r="AF1" s="3102"/>
      <c r="AG1" s="3102"/>
      <c r="AH1" s="3102"/>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0"/>
      <c r="J3" s="2710"/>
      <c r="K3" s="2710"/>
      <c r="L3" s="2710"/>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2809</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1">
        <f>ROUND(AVERAGE(I5:I20),2)</f>
        <v>2.4900000000000002</v>
      </c>
      <c r="J4" s="2711">
        <f t="shared" ref="J4:K4" si="6">ROUND(AVERAGE(J5:J20),2)</f>
        <v>1.64</v>
      </c>
      <c r="K4" s="2711">
        <f t="shared" si="6"/>
        <v>2.78</v>
      </c>
      <c r="L4" s="2711">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2807</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8">
        <v>2017</v>
      </c>
      <c r="H5" s="1821">
        <v>4</v>
      </c>
      <c r="I5" s="2712">
        <f>ROUND(AVERAGE(I6:I20),2)</f>
        <v>2.4900000000000002</v>
      </c>
      <c r="J5" s="2712">
        <f>ROUND(AVERAGE(J6:J20),2)</f>
        <v>1.64</v>
      </c>
      <c r="K5" s="2712">
        <f>ROUND(AVERAGE(K6:K20),2)</f>
        <v>2.78</v>
      </c>
      <c r="L5" s="2713">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2808</v>
      </c>
      <c r="B6" s="1580">
        <f>B7*(1+N6)</f>
        <v>431.80730811680002</v>
      </c>
      <c r="C6" s="1580">
        <f t="shared" ref="C6" si="17">C7*(1+O6)</f>
        <v>320.57880516480003</v>
      </c>
      <c r="D6" s="1580">
        <f t="shared" si="3"/>
        <v>320.57880516480003</v>
      </c>
      <c r="E6" s="1580">
        <f t="shared" ref="E6:F8" si="18">E7*(1+P6)</f>
        <v>615.96110553196797</v>
      </c>
      <c r="F6" s="1580">
        <f t="shared" si="18"/>
        <v>279.46777300108801</v>
      </c>
      <c r="G6" s="2709"/>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1261</v>
      </c>
      <c r="B7" s="1580">
        <f>B8*(1+N7)</f>
        <v>419.31181600000002</v>
      </c>
      <c r="C7" s="1580">
        <f t="shared" ref="C7" si="22">C8*(1+O7)</f>
        <v>313.95436800000004</v>
      </c>
      <c r="D7" s="1580">
        <f t="shared" si="3"/>
        <v>313.95436800000004</v>
      </c>
      <c r="E7" s="1580">
        <f t="shared" si="18"/>
        <v>596.63028431999999</v>
      </c>
      <c r="F7" s="1580">
        <f t="shared" si="18"/>
        <v>274.74220703999998</v>
      </c>
      <c r="G7" s="2708"/>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9"/>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107">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104"/>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104"/>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105"/>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103">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104"/>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104"/>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105"/>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103">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104"/>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104"/>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105"/>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108">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109"/>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109"/>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10"/>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103">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104"/>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104"/>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105"/>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103">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104">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104">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105">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103">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104">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104">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105">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103">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104">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104">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105">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103">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104">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104">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105">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103">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104">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104">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105">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103">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104">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104">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105">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103">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104">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104">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105">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103">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104">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104">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105">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103">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104">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104">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105">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103">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104">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104">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105">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43074</v>
      </c>
      <c r="D1" s="1802" t="s">
        <v>1188</v>
      </c>
      <c r="E1" s="1808">
        <f>'数据-取费表'!B23</f>
        <v>2</v>
      </c>
      <c r="F1" s="1802" t="s">
        <v>1189</v>
      </c>
      <c r="G1" s="1809">
        <f ca="1">INDIRECT("d"&amp;$K$1)/100</f>
        <v>4.7500000000000001E-2</v>
      </c>
      <c r="H1" s="1802" t="s">
        <v>1219</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估价结果一览表（市场价值不需本页表格)</v>
      </c>
      <c r="B4" s="2773"/>
      <c r="C4" s="2773"/>
      <c r="D4" s="2773"/>
      <c r="E4" s="2773"/>
    </row>
    <row r="5" spans="1:5" ht="14.25" customHeight="1" thickTop="1">
      <c r="A5" s="1927"/>
      <c r="B5" s="1931" t="s">
        <v>742</v>
      </c>
      <c r="C5" s="2774" t="s">
        <v>784</v>
      </c>
      <c r="D5" s="2775"/>
      <c r="E5" s="1927"/>
    </row>
    <row r="6" spans="1:5" ht="14.25">
      <c r="A6" s="1927"/>
      <c r="B6" s="1932" t="str">
        <f>项目基本情况!I1</f>
        <v>重庆市房地产</v>
      </c>
      <c r="C6" s="2776">
        <f>项目基本情况!C12</f>
        <v>142.82</v>
      </c>
      <c r="D6" s="2776"/>
      <c r="E6" s="1927"/>
    </row>
    <row r="7" spans="1:5" ht="14.25">
      <c r="A7" s="1927"/>
      <c r="B7" s="2770" t="s">
        <v>785</v>
      </c>
      <c r="C7" s="1933" t="str">
        <f>IF('数据-取费表'!B3="万元","总价（万元）","总价（元）")</f>
        <v>总价（元）</v>
      </c>
      <c r="D7" s="1934">
        <f ca="1">IF('数据-取费表'!E3="否",结果表!I102,'结果表 (1修多)'!I103)</f>
        <v>2409197</v>
      </c>
      <c r="E7" s="1927"/>
    </row>
    <row r="8" spans="1:5" ht="28.5">
      <c r="A8" s="1927"/>
      <c r="B8" s="2770"/>
      <c r="C8" s="1935" t="s">
        <v>1177</v>
      </c>
      <c r="D8" s="1936" t="str">
        <f ca="1">IF('数据-取费表'!B3="万元",NUMBERSTRING(INT(D7*10000),2)&amp;"元整",NUMBERSTRING(INT(D7),2)&amp;"元整")</f>
        <v>贰佰肆拾万玖仟壹佰玖拾柒元整</v>
      </c>
      <c r="E8" s="1927"/>
    </row>
    <row r="9" spans="1:5" ht="14.25">
      <c r="A9" s="1927"/>
      <c r="B9" s="2770"/>
      <c r="C9" s="1937" t="s">
        <v>1275</v>
      </c>
      <c r="D9" s="1934">
        <f ca="1">IF('数据-取费表'!E3="否",结果表!I103,'结果表 (1修多)'!I104)</f>
        <v>9491</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2409197</v>
      </c>
      <c r="E15" s="1927"/>
    </row>
    <row r="16" spans="1:5" ht="28.5">
      <c r="A16" s="1927"/>
      <c r="B16" s="2777"/>
      <c r="C16" s="1935" t="s">
        <v>1177</v>
      </c>
      <c r="D16" s="1934" t="str">
        <f ca="1">IF('数据-取费表'!B3="万元",NUMBERSTRING(INT(D15*10000),2)&amp;"元整",NUMBERSTRING(INT(D15),2)&amp;"元整")</f>
        <v>贰佰肆拾万玖仟壹佰玖拾柒元整</v>
      </c>
      <c r="E16" s="1927"/>
    </row>
    <row r="17" spans="1:5" ht="14.25">
      <c r="A17" s="1927"/>
      <c r="B17" s="2777"/>
      <c r="C17" s="1937" t="s">
        <v>1275</v>
      </c>
      <c r="D17" s="1934">
        <f ca="1">IF('数据-取费表'!E3="否",结果表!I111,'结果表 (1修多)'!I112)</f>
        <v>9491</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1177</v>
      </c>
      <c r="D19" s="1934" t="e">
        <f>IF('数据-取费表'!B3="万元",NUMBERSTRING(INT(D18*10000),2)&amp;"元整",NUMBERSTRING(INT(D18),2)&amp;"元整")</f>
        <v>#VALUE!</v>
      </c>
      <c r="E19" s="1927"/>
    </row>
    <row r="20" spans="1:5" ht="14.25">
      <c r="A20" s="1927"/>
      <c r="B20" s="2777"/>
      <c r="C20" s="1937" t="s">
        <v>1275</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1177</v>
      </c>
      <c r="D22" s="1936" t="e">
        <f>IF('数据-取费表'!B3="万元",NUMBERSTRING(INT(D21*10000),2)&amp;"元整",NUMBERSTRING(INT(D21),2)&amp;"元整")</f>
        <v>#VALUE!</v>
      </c>
      <c r="E22" s="1927"/>
    </row>
    <row r="23" spans="1:5" ht="15" thickBot="1">
      <c r="A23" s="1927"/>
      <c r="B23" s="2771"/>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2" t="s">
        <v>1276</v>
      </c>
      <c r="C25" s="2762"/>
      <c r="D25" s="2762"/>
      <c r="E25" s="1927"/>
    </row>
    <row r="26" spans="1:5" ht="18.75" customHeight="1" thickTop="1">
      <c r="A26" s="1927"/>
      <c r="B26" s="2765" t="s">
        <v>1176</v>
      </c>
      <c r="C26" s="2766"/>
      <c r="D26" s="2763" t="s">
        <v>1175</v>
      </c>
      <c r="E26" s="1927"/>
    </row>
    <row r="27" spans="1:5" ht="18.75" customHeight="1">
      <c r="A27" s="1927"/>
      <c r="B27" s="2767"/>
      <c r="C27" s="2768"/>
      <c r="D27" s="2764"/>
      <c r="E27" s="1927"/>
    </row>
    <row r="28" spans="1:5" ht="14.25">
      <c r="A28" s="1927"/>
      <c r="B28" s="2755" t="s">
        <v>785</v>
      </c>
      <c r="C28" s="1944" t="s">
        <v>1178</v>
      </c>
      <c r="D28" s="1945">
        <f ca="1">IF('数据-取费表'!E3="否",结果表!I102,'结果表 (1修多)'!I103)</f>
        <v>2409197</v>
      </c>
      <c r="E28" s="1927"/>
    </row>
    <row r="29" spans="1:5" ht="28.5">
      <c r="A29" s="1927"/>
      <c r="B29" s="2756"/>
      <c r="C29" s="1946" t="s">
        <v>1177</v>
      </c>
      <c r="D29" s="1947" t="str">
        <f ca="1">IF('数据-取费表'!B3="万元",NUMBERSTRING(INT(D28*10000),2)&amp;"元整",NUMBERSTRING(INT(D28),2)&amp;"元整")</f>
        <v>贰佰肆拾万玖仟壹佰玖拾柒元整</v>
      </c>
      <c r="E29" s="1927"/>
    </row>
    <row r="30" spans="1:5" ht="14.25">
      <c r="A30" s="1927"/>
      <c r="B30" s="2757"/>
      <c r="C30" s="1937" t="s">
        <v>1180</v>
      </c>
      <c r="D30" s="1948">
        <f ca="1">IF('数据-取费表'!E3="否",结果表!I103,'结果表 (1修多)'!I104)</f>
        <v>9491</v>
      </c>
      <c r="E30" s="1927"/>
    </row>
    <row r="31" spans="1:5" ht="14.25">
      <c r="A31" s="1927"/>
      <c r="B31" s="2760" t="str">
        <f>B10</f>
        <v>2.估价师所知悉的法定优先受偿款</v>
      </c>
      <c r="C31" s="1949" t="s">
        <v>1179</v>
      </c>
      <c r="D31" s="1950">
        <f>IF('数据-取费表'!E3="否",结果表!I105,'结果表 (1修多)'!I106)</f>
        <v>0</v>
      </c>
      <c r="E31" s="1927"/>
    </row>
    <row r="32" spans="1:5" ht="14.25">
      <c r="A32" s="1927"/>
      <c r="B32" s="2769"/>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58" t="str">
        <f>B15</f>
        <v>3.房地产抵押价值</v>
      </c>
      <c r="C36" s="1949" t="str">
        <f>C28</f>
        <v>总价</v>
      </c>
      <c r="D36" s="1950">
        <f ca="1">IF('数据-取费表'!E3="否",结果表!I110,'结果表 (1修多)'!I111)</f>
        <v>2409197</v>
      </c>
      <c r="E36" s="1927"/>
    </row>
    <row r="37" spans="1:5" ht="28.5">
      <c r="A37" s="1927"/>
      <c r="B37" s="2758"/>
      <c r="C37" s="1946" t="s">
        <v>1177</v>
      </c>
      <c r="D37" s="1951" t="str">
        <f ca="1">IF('数据-取费表'!B3="万元",NUMBERSTRING(INT(D36*10000),2)&amp;"元整",NUMBERSTRING(INT(D36),2)&amp;"元整")</f>
        <v>贰佰肆拾万玖仟壹佰玖拾柒元整</v>
      </c>
      <c r="E37" s="1927"/>
    </row>
    <row r="38" spans="1:5" ht="14.25">
      <c r="A38" s="1927"/>
      <c r="B38" s="2758"/>
      <c r="C38" s="1937" t="s">
        <v>1181</v>
      </c>
      <c r="D38" s="1948">
        <f ca="1">IF('数据-取费表'!E3="否",结果表!D113,'结果表 (1修多)'!D116)</f>
        <v>9491</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1177</v>
      </c>
      <c r="D40" s="1951" t="e">
        <f>IF('数据-取费表'!B3="万元",NUMBERSTRING(INT(D39*10000),2)&amp;"元整",NUMBERSTRING(INT(D39),2)&amp;"元整")</f>
        <v>#VALUE!</v>
      </c>
      <c r="E40" s="1927"/>
    </row>
    <row r="41" spans="1:5" ht="14.25">
      <c r="A41" s="1927"/>
      <c r="B41" s="2759"/>
      <c r="C41" s="1937" t="s">
        <v>1181</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1177</v>
      </c>
      <c r="D43" s="1952" t="e">
        <f>IF('数据-取费表'!B3="万元",NUMBERSTRING(INT(D42*10000),2)&amp;"元整",NUMBERSTRING(INT(D42),2)&amp;"元整")</f>
        <v>#VALUE!</v>
      </c>
      <c r="E43" s="1927"/>
    </row>
    <row r="44" spans="1:5" ht="15" thickBot="1">
      <c r="A44" s="1927"/>
      <c r="B44" s="2761"/>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78"/>
      <c r="B3" s="2778"/>
      <c r="C3" s="2778"/>
      <c r="D3" s="1049" t="s">
        <v>1282</v>
      </c>
      <c r="E3" s="1049" t="s">
        <v>1283</v>
      </c>
      <c r="F3" s="1049" t="s">
        <v>1282</v>
      </c>
      <c r="G3" s="1049" t="s">
        <v>1284</v>
      </c>
      <c r="H3" s="1049" t="s">
        <v>1282</v>
      </c>
      <c r="I3" s="1049" t="s">
        <v>1284</v>
      </c>
    </row>
    <row r="4" spans="1:9" ht="46.5" customHeight="1">
      <c r="A4" s="1049" t="str">
        <f>项目基本情况!I1</f>
        <v>重庆市房地产</v>
      </c>
      <c r="B4" s="1049">
        <f>结果表!B121</f>
        <v>142.82</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2409197</v>
      </c>
      <c r="I4" s="1049">
        <f ca="1">IF('数据-取费表'!E3="否",结果表!I121,'结果表 (1修多)'!I124)</f>
        <v>9491</v>
      </c>
    </row>
    <row r="5" spans="1:9" ht="15">
      <c r="A5" s="2778" t="s">
        <v>1285</v>
      </c>
      <c r="B5" s="2778"/>
      <c r="C5" s="2778"/>
      <c r="D5" s="2779" t="str">
        <f>IF('数据-取费表'!E3="否",结果表!D122,'结果表 (1修多)'!D125)</f>
        <v>零元整</v>
      </c>
      <c r="E5" s="2779"/>
      <c r="F5" s="2779" t="str">
        <f>IF('数据-取费表'!E3="否",结果表!F122,'结果表 (1修多)'!F125)</f>
        <v>零元整</v>
      </c>
      <c r="G5" s="2779"/>
      <c r="H5" s="2779" t="str">
        <f ca="1">IF('数据-取费表'!E3="否",结果表!H122,'结果表 (1修多)'!H125)</f>
        <v>贰佰肆拾万玖仟壹佰玖拾柒元整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78" t="s">
        <v>1285</v>
      </c>
      <c r="B7" s="2778"/>
      <c r="C7" s="2778"/>
      <c r="D7" s="2786">
        <f>IF('数据-取费表'!E3="否",结果表!D124,'结果表 (1修多)'!D127)</f>
        <v>0</v>
      </c>
      <c r="E7" s="2787"/>
      <c r="F7" s="2787"/>
      <c r="G7" s="2787"/>
      <c r="H7" s="2787"/>
      <c r="I7" s="2788"/>
    </row>
    <row r="8" spans="1:9" ht="15.75">
      <c r="A8" s="2780" t="str">
        <f>IF('数据-取费表'!E3="否",结果表!A125,'结果表 (1修多)'!A128)</f>
        <v>——</v>
      </c>
      <c r="B8" s="2780"/>
      <c r="C8" s="2780"/>
      <c r="D8" s="2780">
        <f ca="1">IF('数据-取费表'!E3="否",结果表!D125,'结果表 (1修多)'!D128)</f>
        <v>2409197</v>
      </c>
      <c r="E8" s="2780"/>
      <c r="F8" s="2780"/>
      <c r="G8" s="2780"/>
      <c r="H8" s="2780"/>
      <c r="I8" s="2780"/>
    </row>
    <row r="9" spans="1:9" ht="15">
      <c r="A9" s="2778" t="s">
        <v>1285</v>
      </c>
      <c r="B9" s="2778"/>
      <c r="C9" s="2778"/>
      <c r="D9" s="2779">
        <f ca="1">IF('数据-取费表'!E3="否",结果表!D126,'结果表 (1修多)'!D129)</f>
        <v>9491</v>
      </c>
      <c r="E9" s="2779"/>
      <c r="F9" s="2779"/>
      <c r="G9" s="2779"/>
      <c r="H9" s="2779"/>
      <c r="I9" s="2779"/>
    </row>
    <row r="10" spans="1:9" ht="15.75">
      <c r="A10" s="2780" t="str">
        <f>IF('数据-取费表'!E3="否",结果表!A127,'结果表 (1修多)'!A130)</f>
        <v>——</v>
      </c>
      <c r="B10" s="2780"/>
      <c r="C10" s="2780"/>
      <c r="D10" s="2780">
        <f ca="1">IF('数据-取费表'!E3="否",结果表!D127,'结果表 (1修多)'!D129)</f>
        <v>9491</v>
      </c>
      <c r="E10" s="2780"/>
      <c r="F10" s="2780"/>
      <c r="G10" s="2780"/>
      <c r="H10" s="2780"/>
      <c r="I10" s="2780"/>
    </row>
    <row r="11" spans="1:9" ht="15">
      <c r="A11" s="2778" t="s">
        <v>1285</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1" t="s">
        <v>1285</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1299</v>
      </c>
      <c r="B1" s="2790"/>
      <c r="C1" s="2790"/>
      <c r="D1" s="2790"/>
    </row>
    <row r="2" spans="1:4" ht="18">
      <c r="A2" s="2789" t="s">
        <v>1287</v>
      </c>
      <c r="B2" s="2789"/>
      <c r="C2" s="2789"/>
      <c r="D2" s="2789"/>
    </row>
    <row r="3" spans="1:4" ht="18.75">
      <c r="A3" s="1956" t="s">
        <v>1288</v>
      </c>
      <c r="B3" s="1956" t="s">
        <v>1289</v>
      </c>
      <c r="C3" s="1956" t="s">
        <v>1290</v>
      </c>
      <c r="D3" s="1956" t="s">
        <v>1291</v>
      </c>
    </row>
    <row r="4" spans="1:4" ht="56.25" customHeight="1">
      <c r="A4" s="1957" t="str">
        <f>项目基本情况!B3</f>
        <v>欧红伟</v>
      </c>
      <c r="B4" s="1958">
        <f ca="1">项目基本情况!C3</f>
        <v>1120000080</v>
      </c>
      <c r="C4" s="1959"/>
      <c r="D4" s="1960" t="s">
        <v>1300</v>
      </c>
    </row>
    <row r="5" spans="1:4" ht="56.25" customHeight="1">
      <c r="A5" s="1957" t="str">
        <f>项目基本情况!D3</f>
        <v>梁津</v>
      </c>
      <c r="B5" s="1958">
        <f ca="1">项目基本情况!E3</f>
        <v>1119970066</v>
      </c>
      <c r="C5" s="1961"/>
      <c r="D5" s="1960" t="s">
        <v>1300</v>
      </c>
    </row>
    <row r="6" spans="1:4" ht="12" customHeight="1">
      <c r="A6" s="1957"/>
      <c r="B6" s="1958"/>
      <c r="C6" s="1962"/>
      <c r="D6" s="1960"/>
    </row>
    <row r="7" spans="1:4" ht="18">
      <c r="A7" s="2789" t="s">
        <v>1292</v>
      </c>
      <c r="B7" s="2789"/>
      <c r="C7" s="2789"/>
      <c r="D7" s="2789"/>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1" t="s">
        <v>1301</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1302</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1295</v>
      </c>
      <c r="B20" s="2793"/>
      <c r="C20" s="2793"/>
      <c r="D20" s="2793"/>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80" t="s">
        <v>1386</v>
      </c>
      <c r="B19" s="1981"/>
      <c r="C19" s="1982"/>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3" t="s">
        <v>1392</v>
      </c>
    </row>
    <row r="24" spans="1:3" ht="14.25">
      <c r="A24" s="2797"/>
      <c r="B24" s="2798"/>
      <c r="C24" s="1983" t="s">
        <v>1393</v>
      </c>
    </row>
    <row r="25" spans="1:3" ht="14.25">
      <c r="A25" s="2797"/>
      <c r="B25" s="2798"/>
      <c r="C25" s="1983" t="s">
        <v>1394</v>
      </c>
    </row>
    <row r="26" spans="1:3" ht="14.25">
      <c r="A26" s="2797"/>
      <c r="B26" s="2798"/>
      <c r="C26" s="1983" t="s">
        <v>1395</v>
      </c>
    </row>
    <row r="27" spans="1:3" ht="14.25">
      <c r="A27" s="2797"/>
      <c r="B27" s="2798"/>
      <c r="C27" s="1983" t="s">
        <v>1396</v>
      </c>
    </row>
    <row r="28" spans="1:3" ht="14.25">
      <c r="A28" s="2797"/>
      <c r="B28" s="2798"/>
      <c r="C28" s="1983" t="s">
        <v>1397</v>
      </c>
    </row>
    <row r="29" spans="1:3" ht="14.25">
      <c r="A29" s="2797"/>
      <c r="B29" s="2798"/>
      <c r="C29" s="1983" t="s">
        <v>1398</v>
      </c>
    </row>
    <row r="30" spans="1:3" ht="14.25">
      <c r="A30" s="2797"/>
      <c r="B30" s="2798"/>
      <c r="C30" s="1983" t="s">
        <v>1399</v>
      </c>
    </row>
    <row r="31" spans="1:3" ht="14.25">
      <c r="A31" s="2797"/>
      <c r="B31" s="2798"/>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2" t="s">
        <v>769</v>
      </c>
      <c r="B25" s="2802"/>
      <c r="C25" s="2802"/>
      <c r="D25" s="2802"/>
      <c r="E25" s="2802"/>
      <c r="F25" s="2802"/>
      <c r="G25" s="2802"/>
      <c r="H25" s="2802"/>
    </row>
    <row r="26" spans="1:8" s="1034" customFormat="1" ht="24" customHeight="1">
      <c r="A26" s="2803" t="s">
        <v>770</v>
      </c>
      <c r="B26" s="2803"/>
      <c r="C26" s="2803"/>
      <c r="D26" s="1062"/>
      <c r="E26" s="1062"/>
      <c r="F26" s="2803" t="s">
        <v>771</v>
      </c>
      <c r="G26" s="2803"/>
      <c r="H26" s="2803"/>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40" priority="65">
      <formula>AND($C24-TODAY()&lt;30,TODAY()&lt;$C24)</formula>
    </cfRule>
  </conditionalFormatting>
  <conditionalFormatting sqref="C28:E28">
    <cfRule type="expression" dxfId="239" priority="64">
      <formula>AND($C28-TODAY()&lt;30,TODAY()&lt;$C28)</formula>
    </cfRule>
  </conditionalFormatting>
  <conditionalFormatting sqref="C28:E28 G4">
    <cfRule type="cellIs" dxfId="238" priority="66" stopIfTrue="1" operator="lessThan">
      <formula>$B$2</formula>
    </cfRule>
  </conditionalFormatting>
  <conditionalFormatting sqref="D5">
    <cfRule type="expression" dxfId="237" priority="61">
      <formula>AND($C5-TODAY()&lt;30,TODAY()&lt;$C5)</formula>
    </cfRule>
  </conditionalFormatting>
  <conditionalFormatting sqref="D5 G5">
    <cfRule type="cellIs" dxfId="236" priority="62" stopIfTrue="1" operator="lessThan">
      <formula>$B$2</formula>
    </cfRule>
  </conditionalFormatting>
  <conditionalFormatting sqref="G6 G8 G10">
    <cfRule type="cellIs" dxfId="235" priority="60" stopIfTrue="1" operator="lessThan">
      <formula>$B$2</formula>
    </cfRule>
  </conditionalFormatting>
  <conditionalFormatting sqref="D24 C7:D7 D4:D6 C10:D12 D8:D9 C14:D14 D13 C16:D23 D15">
    <cfRule type="expression" dxfId="234" priority="58">
      <formula>AND($C4-TODAY()&lt;30,TODAY()&lt;$C4)</formula>
    </cfRule>
  </conditionalFormatting>
  <conditionalFormatting sqref="G7 G9 G11 D24 C7:D7 D4:D6 C10:D12 D8:D9 C14:D14 D13 C16:D23 D15">
    <cfRule type="cellIs" dxfId="233" priority="59" stopIfTrue="1" operator="lessThan">
      <formula>$B$2</formula>
    </cfRule>
  </conditionalFormatting>
  <conditionalFormatting sqref="C12:D12">
    <cfRule type="expression" dxfId="232" priority="56">
      <formula>AND($C12-TODAY()&lt;30,TODAY()&lt;$C12)</formula>
    </cfRule>
  </conditionalFormatting>
  <conditionalFormatting sqref="C12:D12">
    <cfRule type="cellIs" dxfId="231" priority="57" stopIfTrue="1" operator="lessThan">
      <formula>$B$2</formula>
    </cfRule>
  </conditionalFormatting>
  <conditionalFormatting sqref="C14:D14">
    <cfRule type="expression" dxfId="230" priority="52">
      <formula>AND($C14-TODAY()&lt;30,TODAY()&lt;$C14)</formula>
    </cfRule>
  </conditionalFormatting>
  <conditionalFormatting sqref="C14:D14">
    <cfRule type="cellIs" dxfId="229" priority="53" stopIfTrue="1" operator="lessThan">
      <formula>$B$2</formula>
    </cfRule>
  </conditionalFormatting>
  <conditionalFormatting sqref="C16:D16">
    <cfRule type="expression" dxfId="228" priority="50">
      <formula>AND($C16-TODAY()&lt;30,TODAY()&lt;$C16)</formula>
    </cfRule>
  </conditionalFormatting>
  <conditionalFormatting sqref="C16:D16">
    <cfRule type="cellIs" dxfId="227" priority="51" stopIfTrue="1" operator="lessThan">
      <formula>$B$2</formula>
    </cfRule>
  </conditionalFormatting>
  <conditionalFormatting sqref="C18:D18">
    <cfRule type="expression" dxfId="226" priority="48">
      <formula>AND($C18-TODAY()&lt;30,TODAY()&lt;$C18)</formula>
    </cfRule>
  </conditionalFormatting>
  <conditionalFormatting sqref="C18:D18">
    <cfRule type="cellIs" dxfId="225" priority="49" stopIfTrue="1" operator="lessThan">
      <formula>$B$2</formula>
    </cfRule>
  </conditionalFormatting>
  <conditionalFormatting sqref="C20:D20">
    <cfRule type="expression" dxfId="224" priority="46">
      <formula>AND($C20-TODAY()&lt;30,TODAY()&lt;$C20)</formula>
    </cfRule>
  </conditionalFormatting>
  <conditionalFormatting sqref="C20:D20">
    <cfRule type="cellIs" dxfId="223" priority="47" stopIfTrue="1" operator="lessThan">
      <formula>$B$2</formula>
    </cfRule>
  </conditionalFormatting>
  <conditionalFormatting sqref="C22:D22">
    <cfRule type="expression" dxfId="222" priority="44">
      <formula>AND($C22-TODAY()&lt;30,TODAY()&lt;$C22)</formula>
    </cfRule>
  </conditionalFormatting>
  <conditionalFormatting sqref="C22:D22">
    <cfRule type="cellIs" dxfId="221" priority="45" stopIfTrue="1" operator="lessThan">
      <formula>$B$2</formula>
    </cfRule>
  </conditionalFormatting>
  <conditionalFormatting sqref="D15">
    <cfRule type="expression" dxfId="220" priority="42">
      <formula>AND($C15-TODAY()&lt;30,TODAY()&lt;$C15)</formula>
    </cfRule>
  </conditionalFormatting>
  <conditionalFormatting sqref="D15">
    <cfRule type="cellIs" dxfId="219" priority="43" stopIfTrue="1" operator="lessThan">
      <formula>$B$2</formula>
    </cfRule>
  </conditionalFormatting>
  <conditionalFormatting sqref="C17:D17">
    <cfRule type="expression" dxfId="218" priority="40">
      <formula>AND($C17-TODAY()&lt;30,TODAY()&lt;$C17)</formula>
    </cfRule>
  </conditionalFormatting>
  <conditionalFormatting sqref="C17:D17">
    <cfRule type="cellIs" dxfId="217" priority="41" stopIfTrue="1" operator="lessThan">
      <formula>$B$2</formula>
    </cfRule>
  </conditionalFormatting>
  <conditionalFormatting sqref="C19:D19">
    <cfRule type="expression" dxfId="216" priority="38">
      <formula>AND($C19-TODAY()&lt;30,TODAY()&lt;$C19)</formula>
    </cfRule>
  </conditionalFormatting>
  <conditionalFormatting sqref="C19:D19">
    <cfRule type="cellIs" dxfId="215" priority="39" stopIfTrue="1" operator="lessThan">
      <formula>$B$2</formula>
    </cfRule>
  </conditionalFormatting>
  <conditionalFormatting sqref="C21:D21">
    <cfRule type="expression" dxfId="214" priority="36">
      <formula>AND($C21-TODAY()&lt;30,TODAY()&lt;$C21)</formula>
    </cfRule>
  </conditionalFormatting>
  <conditionalFormatting sqref="C21:D21">
    <cfRule type="cellIs" dxfId="213" priority="37" stopIfTrue="1" operator="lessThan">
      <formula>$B$2</formula>
    </cfRule>
  </conditionalFormatting>
  <conditionalFormatting sqref="C23:D23">
    <cfRule type="expression" dxfId="212" priority="34">
      <formula>AND($C23-TODAY()&lt;30,TODAY()&lt;$C23)</formula>
    </cfRule>
  </conditionalFormatting>
  <conditionalFormatting sqref="C23:D23">
    <cfRule type="cellIs" dxfId="211" priority="35" stopIfTrue="1" operator="lessThan">
      <formula>$B$2</formula>
    </cfRule>
  </conditionalFormatting>
  <conditionalFormatting sqref="G16">
    <cfRule type="cellIs" dxfId="210" priority="32" stopIfTrue="1" operator="lessThan">
      <formula>$B$2</formula>
    </cfRule>
  </conditionalFormatting>
  <conditionalFormatting sqref="G18">
    <cfRule type="cellIs" dxfId="209" priority="31" stopIfTrue="1" operator="lessThan">
      <formula>$B$2</formula>
    </cfRule>
  </conditionalFormatting>
  <conditionalFormatting sqref="G22">
    <cfRule type="cellIs" dxfId="208" priority="30" stopIfTrue="1" operator="lessThan">
      <formula>$B$2</formula>
    </cfRule>
  </conditionalFormatting>
  <conditionalFormatting sqref="G21">
    <cfRule type="cellIs" dxfId="207" priority="29" stopIfTrue="1" operator="lessThan">
      <formula>$B$2</formula>
    </cfRule>
  </conditionalFormatting>
  <conditionalFormatting sqref="G17">
    <cfRule type="cellIs" dxfId="206" priority="28" stopIfTrue="1" operator="lessThan">
      <formula>$B$2</formula>
    </cfRule>
  </conditionalFormatting>
  <conditionalFormatting sqref="B4:B14 F4:F14 B16:B23 F16:F23">
    <cfRule type="cellIs" dxfId="205" priority="27" stopIfTrue="1" operator="equal">
      <formula>"已过期"</formula>
    </cfRule>
  </conditionalFormatting>
  <conditionalFormatting sqref="H28">
    <cfRule type="expression" dxfId="204" priority="25">
      <formula>AND($F28-TODAY()&lt;30,TODAY()&lt;$F28)</formula>
    </cfRule>
  </conditionalFormatting>
  <conditionalFormatting sqref="H28">
    <cfRule type="cellIs" dxfId="203" priority="26" stopIfTrue="1" operator="lessThan">
      <formula>$B$2</formula>
    </cfRule>
  </conditionalFormatting>
  <conditionalFormatting sqref="H29">
    <cfRule type="expression" dxfId="202" priority="23" stopIfTrue="1">
      <formula>AND($F29-TODAY()&lt;30,TODAY()&lt;$F29)</formula>
    </cfRule>
  </conditionalFormatting>
  <conditionalFormatting sqref="H29">
    <cfRule type="cellIs" dxfId="201" priority="24" stopIfTrue="1" operator="lessThan">
      <formula>$B$2</formula>
    </cfRule>
  </conditionalFormatting>
  <conditionalFormatting sqref="C5">
    <cfRule type="expression" dxfId="200" priority="21">
      <formula>AND($C5-TODAY()&lt;30,TODAY()&lt;$C5)</formula>
    </cfRule>
  </conditionalFormatting>
  <conditionalFormatting sqref="C5">
    <cfRule type="cellIs" dxfId="199" priority="22" stopIfTrue="1" operator="lessThan">
      <formula>$B$2</formula>
    </cfRule>
  </conditionalFormatting>
  <conditionalFormatting sqref="C4:C6">
    <cfRule type="expression" dxfId="198" priority="19">
      <formula>AND($C4-TODAY()&lt;30,TODAY()&lt;$C4)</formula>
    </cfRule>
  </conditionalFormatting>
  <conditionalFormatting sqref="C4:C6">
    <cfRule type="cellIs" dxfId="197" priority="20" stopIfTrue="1" operator="lessThan">
      <formula>$B$2</formula>
    </cfRule>
  </conditionalFormatting>
  <conditionalFormatting sqref="C8">
    <cfRule type="expression" dxfId="196" priority="17">
      <formula>AND($C8-TODAY()&lt;30,TODAY()&lt;$C8)</formula>
    </cfRule>
  </conditionalFormatting>
  <conditionalFormatting sqref="C8">
    <cfRule type="cellIs" dxfId="195" priority="18" stopIfTrue="1" operator="lessThan">
      <formula>$B$2</formula>
    </cfRule>
  </conditionalFormatting>
  <conditionalFormatting sqref="C9">
    <cfRule type="expression" dxfId="194" priority="15">
      <formula>AND($C9-TODAY()&lt;30,TODAY()&lt;$C9)</formula>
    </cfRule>
  </conditionalFormatting>
  <conditionalFormatting sqref="C9">
    <cfRule type="cellIs" dxfId="193" priority="16" stopIfTrue="1" operator="lessThan">
      <formula>$B$2</formula>
    </cfRule>
  </conditionalFormatting>
  <conditionalFormatting sqref="C13">
    <cfRule type="expression" dxfId="192" priority="13">
      <formula>AND($C13-TODAY()&lt;30,TODAY()&lt;$C13)</formula>
    </cfRule>
  </conditionalFormatting>
  <conditionalFormatting sqref="C13">
    <cfRule type="cellIs" dxfId="191" priority="14" stopIfTrue="1" operator="lessThan">
      <formula>$B$2</formula>
    </cfRule>
  </conditionalFormatting>
  <conditionalFormatting sqref="C15">
    <cfRule type="expression" dxfId="190" priority="11">
      <formula>AND($C15-TODAY()&lt;30,TODAY()&lt;$C15)</formula>
    </cfRule>
  </conditionalFormatting>
  <conditionalFormatting sqref="C15">
    <cfRule type="cellIs" dxfId="189" priority="12" stopIfTrue="1" operator="lessThan">
      <formula>$B$2</formula>
    </cfRule>
  </conditionalFormatting>
  <conditionalFormatting sqref="C15">
    <cfRule type="expression" dxfId="188" priority="9">
      <formula>AND($C15-TODAY()&lt;30,TODAY()&lt;$C15)</formula>
    </cfRule>
  </conditionalFormatting>
  <conditionalFormatting sqref="C15">
    <cfRule type="cellIs" dxfId="187" priority="10" stopIfTrue="1" operator="lessThan">
      <formula>$B$2</formula>
    </cfRule>
  </conditionalFormatting>
  <conditionalFormatting sqref="B15">
    <cfRule type="cellIs" dxfId="186" priority="8" stopIfTrue="1" operator="equal">
      <formula>"已过期"</formula>
    </cfRule>
  </conditionalFormatting>
  <conditionalFormatting sqref="A15">
    <cfRule type="cellIs" dxfId="185" priority="7" stopIfTrue="1" operator="equal">
      <formula>"已过期"</formula>
    </cfRule>
  </conditionalFormatting>
  <conditionalFormatting sqref="C15">
    <cfRule type="expression" dxfId="184" priority="6">
      <formula>AND($C15-TODAY()&lt;30,TODAY()&lt;$C15)</formula>
    </cfRule>
  </conditionalFormatting>
  <conditionalFormatting sqref="F15">
    <cfRule type="cellIs" dxfId="183" priority="5" stopIfTrue="1" operator="equal">
      <formula>"已过期"</formula>
    </cfRule>
  </conditionalFormatting>
  <conditionalFormatting sqref="E15">
    <cfRule type="cellIs" dxfId="182" priority="4" stopIfTrue="1" operator="equal">
      <formula>"已过期"</formula>
    </cfRule>
  </conditionalFormatting>
  <conditionalFormatting sqref="A24:C24">
    <cfRule type="cellIs" dxfId="181" priority="3" stopIfTrue="1" operator="equal">
      <formula>"已过期"</formula>
    </cfRule>
  </conditionalFormatting>
  <conditionalFormatting sqref="E24:G24">
    <cfRule type="cellIs" dxfId="180" priority="2" stopIfTrue="1" operator="equal">
      <formula>"已过期"</formula>
    </cfRule>
  </conditionalFormatting>
  <conditionalFormatting sqref="G13">
    <cfRule type="cellIs" dxfId="179"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I19" sqref="AI19"/>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2746" t="s">
        <v>2890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有限公司拟使用重庆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169</vt:i4>
      </vt:variant>
    </vt:vector>
  </HeadingPairs>
  <TitlesOfParts>
    <vt:vector size="20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比较法!住宅朝向</vt:lpstr>
      <vt:lpstr>'比较法-租金'!住宅朝向</vt:lpstr>
      <vt:lpstr>住宅朝向</vt:lpstr>
      <vt:lpstr>比较法!住宅房型</vt:lpstr>
      <vt:lpstr>'比较法-租金'!住宅房型</vt:lpstr>
      <vt:lpstr>住宅房型</vt:lpstr>
      <vt:lpstr>比较法!住宅公共部分装修</vt:lpstr>
      <vt:lpstr>'比较法-租金'!住宅公共部分装修</vt:lpstr>
      <vt:lpstr>住宅公共部分装修</vt:lpstr>
      <vt:lpstr>比较法!住宅基础设施水平</vt:lpstr>
      <vt:lpstr>'比较法-租金'!住宅基础设施水平</vt:lpstr>
      <vt:lpstr>住宅基础设施水平</vt:lpstr>
      <vt:lpstr>比较法!住宅建筑结构</vt:lpstr>
      <vt:lpstr>'比较法-租金'!住宅建筑结构</vt:lpstr>
      <vt:lpstr>住宅建筑结构</vt:lpstr>
      <vt:lpstr>比较法!住宅建筑类型</vt:lpstr>
      <vt:lpstr>'比较法-租金'!住宅建筑类型</vt:lpstr>
      <vt:lpstr>住宅建筑类型</vt:lpstr>
      <vt:lpstr>比较法!住宅建筑品质</vt:lpstr>
      <vt:lpstr>'比较法-租金'!住宅建筑品质</vt:lpstr>
      <vt:lpstr>住宅建筑品质</vt:lpstr>
      <vt:lpstr>比较法!住宅交易情况</vt:lpstr>
      <vt:lpstr>'比较法-租金'!住宅交易情况</vt:lpstr>
      <vt:lpstr>住宅交易情况</vt:lpstr>
      <vt:lpstr>比较法!住宅楼层</vt:lpstr>
      <vt:lpstr>'比较法-租金'!住宅楼层</vt:lpstr>
      <vt:lpstr>住宅楼层</vt:lpstr>
      <vt:lpstr>比较法!住宅内部装修</vt:lpstr>
      <vt:lpstr>'比较法-租金'!住宅内部装修</vt:lpstr>
      <vt:lpstr>住宅内部装修</vt:lpstr>
      <vt:lpstr>比较法!住宅物业管理</vt:lpstr>
      <vt:lpstr>'比较法-租金'!住宅物业管理</vt:lpstr>
      <vt:lpstr>住宅物业管理</vt:lpstr>
      <vt:lpstr>比较法!住宅用途</vt:lpstr>
      <vt:lpstr>'比较法-租金'!住宅用途</vt:lpstr>
      <vt:lpstr>住宅用途</vt:lpstr>
      <vt:lpstr>比较法!住宅主力户型面积</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2017-12-11T06:07:35Z</dcterms:modified>
</cp:coreProperties>
</file>