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租金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F9" i="15" l="1"/>
  <c r="F6" i="15"/>
  <c r="F31" i="15"/>
  <c r="F40" i="15"/>
  <c r="F42" i="15"/>
  <c r="C17" i="9"/>
  <c r="D17" i="9"/>
  <c r="C18" i="9" s="1"/>
  <c r="D18" i="9" s="1"/>
  <c r="D29" i="43"/>
  <c r="AH5" i="59"/>
  <c r="AG5" i="59"/>
  <c r="AE5" i="59"/>
  <c r="AF5" i="59"/>
  <c r="AD5" i="59"/>
  <c r="Q5" i="59"/>
  <c r="P5" i="59"/>
  <c r="O5" i="59"/>
  <c r="N5" i="59"/>
  <c r="G2" i="43"/>
  <c r="C6" i="43" s="1"/>
  <c r="I2" i="43"/>
  <c r="M1" i="43"/>
  <c r="G17" i="43"/>
  <c r="I17" i="43"/>
  <c r="C17" i="43"/>
  <c r="L3" i="59"/>
  <c r="K3" i="59"/>
  <c r="J3" i="59"/>
  <c r="I3" i="59"/>
  <c r="AD3" i="59" s="1"/>
  <c r="AH6" i="59"/>
  <c r="AG6" i="59"/>
  <c r="AE6" i="59"/>
  <c r="AF6" i="59" s="1"/>
  <c r="AD6" i="59"/>
  <c r="Q6" i="59"/>
  <c r="Q7" i="59"/>
  <c r="P6" i="59"/>
  <c r="P7" i="59"/>
  <c r="O6" i="59"/>
  <c r="O7" i="59"/>
  <c r="N6" i="59"/>
  <c r="N7" i="59"/>
  <c r="N8" i="59"/>
  <c r="O8" i="59"/>
  <c r="P8" i="59"/>
  <c r="E8" i="59"/>
  <c r="E7" i="59" s="1"/>
  <c r="E6" i="59" s="1"/>
  <c r="E5" i="59" s="1"/>
  <c r="Q8" i="59"/>
  <c r="F8" i="59"/>
  <c r="F7" i="59" s="1"/>
  <c r="F6" i="59" s="1"/>
  <c r="F5" i="59" s="1"/>
  <c r="AD7" i="59"/>
  <c r="AE7" i="59"/>
  <c r="AF7" i="59" s="1"/>
  <c r="AG7" i="59"/>
  <c r="AH7" i="59"/>
  <c r="M48" i="15"/>
  <c r="B2" i="1"/>
  <c r="F30" i="1" s="1"/>
  <c r="B23" i="1"/>
  <c r="B13" i="1"/>
  <c r="L49" i="15" s="1"/>
  <c r="J50" i="15"/>
  <c r="J51" i="15"/>
  <c r="B25" i="1"/>
  <c r="AH8" i="59"/>
  <c r="AG8" i="59"/>
  <c r="AE8" i="59"/>
  <c r="AF8" i="59"/>
  <c r="AD8" i="59"/>
  <c r="B5" i="1"/>
  <c r="F7" i="15"/>
  <c r="F8" i="15"/>
  <c r="C6" i="15" s="1"/>
  <c r="AH9" i="59"/>
  <c r="AG9" i="59"/>
  <c r="AE9" i="59"/>
  <c r="AF9" i="59" s="1"/>
  <c r="AD9" i="59"/>
  <c r="Q9" i="59"/>
  <c r="P9" i="59"/>
  <c r="O9" i="59"/>
  <c r="N9" i="59"/>
  <c r="Q10" i="59"/>
  <c r="P10" i="59"/>
  <c r="O10" i="59"/>
  <c r="N10" i="59"/>
  <c r="D10" i="59"/>
  <c r="E9" i="59"/>
  <c r="U9" i="59"/>
  <c r="F9" i="59"/>
  <c r="C9" i="59"/>
  <c r="B9" i="59"/>
  <c r="A2" i="50"/>
  <c r="V9" i="59"/>
  <c r="K60" i="15"/>
  <c r="P59" i="15" s="1"/>
  <c r="A126" i="57"/>
  <c r="A123" i="9"/>
  <c r="A16" i="54"/>
  <c r="A14" i="54"/>
  <c r="A19" i="55"/>
  <c r="A13" i="55"/>
  <c r="A1" i="52"/>
  <c r="A4" i="50"/>
  <c r="P11" i="59"/>
  <c r="O11" i="59"/>
  <c r="N11" i="59"/>
  <c r="Q11" i="59"/>
  <c r="C76" i="9"/>
  <c r="C77" i="57"/>
  <c r="J56" i="57"/>
  <c r="K55" i="9"/>
  <c r="J55" i="9"/>
  <c r="J57" i="9" s="1"/>
  <c r="I6" i="4"/>
  <c r="K56" i="9"/>
  <c r="J57" i="57"/>
  <c r="J58" i="57"/>
  <c r="J60" i="57" s="1"/>
  <c r="J62" i="57" s="1"/>
  <c r="N57" i="57"/>
  <c r="K57" i="57"/>
  <c r="N56" i="9"/>
  <c r="J56" i="9"/>
  <c r="J59" i="9"/>
  <c r="J61" i="9" s="1"/>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c r="AG3" i="59"/>
  <c r="AH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D24" i="59"/>
  <c r="AF24" i="59"/>
  <c r="AD25" i="59"/>
  <c r="AE25" i="59"/>
  <c r="AF25" i="59"/>
  <c r="AG25" i="59"/>
  <c r="AH25"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A116" i="9"/>
  <c r="F113" i="57"/>
  <c r="I113" i="57" s="1"/>
  <c r="M50" i="57" s="1"/>
  <c r="A117" i="57"/>
  <c r="A130" i="57" s="1"/>
  <c r="A114" i="9"/>
  <c r="A127" i="9" s="1"/>
  <c r="F114" i="9"/>
  <c r="A129" i="9" s="1"/>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B24" i="60" s="1"/>
  <c r="C7" i="50"/>
  <c r="C15" i="50"/>
  <c r="C18" i="50"/>
  <c r="C21" i="50"/>
  <c r="B20" i="60"/>
  <c r="C35" i="50"/>
  <c r="C34" i="50"/>
  <c r="C33" i="50"/>
  <c r="C12" i="50"/>
  <c r="C13" i="50"/>
  <c r="B13" i="60"/>
  <c r="B9" i="60"/>
  <c r="C42" i="50"/>
  <c r="C36" i="50"/>
  <c r="C39" i="50"/>
  <c r="I19" i="43"/>
  <c r="A135" i="57"/>
  <c r="F118" i="57"/>
  <c r="D74" i="59"/>
  <c r="F73" i="59"/>
  <c r="F72" i="59" s="1"/>
  <c r="F71" i="59" s="1"/>
  <c r="E73" i="59"/>
  <c r="E72" i="59"/>
  <c r="E71" i="59" s="1"/>
  <c r="C73" i="59"/>
  <c r="D73" i="59" s="1"/>
  <c r="B73" i="59"/>
  <c r="B72" i="59" s="1"/>
  <c r="B71" i="59" s="1"/>
  <c r="D70" i="59"/>
  <c r="F69" i="59"/>
  <c r="F68" i="59" s="1"/>
  <c r="F67" i="59" s="1"/>
  <c r="E69" i="59"/>
  <c r="E68" i="59"/>
  <c r="E67" i="59" s="1"/>
  <c r="C69" i="59"/>
  <c r="D69" i="59" s="1"/>
  <c r="B69" i="59"/>
  <c r="B68" i="59" s="1"/>
  <c r="B67" i="59" s="1"/>
  <c r="D66" i="59"/>
  <c r="S65" i="59"/>
  <c r="Q65" i="59"/>
  <c r="P65" i="59"/>
  <c r="O65" i="59"/>
  <c r="N65" i="59"/>
  <c r="F65" i="59"/>
  <c r="V65" i="59"/>
  <c r="E65" i="59"/>
  <c r="U65" i="59"/>
  <c r="C65" i="59"/>
  <c r="T65" i="59"/>
  <c r="B65" i="59"/>
  <c r="Q64" i="59"/>
  <c r="P64" i="59"/>
  <c r="O64" i="59"/>
  <c r="N64" i="59"/>
  <c r="F64" i="59"/>
  <c r="F63" i="59" s="1"/>
  <c r="B64" i="59"/>
  <c r="B63" i="59" s="1"/>
  <c r="Q63" i="59"/>
  <c r="P63" i="59"/>
  <c r="O63" i="59"/>
  <c r="N63" i="59"/>
  <c r="Q62" i="59"/>
  <c r="P62" i="59"/>
  <c r="O62" i="59"/>
  <c r="N62" i="59"/>
  <c r="D62" i="59"/>
  <c r="Q61" i="59"/>
  <c r="P61" i="59"/>
  <c r="O61" i="59"/>
  <c r="N61" i="59"/>
  <c r="F61" i="59"/>
  <c r="E61" i="59"/>
  <c r="U61" i="59" s="1"/>
  <c r="C61" i="59"/>
  <c r="T61" i="59" s="1"/>
  <c r="B61" i="59"/>
  <c r="Q60" i="59"/>
  <c r="P60" i="59"/>
  <c r="O60" i="59"/>
  <c r="N60"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s="1"/>
  <c r="B56" i="59"/>
  <c r="B55" i="59" s="1"/>
  <c r="Q55" i="59"/>
  <c r="P55" i="59"/>
  <c r="O55" i="59"/>
  <c r="N55" i="59"/>
  <c r="Q54" i="59"/>
  <c r="P54" i="59"/>
  <c r="O54" i="59"/>
  <c r="N54" i="59"/>
  <c r="D54" i="59"/>
  <c r="S53" i="59"/>
  <c r="N53" i="59"/>
  <c r="F53" i="59"/>
  <c r="V53" i="59"/>
  <c r="E53" i="59"/>
  <c r="U53" i="59" s="1"/>
  <c r="E52" i="59"/>
  <c r="P52" i="59" s="1"/>
  <c r="C53" i="59"/>
  <c r="B53" i="59"/>
  <c r="F52" i="59"/>
  <c r="F51" i="59" s="1"/>
  <c r="Q51" i="59" s="1"/>
  <c r="B52" i="59"/>
  <c r="E51" i="59"/>
  <c r="P50"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c r="F44" i="59" s="1"/>
  <c r="F45" i="59" s="1"/>
  <c r="V45" i="59" s="1"/>
  <c r="P42" i="59"/>
  <c r="E43" i="59" s="1"/>
  <c r="E44" i="59" s="1"/>
  <c r="E45" i="59" s="1"/>
  <c r="U45" i="59" s="1"/>
  <c r="O42" i="59"/>
  <c r="C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E35" i="59"/>
  <c r="E36" i="59" s="1"/>
  <c r="E37" i="59" s="1"/>
  <c r="U37" i="59" s="1"/>
  <c r="Q34" i="59"/>
  <c r="F35" i="59" s="1"/>
  <c r="F36" i="59" s="1"/>
  <c r="F37" i="59" s="1"/>
  <c r="V37" i="59" s="1"/>
  <c r="P34" i="59"/>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s="1"/>
  <c r="F32" i="59" s="1"/>
  <c r="F33" i="59" s="1"/>
  <c r="V33" i="59" s="1"/>
  <c r="P30" i="59"/>
  <c r="E31" i="59"/>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c r="E28" i="59" s="1"/>
  <c r="E29" i="59" s="1"/>
  <c r="U29" i="59" s="1"/>
  <c r="O26" i="59"/>
  <c r="C27" i="59" s="1"/>
  <c r="N26" i="59"/>
  <c r="B27" i="59" s="1"/>
  <c r="B28" i="59" s="1"/>
  <c r="B29" i="59" s="1"/>
  <c r="S29" i="59" s="1"/>
  <c r="D26" i="59"/>
  <c r="Q25" i="59"/>
  <c r="P25" i="59"/>
  <c r="O25" i="59"/>
  <c r="N25" i="59"/>
  <c r="AB24" i="59"/>
  <c r="Q24" i="59"/>
  <c r="P24" i="59"/>
  <c r="AA24" i="59" s="1"/>
  <c r="O24" i="59"/>
  <c r="Y24" i="59" s="1"/>
  <c r="Z24" i="59" s="1"/>
  <c r="N24" i="59"/>
  <c r="X24" i="59"/>
  <c r="Q23" i="59"/>
  <c r="AB23" i="59" s="1"/>
  <c r="P23" i="59"/>
  <c r="O23" i="59"/>
  <c r="Y23" i="59" s="1"/>
  <c r="Z23" i="59" s="1"/>
  <c r="N23" i="59"/>
  <c r="X23" i="59" s="1"/>
  <c r="Q22" i="59"/>
  <c r="AB22" i="59" s="1"/>
  <c r="P22" i="59"/>
  <c r="E23" i="59"/>
  <c r="E24" i="59" s="1"/>
  <c r="E25" i="59" s="1"/>
  <c r="O22" i="59"/>
  <c r="Y22" i="59" s="1"/>
  <c r="Z22" i="59" s="1"/>
  <c r="N22" i="59"/>
  <c r="X22" i="59" s="1"/>
  <c r="D22" i="59"/>
  <c r="Q21" i="59"/>
  <c r="AB21" i="59" s="1"/>
  <c r="P21" i="59"/>
  <c r="O21" i="59"/>
  <c r="Y21" i="59" s="1"/>
  <c r="Z21" i="59" s="1"/>
  <c r="N21" i="59"/>
  <c r="Q20" i="59"/>
  <c r="AB20" i="59" s="1"/>
  <c r="P20" i="59"/>
  <c r="O20" i="59"/>
  <c r="Y20" i="59" s="1"/>
  <c r="Z20" i="59" s="1"/>
  <c r="N20" i="59"/>
  <c r="Q19" i="59"/>
  <c r="AB19" i="59" s="1"/>
  <c r="P19" i="59"/>
  <c r="O19" i="59"/>
  <c r="Y19" i="59" s="1"/>
  <c r="Z19" i="59" s="1"/>
  <c r="N19" i="59"/>
  <c r="Q18" i="59"/>
  <c r="AB18" i="59" s="1"/>
  <c r="P18" i="59"/>
  <c r="E19" i="59"/>
  <c r="E20" i="59" s="1"/>
  <c r="E21" i="59" s="1"/>
  <c r="U21" i="59" s="1"/>
  <c r="O18" i="59"/>
  <c r="Y18" i="59" s="1"/>
  <c r="Z18" i="59" s="1"/>
  <c r="N18" i="59"/>
  <c r="X18" i="59" s="1"/>
  <c r="D18" i="59"/>
  <c r="Q17" i="59"/>
  <c r="AB17" i="59" s="1"/>
  <c r="P17" i="59"/>
  <c r="O17" i="59"/>
  <c r="Y17" i="59" s="1"/>
  <c r="Z17" i="59" s="1"/>
  <c r="N17" i="59"/>
  <c r="Q16" i="59"/>
  <c r="AB16" i="59" s="1"/>
  <c r="P16" i="59"/>
  <c r="AA16" i="59" s="1"/>
  <c r="O16" i="59"/>
  <c r="Y16" i="59" s="1"/>
  <c r="Z16" i="59" s="1"/>
  <c r="N16" i="59"/>
  <c r="Q15" i="59"/>
  <c r="AB15" i="59" s="1"/>
  <c r="P15" i="59"/>
  <c r="AA15" i="59" s="1"/>
  <c r="O15" i="59"/>
  <c r="Y15" i="59" s="1"/>
  <c r="Z15" i="59" s="1"/>
  <c r="N15" i="59"/>
  <c r="Q14" i="59"/>
  <c r="AB14" i="59" s="1"/>
  <c r="P14" i="59"/>
  <c r="AA14" i="59" s="1"/>
  <c r="E15" i="59"/>
  <c r="E16" i="59" s="1"/>
  <c r="E17" i="59" s="1"/>
  <c r="U17" i="59" s="1"/>
  <c r="O14" i="59"/>
  <c r="Y14" i="59" s="1"/>
  <c r="Z14" i="59" s="1"/>
  <c r="N14" i="59"/>
  <c r="X14" i="59" s="1"/>
  <c r="D14" i="59"/>
  <c r="O13" i="59"/>
  <c r="N13" i="59"/>
  <c r="C13" i="59"/>
  <c r="T13" i="59" s="1"/>
  <c r="Y10" i="59"/>
  <c r="Z10" i="59" s="1"/>
  <c r="Y11" i="59"/>
  <c r="Z11" i="59" s="1"/>
  <c r="Y13" i="59"/>
  <c r="Z13" i="59" s="1"/>
  <c r="Y12" i="59"/>
  <c r="Z12" i="59" s="1"/>
  <c r="B13" i="59"/>
  <c r="B12" i="59" s="1"/>
  <c r="B11" i="59" s="1"/>
  <c r="X12" i="59"/>
  <c r="X11" i="59"/>
  <c r="P13" i="59"/>
  <c r="AA11" i="59" s="1"/>
  <c r="Q50" i="59"/>
  <c r="P51" i="59"/>
  <c r="U57" i="59"/>
  <c r="E56" i="59"/>
  <c r="E55" i="59"/>
  <c r="Q13" i="59"/>
  <c r="N52" i="59"/>
  <c r="B51" i="59"/>
  <c r="Q52" i="59"/>
  <c r="T53" i="59"/>
  <c r="O53" i="59"/>
  <c r="D53" i="59"/>
  <c r="C52" i="59"/>
  <c r="C51" i="59" s="1"/>
  <c r="T57" i="59"/>
  <c r="D57" i="59"/>
  <c r="C56" i="59"/>
  <c r="Q53" i="59"/>
  <c r="C60" i="59"/>
  <c r="E60" i="59"/>
  <c r="E59" i="59" s="1"/>
  <c r="D61" i="59"/>
  <c r="C64" i="59"/>
  <c r="E64" i="59"/>
  <c r="E63" i="59" s="1"/>
  <c r="D65" i="59"/>
  <c r="C68" i="59"/>
  <c r="C72" i="59"/>
  <c r="D72" i="59" s="1"/>
  <c r="F13" i="59"/>
  <c r="AB10" i="59"/>
  <c r="AB12" i="59"/>
  <c r="E13" i="59"/>
  <c r="E12" i="59" s="1"/>
  <c r="E11" i="59" s="1"/>
  <c r="AA12" i="59"/>
  <c r="AA3" i="59"/>
  <c r="C12" i="59"/>
  <c r="C11" i="59" s="1"/>
  <c r="D11" i="59" s="1"/>
  <c r="D68" i="59"/>
  <c r="C67" i="59"/>
  <c r="D67" i="59"/>
  <c r="D60" i="59"/>
  <c r="C59" i="59"/>
  <c r="D59" i="59" s="1"/>
  <c r="C55" i="59"/>
  <c r="D55" i="59" s="1"/>
  <c r="D56" i="59"/>
  <c r="C71" i="59"/>
  <c r="D71" i="59" s="1"/>
  <c r="D64" i="59"/>
  <c r="C63" i="59"/>
  <c r="D63" i="59"/>
  <c r="O52" i="59"/>
  <c r="N50" i="59"/>
  <c r="N51" i="59"/>
  <c r="D12" i="59"/>
  <c r="F12" i="59"/>
  <c r="F11" i="59" s="1"/>
  <c r="V13" i="59"/>
  <c r="C22" i="20"/>
  <c r="B75" i="43"/>
  <c r="B66" i="43"/>
  <c r="B55" i="43"/>
  <c r="Q25" i="40"/>
  <c r="Z25" i="40" s="1"/>
  <c r="D94" i="40"/>
  <c r="E94" i="40" s="1"/>
  <c r="F94" i="40" s="1"/>
  <c r="G94" i="40" s="1"/>
  <c r="H25" i="40"/>
  <c r="U25" i="40" s="1"/>
  <c r="F25" i="40"/>
  <c r="AA25" i="40" s="1"/>
  <c r="Q27" i="39"/>
  <c r="Z27" i="39" s="1"/>
  <c r="D101" i="39"/>
  <c r="E101" i="39"/>
  <c r="F101" i="39" s="1"/>
  <c r="G101" i="39" s="1"/>
  <c r="C29" i="39"/>
  <c r="C21" i="20"/>
  <c r="C27" i="39"/>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W18" i="35"/>
  <c r="U18" i="35"/>
  <c r="U21" i="37"/>
  <c r="S21" i="34"/>
  <c r="U21" i="33"/>
  <c r="S21" i="33"/>
  <c r="J25" i="40"/>
  <c r="J27" i="39"/>
  <c r="H27" i="39"/>
  <c r="F27" i="39"/>
  <c r="H18" i="36"/>
  <c r="J18" i="36"/>
  <c r="J21" i="37"/>
  <c r="F84" i="34"/>
  <c r="H21" i="34"/>
  <c r="J21" i="33"/>
  <c r="H21" i="21"/>
  <c r="F52" i="15"/>
  <c r="F15" i="15"/>
  <c r="F16" i="15"/>
  <c r="F17" i="15"/>
  <c r="F18" i="15"/>
  <c r="F20" i="15"/>
  <c r="F23" i="15"/>
  <c r="D23" i="15"/>
  <c r="F26" i="15"/>
  <c r="F21" i="15"/>
  <c r="C21" i="15" s="1"/>
  <c r="F33" i="15"/>
  <c r="F62" i="15" s="1"/>
  <c r="F36" i="15"/>
  <c r="F65" i="15" s="1"/>
  <c r="F13" i="15"/>
  <c r="F37" i="15"/>
  <c r="F66" i="15"/>
  <c r="F38" i="15"/>
  <c r="F67" i="15"/>
  <c r="M6" i="15"/>
  <c r="M8" i="15"/>
  <c r="M9" i="15"/>
  <c r="G58" i="40"/>
  <c r="C58" i="40" s="1"/>
  <c r="M19" i="15"/>
  <c r="M24" i="15"/>
  <c r="M22" i="15"/>
  <c r="J15" i="15"/>
  <c r="M23" i="15"/>
  <c r="C2" i="11"/>
  <c r="F2" i="11"/>
  <c r="C7" i="12"/>
  <c r="C8" i="12"/>
  <c r="D20" i="12"/>
  <c r="D19" i="12"/>
  <c r="D17" i="12"/>
  <c r="D14" i="12"/>
  <c r="C2" i="12"/>
  <c r="B24" i="1"/>
  <c r="F11" i="12"/>
  <c r="F28" i="12"/>
  <c r="I1" i="4"/>
  <c r="B6" i="50"/>
  <c r="B17" i="60" s="1"/>
  <c r="B1" i="4"/>
  <c r="B9" i="49" s="1"/>
  <c r="B2" i="60" s="1"/>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c r="N9" i="31" s="1"/>
  <c r="O9" i="31" s="1"/>
  <c r="P9" i="31" s="1"/>
  <c r="Q9" i="31" s="1"/>
  <c r="R9" i="31" s="1"/>
  <c r="S9" i="31" s="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c r="F57" i="57"/>
  <c r="K56" i="57"/>
  <c r="I56" i="57"/>
  <c r="F56" i="57"/>
  <c r="O54" i="57" s="1"/>
  <c r="O55" i="57"/>
  <c r="N55" i="57"/>
  <c r="N54" i="57"/>
  <c r="E49" i="57"/>
  <c r="N53" i="57"/>
  <c r="D27" i="57"/>
  <c r="C24" i="57"/>
  <c r="H19" i="57"/>
  <c r="D17" i="57"/>
  <c r="C17" i="57"/>
  <c r="L4" i="57"/>
  <c r="K4" i="57"/>
  <c r="B32" i="9"/>
  <c r="C23" i="31"/>
  <c r="C2" i="36"/>
  <c r="F2" i="36" s="1"/>
  <c r="C2" i="35"/>
  <c r="C2" i="37"/>
  <c r="F2" i="37"/>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H23" i="48"/>
  <c r="H24" i="48"/>
  <c r="D24" i="48"/>
  <c r="D21" i="48"/>
  <c r="B21" i="49"/>
  <c r="B5" i="60" s="1"/>
  <c r="B12" i="49"/>
  <c r="B3" i="60" s="1"/>
  <c r="B2" i="48"/>
  <c r="F21" i="48" s="1"/>
  <c r="H21" i="48" s="1"/>
  <c r="H6" i="44"/>
  <c r="E30" i="4"/>
  <c r="C7" i="4"/>
  <c r="G3" i="43"/>
  <c r="C121" i="9"/>
  <c r="C4" i="52"/>
  <c r="B36" i="60" s="1"/>
  <c r="B121" i="9"/>
  <c r="B4" i="52" s="1"/>
  <c r="A40" i="1"/>
  <c r="A39" i="1"/>
  <c r="A38" i="1"/>
  <c r="A37" i="1"/>
  <c r="A36" i="1"/>
  <c r="A29" i="1"/>
  <c r="A34" i="1"/>
  <c r="D111" i="9"/>
  <c r="I108" i="9"/>
  <c r="D110" i="9"/>
  <c r="I107" i="9"/>
  <c r="D109" i="9"/>
  <c r="I106" i="9"/>
  <c r="I105" i="9" s="1"/>
  <c r="H101" i="9"/>
  <c r="J35" i="15"/>
  <c r="Q69" i="15"/>
  <c r="F27" i="11"/>
  <c r="F36" i="11"/>
  <c r="M28" i="15"/>
  <c r="M26" i="15"/>
  <c r="F69" i="15"/>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E31" i="1"/>
  <c r="E29" i="1"/>
  <c r="G1" i="15"/>
  <c r="F35" i="11"/>
  <c r="F38" i="11"/>
  <c r="E37" i="11"/>
  <c r="F20" i="11"/>
  <c r="F21" i="11"/>
  <c r="C40" i="11" s="1"/>
  <c r="F7" i="11"/>
  <c r="F12" i="12"/>
  <c r="F13" i="12"/>
  <c r="F15" i="12"/>
  <c r="E14" i="12"/>
  <c r="E19" i="12"/>
  <c r="E20" i="12"/>
  <c r="E17" i="12"/>
  <c r="F22" i="12"/>
  <c r="F23" i="12"/>
  <c r="F24" i="12"/>
  <c r="C24" i="12" s="1"/>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s="1"/>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D70" i="36"/>
  <c r="H22" i="36"/>
  <c r="AB22" i="36" s="1"/>
  <c r="D68" i="36"/>
  <c r="E68" i="36" s="1"/>
  <c r="F68" i="36"/>
  <c r="G68" i="36" s="1"/>
  <c r="D64" i="36"/>
  <c r="E64" i="36" s="1"/>
  <c r="F64" i="36"/>
  <c r="G64" i="36" s="1"/>
  <c r="J16" i="36"/>
  <c r="W16" i="36" s="1"/>
  <c r="D62" i="36"/>
  <c r="E62" i="36" s="1"/>
  <c r="F62" i="36"/>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48" i="35" s="1"/>
  <c r="E48" i="35"/>
  <c r="F48" i="35" s="1"/>
  <c r="G48" i="35" s="1"/>
  <c r="H48" i="35" s="1"/>
  <c r="I48" i="35" s="1"/>
  <c r="J48" i="35" s="1"/>
  <c r="K48" i="35" s="1"/>
  <c r="L48" i="35" s="1"/>
  <c r="M48" i="35" s="1"/>
  <c r="N48" i="35" s="1"/>
  <c r="O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5" i="39"/>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s="1"/>
  <c r="U33" i="36"/>
  <c r="AB29" i="36"/>
  <c r="F33" i="36"/>
  <c r="S33" i="36" s="1"/>
  <c r="E85" i="36"/>
  <c r="F85" i="36" s="1"/>
  <c r="G85" i="36" s="1"/>
  <c r="H85" i="36" s="1"/>
  <c r="I85" i="36" s="1"/>
  <c r="J85" i="36" s="1"/>
  <c r="K85" i="36" s="1"/>
  <c r="L85" i="36" s="1"/>
  <c r="M85" i="36" s="1"/>
  <c r="J29" i="36"/>
  <c r="AC29" i="36"/>
  <c r="F12" i="36"/>
  <c r="AA12" i="36"/>
  <c r="F34" i="36"/>
  <c r="AA34" i="36" s="1"/>
  <c r="H20" i="36"/>
  <c r="J20" i="36"/>
  <c r="W20" i="36" s="1"/>
  <c r="AB8" i="36"/>
  <c r="F14" i="35"/>
  <c r="F23" i="35"/>
  <c r="AA23" i="35"/>
  <c r="J32" i="35"/>
  <c r="AC32" i="35"/>
  <c r="J16" i="35"/>
  <c r="W16" i="35"/>
  <c r="H14" i="35"/>
  <c r="AB14" i="35" s="1"/>
  <c r="H33" i="35"/>
  <c r="AB33" i="35" s="1"/>
  <c r="S8" i="35"/>
  <c r="W8" i="35"/>
  <c r="J20" i="35"/>
  <c r="W20" i="35"/>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s="1"/>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c r="H89" i="35" s="1"/>
  <c r="I89" i="35" s="1"/>
  <c r="J89" i="35" s="1"/>
  <c r="K89" i="35" s="1"/>
  <c r="L89" i="35" s="1"/>
  <c r="M89" i="35" s="1"/>
  <c r="H10" i="36"/>
  <c r="AB10" i="36"/>
  <c r="F83" i="36"/>
  <c r="G83" i="36"/>
  <c r="H83" i="36" s="1"/>
  <c r="I83" i="36"/>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s="1"/>
  <c r="F32" i="37"/>
  <c r="S32" i="37" s="1"/>
  <c r="AA36" i="39"/>
  <c r="F39" i="33"/>
  <c r="AA39" i="33"/>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s="1"/>
  <c r="F17" i="21"/>
  <c r="AA17" i="21" s="1"/>
  <c r="J17" i="21"/>
  <c r="AC17" i="21" s="1"/>
  <c r="H17" i="21"/>
  <c r="AB17" i="21" s="1"/>
  <c r="J15" i="21"/>
  <c r="W15" i="21" s="1"/>
  <c r="U35" i="21"/>
  <c r="AC35" i="21"/>
  <c r="H102" i="57"/>
  <c r="A131" i="9"/>
  <c r="A134" i="57"/>
  <c r="B102" i="57"/>
  <c r="B106" i="57"/>
  <c r="C111" i="57"/>
  <c r="H106" i="57"/>
  <c r="D127" i="57"/>
  <c r="S23" i="21"/>
  <c r="AC15" i="21"/>
  <c r="C109" i="57"/>
  <c r="H103" i="57"/>
  <c r="T27" i="31"/>
  <c r="S27" i="3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T25" i="31" s="1"/>
  <c r="B103" i="9"/>
  <c r="F15" i="21"/>
  <c r="S15" i="21"/>
  <c r="C106" i="9"/>
  <c r="H102" i="9"/>
  <c r="AA30" i="21"/>
  <c r="J36" i="34"/>
  <c r="W36" i="34" s="1"/>
  <c r="S8" i="34"/>
  <c r="J19" i="40"/>
  <c r="AC19" i="40"/>
  <c r="W9" i="39"/>
  <c r="U14" i="39"/>
  <c r="H32" i="39"/>
  <c r="U32" i="39"/>
  <c r="F21" i="39"/>
  <c r="AA21" i="39"/>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N1" i="43"/>
  <c r="F70" i="43" s="1"/>
  <c r="F48" i="43"/>
  <c r="H51" i="43"/>
  <c r="M9"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H56" i="43"/>
  <c r="D10" i="11"/>
  <c r="C10" i="11" s="1"/>
  <c r="C2" i="31"/>
  <c r="I23" i="31" s="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D22" i="15"/>
  <c r="T28" i="31"/>
  <c r="A14" i="52"/>
  <c r="B61" i="60" s="1"/>
  <c r="C29" i="11"/>
  <c r="D27" i="11" s="1"/>
  <c r="C47" i="11"/>
  <c r="D45" i="11" s="1"/>
  <c r="C36" i="57"/>
  <c r="F124" i="57" s="1"/>
  <c r="Y25" i="31"/>
  <c r="C35" i="57"/>
  <c r="D124" i="57" s="1"/>
  <c r="V25" i="31"/>
  <c r="A4" i="54"/>
  <c r="B6" i="60" s="1"/>
  <c r="L103" i="43"/>
  <c r="H102" i="43"/>
  <c r="D109" i="43"/>
  <c r="K107" i="43"/>
  <c r="C106" i="43"/>
  <c r="D3" i="21"/>
  <c r="N9" i="43"/>
  <c r="M6" i="43"/>
  <c r="N11" i="43"/>
  <c r="M5" i="43"/>
  <c r="N2" i="43"/>
  <c r="F81" i="43"/>
  <c r="H85" i="43"/>
  <c r="N10" i="43"/>
  <c r="H13" i="44"/>
  <c r="H5" i="44"/>
  <c r="G59" i="40"/>
  <c r="C59" i="40" s="1"/>
  <c r="H11" i="44"/>
  <c r="A6" i="54"/>
  <c r="B7" i="60"/>
  <c r="C51" i="10"/>
  <c r="A8" i="54"/>
  <c r="B8" i="60" s="1"/>
  <c r="F2" i="21"/>
  <c r="F2" i="34"/>
  <c r="F2" i="35"/>
  <c r="F2" i="33"/>
  <c r="S29" i="31"/>
  <c r="C109" i="9"/>
  <c r="H106" i="9"/>
  <c r="C111" i="9"/>
  <c r="H108" i="9"/>
  <c r="H105" i="9"/>
  <c r="C110" i="9"/>
  <c r="H107" i="9" s="1"/>
  <c r="D35" i="57"/>
  <c r="C117" i="57"/>
  <c r="H113" i="57"/>
  <c r="C114" i="9"/>
  <c r="H112" i="9"/>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E13" i="1" s="1"/>
  <c r="C8" i="11" s="1"/>
  <c r="D19" i="11"/>
  <c r="C19" i="11"/>
  <c r="C17" i="12"/>
  <c r="C20" i="12"/>
  <c r="C19" i="12"/>
  <c r="M18" i="15"/>
  <c r="D69" i="57"/>
  <c r="F54" i="57"/>
  <c r="F31" i="12"/>
  <c r="C31" i="12"/>
  <c r="F52" i="9"/>
  <c r="F48" i="9"/>
  <c r="O52" i="9" s="1"/>
  <c r="F30" i="11"/>
  <c r="F32" i="15"/>
  <c r="F61" i="15"/>
  <c r="F28" i="15"/>
  <c r="C28" i="15"/>
  <c r="F49" i="57"/>
  <c r="O53" i="57"/>
  <c r="F55" i="57"/>
  <c r="F53" i="57"/>
  <c r="F54" i="9"/>
  <c r="D68" i="9"/>
  <c r="F53" i="9"/>
  <c r="G22" i="11"/>
  <c r="G41" i="11"/>
  <c r="E48" i="43"/>
  <c r="B46" i="43" s="1"/>
  <c r="H113" i="43"/>
  <c r="X7" i="43"/>
  <c r="E59" i="43"/>
  <c r="B57" i="43"/>
  <c r="E70" i="43"/>
  <c r="B68" i="43"/>
  <c r="C24"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F7" i="35"/>
  <c r="J7" i="35"/>
  <c r="AC7" i="35" s="1"/>
  <c r="V38" i="35" s="1"/>
  <c r="I38" i="35" s="1"/>
  <c r="C7" i="39"/>
  <c r="C68" i="39"/>
  <c r="C70" i="39" s="1"/>
  <c r="C53" i="10"/>
  <c r="D123" i="9"/>
  <c r="D6" i="52" s="1"/>
  <c r="D124" i="9"/>
  <c r="D7" i="52" s="1"/>
  <c r="M48" i="57"/>
  <c r="D63" i="40"/>
  <c r="B58" i="60"/>
  <c r="A12" i="52"/>
  <c r="B67" i="60" s="1"/>
  <c r="C94" i="9"/>
  <c r="L105" i="43"/>
  <c r="L109" i="43"/>
  <c r="H105" i="43"/>
  <c r="H107" i="43"/>
  <c r="D104" i="43"/>
  <c r="K106" i="43"/>
  <c r="K102" i="43"/>
  <c r="G105" i="43"/>
  <c r="G109" i="43"/>
  <c r="C104" i="43"/>
  <c r="C107" i="43"/>
  <c r="A4" i="52"/>
  <c r="A124" i="57"/>
  <c r="M47" i="9"/>
  <c r="N104" i="46"/>
  <c r="C7" i="21"/>
  <c r="C58" i="21" s="1"/>
  <c r="C7" i="33"/>
  <c r="C58" i="33" s="1"/>
  <c r="C7" i="37"/>
  <c r="C52" i="37" s="1"/>
  <c r="H59" i="43"/>
  <c r="H61"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I20" i="43"/>
  <c r="D115" i="43"/>
  <c r="E115" i="43" s="1"/>
  <c r="F115" i="43" s="1"/>
  <c r="G115" i="43" s="1"/>
  <c r="H115" i="43" s="1"/>
  <c r="B117" i="43"/>
  <c r="C117" i="43"/>
  <c r="M109" i="43"/>
  <c r="I107" i="43"/>
  <c r="N106" i="43"/>
  <c r="J105" i="43"/>
  <c r="F104" i="43"/>
  <c r="G37" i="47"/>
  <c r="C23" i="43"/>
  <c r="G19" i="43"/>
  <c r="F36" i="43"/>
  <c r="F35" i="43"/>
  <c r="F37" i="43"/>
  <c r="F39" i="43"/>
  <c r="C7" i="34"/>
  <c r="C59" i="34"/>
  <c r="D59" i="34" s="1"/>
  <c r="C7" i="36"/>
  <c r="C46" i="36" s="1"/>
  <c r="F38" i="43"/>
  <c r="A10" i="52"/>
  <c r="B66" i="60"/>
  <c r="J20" i="15"/>
  <c r="H86" i="43"/>
  <c r="K86" i="43"/>
  <c r="J86" i="43"/>
  <c r="D86" i="43"/>
  <c r="H87" i="43"/>
  <c r="M87" i="43"/>
  <c r="N87" i="43"/>
  <c r="H82" i="43"/>
  <c r="K82" i="43"/>
  <c r="J82" i="43" s="1"/>
  <c r="D82" i="43"/>
  <c r="H83" i="43"/>
  <c r="M83" i="43"/>
  <c r="N83" i="43" s="1"/>
  <c r="H64" i="43"/>
  <c r="H65" i="43"/>
  <c r="H52"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M3"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c r="K117" i="43" s="1"/>
  <c r="L117" i="43" s="1"/>
  <c r="M117" i="43" s="1"/>
  <c r="D116" i="43"/>
  <c r="E116" i="43" s="1"/>
  <c r="F116" i="43" s="1"/>
  <c r="G116" i="43" s="1"/>
  <c r="H116" i="43" s="1"/>
  <c r="D118" i="43"/>
  <c r="E118" i="43"/>
  <c r="F118" i="43" s="1"/>
  <c r="G118" i="43"/>
  <c r="H118" i="43" s="1"/>
  <c r="M7" i="15"/>
  <c r="M17" i="15"/>
  <c r="F35" i="15"/>
  <c r="F64" i="15" s="1"/>
  <c r="C63" i="15"/>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M86" i="43"/>
  <c r="N86" i="43" s="1"/>
  <c r="S25" i="31"/>
  <c r="B23" i="31" s="1"/>
  <c r="B2" i="31" s="1"/>
  <c r="C33" i="57" s="1"/>
  <c r="H124" i="57" s="1"/>
  <c r="J6" i="15"/>
  <c r="C18" i="12"/>
  <c r="W7" i="35"/>
  <c r="F34" i="11"/>
  <c r="E19" i="1"/>
  <c r="D20" i="1"/>
  <c r="D18" i="1"/>
  <c r="F50" i="11"/>
  <c r="F19" i="1"/>
  <c r="F18" i="1"/>
  <c r="C11" i="12" s="1"/>
  <c r="D19" i="1"/>
  <c r="K87" i="43"/>
  <c r="J87" i="43" s="1"/>
  <c r="D87" i="43"/>
  <c r="B15" i="48"/>
  <c r="E3" i="4"/>
  <c r="B5" i="55" s="1"/>
  <c r="B55" i="60" s="1"/>
  <c r="C7" i="43"/>
  <c r="B6" i="48"/>
  <c r="C3" i="4" s="1"/>
  <c r="S7" i="35"/>
  <c r="AA7" i="35"/>
  <c r="R38" i="35"/>
  <c r="E38" i="35" s="1"/>
  <c r="AB7" i="35"/>
  <c r="T38" i="35" s="1"/>
  <c r="G38" i="35" s="1"/>
  <c r="U7" i="35"/>
  <c r="K106" i="9"/>
  <c r="O19" i="43"/>
  <c r="D65" i="40"/>
  <c r="E63" i="40"/>
  <c r="B14" i="1"/>
  <c r="H10" i="39" s="1"/>
  <c r="L59" i="15"/>
  <c r="C50" i="15"/>
  <c r="J22" i="43"/>
  <c r="M84" i="43"/>
  <c r="N84" i="43" s="1"/>
  <c r="K84" i="43"/>
  <c r="J84" i="43" s="1"/>
  <c r="D84" i="43"/>
  <c r="M81" i="43"/>
  <c r="N81" i="43"/>
  <c r="K81" i="43"/>
  <c r="J81" i="43"/>
  <c r="D81" i="43"/>
  <c r="M88" i="43"/>
  <c r="N88" i="43" s="1"/>
  <c r="K88" i="43"/>
  <c r="J88" i="43" s="1"/>
  <c r="D88" i="43"/>
  <c r="I55" i="15"/>
  <c r="B40" i="1"/>
  <c r="M27" i="15"/>
  <c r="C34" i="11"/>
  <c r="C36" i="11" s="1"/>
  <c r="C14" i="15"/>
  <c r="E81" i="43"/>
  <c r="B79" i="43" s="1"/>
  <c r="F63" i="40"/>
  <c r="G63" i="40" s="1"/>
  <c r="E65" i="40"/>
  <c r="J10" i="39"/>
  <c r="W10" i="39" s="1"/>
  <c r="F10" i="40"/>
  <c r="S10" i="40" s="1"/>
  <c r="J10" i="40"/>
  <c r="W10" i="40" s="1"/>
  <c r="F41" i="15"/>
  <c r="F70" i="15"/>
  <c r="D130" i="57"/>
  <c r="C15" i="15"/>
  <c r="C18" i="15"/>
  <c r="C16" i="15"/>
  <c r="C38" i="11"/>
  <c r="F65" i="40"/>
  <c r="AC10" i="40"/>
  <c r="AA10" i="40"/>
  <c r="AC10" i="39"/>
  <c r="Q71" i="15"/>
  <c r="Q58" i="15"/>
  <c r="D117" i="57"/>
  <c r="D118" i="57"/>
  <c r="I114" i="57" s="1"/>
  <c r="D131" i="57" s="1"/>
  <c r="L69" i="57"/>
  <c r="M69" i="57" s="1"/>
  <c r="L68" i="57"/>
  <c r="M68" i="57" s="1"/>
  <c r="L67" i="57"/>
  <c r="M67" i="57" s="1"/>
  <c r="L66" i="57"/>
  <c r="M66" i="57" s="1"/>
  <c r="L65" i="57"/>
  <c r="M65" i="57" s="1"/>
  <c r="L64" i="57"/>
  <c r="M64" i="57" s="1"/>
  <c r="M70" i="57" s="1"/>
  <c r="N70" i="57" s="1"/>
  <c r="C19" i="15"/>
  <c r="C26" i="15" s="1"/>
  <c r="D133" i="57"/>
  <c r="C20" i="15"/>
  <c r="M57" i="57"/>
  <c r="D119" i="57"/>
  <c r="I115" i="57"/>
  <c r="D132" i="57"/>
  <c r="M56" i="9"/>
  <c r="D130" i="9"/>
  <c r="D13" i="52"/>
  <c r="I112" i="9"/>
  <c r="M49" i="9" s="1"/>
  <c r="D114" i="9"/>
  <c r="D115" i="9"/>
  <c r="I113" i="9"/>
  <c r="D41" i="50"/>
  <c r="B63" i="60"/>
  <c r="D39" i="50"/>
  <c r="D40" i="50"/>
  <c r="D18" i="50"/>
  <c r="D127" i="9"/>
  <c r="H14" i="62" s="1"/>
  <c r="B7" i="62" s="1"/>
  <c r="D128" i="9"/>
  <c r="D11" i="52" s="1"/>
  <c r="D20" i="50"/>
  <c r="D19" i="50"/>
  <c r="B32" i="60"/>
  <c r="B31" i="60"/>
  <c r="L67" i="9"/>
  <c r="M67" i="9" s="1"/>
  <c r="L65" i="9"/>
  <c r="M65" i="9" s="1"/>
  <c r="L66" i="9"/>
  <c r="M66" i="9" s="1"/>
  <c r="L68" i="9"/>
  <c r="M68" i="9" s="1"/>
  <c r="L63" i="9"/>
  <c r="M63" i="9" s="1"/>
  <c r="M69" i="9" s="1"/>
  <c r="N69" i="9" s="1"/>
  <c r="L64" i="9"/>
  <c r="M64" i="9" s="1"/>
  <c r="I114" i="9"/>
  <c r="D42" i="50" s="1"/>
  <c r="D43" i="50" s="1"/>
  <c r="D116" i="9"/>
  <c r="D129" i="9"/>
  <c r="I14" i="62" s="1"/>
  <c r="B8" i="62" s="1"/>
  <c r="D21" i="50"/>
  <c r="D22" i="50" s="1"/>
  <c r="B35" i="60" s="1"/>
  <c r="D23" i="48"/>
  <c r="L47" i="15"/>
  <c r="X3" i="59"/>
  <c r="Y3" i="59"/>
  <c r="Z3" i="59" s="1"/>
  <c r="P23" i="43"/>
  <c r="P25" i="43"/>
  <c r="P21" i="43"/>
  <c r="B71" i="39"/>
  <c r="P24" i="43"/>
  <c r="B66" i="40"/>
  <c r="P22" i="43"/>
  <c r="F17" i="48"/>
  <c r="F22" i="48"/>
  <c r="H22" i="48" s="1"/>
  <c r="B11" i="48"/>
  <c r="D11" i="48" s="1"/>
  <c r="F16" i="48"/>
  <c r="H16" i="48" s="1"/>
  <c r="F7" i="48"/>
  <c r="H7" i="48" s="1"/>
  <c r="F6" i="48"/>
  <c r="H6" i="48" s="1"/>
  <c r="B10" i="48"/>
  <c r="D10" i="48" s="1"/>
  <c r="D15" i="48"/>
  <c r="H55" i="43"/>
  <c r="H54" i="43"/>
  <c r="H53" i="43"/>
  <c r="H49" i="43"/>
  <c r="F8" i="48"/>
  <c r="H8" i="48" s="1"/>
  <c r="B22" i="48"/>
  <c r="D22" i="48" s="1"/>
  <c r="B5" i="48"/>
  <c r="D5" i="48" s="1"/>
  <c r="F11" i="48"/>
  <c r="H11" i="48" s="1"/>
  <c r="F5" i="48"/>
  <c r="H5" i="48" s="1"/>
  <c r="F4" i="48"/>
  <c r="H4" i="48" s="1"/>
  <c r="B7" i="48"/>
  <c r="D7" i="48" s="1"/>
  <c r="B14" i="48"/>
  <c r="D14" i="48" s="1"/>
  <c r="F10" i="48"/>
  <c r="H10" i="48" s="1"/>
  <c r="B9" i="48"/>
  <c r="D9" i="48" s="1"/>
  <c r="B8" i="48"/>
  <c r="D8" i="48" s="1"/>
  <c r="B13" i="48"/>
  <c r="D13" i="48" s="1"/>
  <c r="B16" i="48"/>
  <c r="D16" i="48" s="1"/>
  <c r="B4" i="48"/>
  <c r="D4" i="48" s="1"/>
  <c r="F14" i="48"/>
  <c r="H14" i="48" s="1"/>
  <c r="F13" i="48"/>
  <c r="H13" i="48" s="1"/>
  <c r="F15" i="48"/>
  <c r="H15" i="48" s="1"/>
  <c r="F9" i="48"/>
  <c r="H9" i="48" s="1"/>
  <c r="J18" i="15"/>
  <c r="C32" i="15"/>
  <c r="C61" i="15"/>
  <c r="C33" i="15"/>
  <c r="J19" i="15"/>
  <c r="C62" i="15"/>
  <c r="D20" i="57"/>
  <c r="F5" i="61"/>
  <c r="F6" i="61"/>
  <c r="E2" i="21"/>
  <c r="F4" i="61"/>
  <c r="E2" i="34"/>
  <c r="D6" i="61"/>
  <c r="D5" i="61"/>
  <c r="H23" i="31"/>
  <c r="E2" i="36"/>
  <c r="E2" i="11"/>
  <c r="C20" i="57"/>
  <c r="F3" i="61"/>
  <c r="D19" i="57"/>
  <c r="E2" i="35"/>
  <c r="E2" i="33"/>
  <c r="C19" i="57"/>
  <c r="D7" i="61"/>
  <c r="F7" i="61"/>
  <c r="E2" i="37"/>
  <c r="D6" i="48" l="1"/>
  <c r="D102" i="57"/>
  <c r="G20" i="57"/>
  <c r="C103" i="57"/>
  <c r="C102" i="57"/>
  <c r="D22" i="57"/>
  <c r="G19" i="57"/>
  <c r="D103" i="57"/>
  <c r="I1" i="61"/>
  <c r="B30" i="1" s="1"/>
  <c r="G65" i="40"/>
  <c r="H63" i="40"/>
  <c r="E43" i="35"/>
  <c r="F43" i="35" s="1"/>
  <c r="E42" i="35"/>
  <c r="F42" i="35" s="1"/>
  <c r="C12" i="12"/>
  <c r="C15" i="12"/>
  <c r="C13" i="12"/>
  <c r="C16" i="12" s="1"/>
  <c r="C21" i="12" s="1"/>
  <c r="H125" i="57"/>
  <c r="I103" i="57"/>
  <c r="C106" i="57"/>
  <c r="D109" i="57"/>
  <c r="D115" i="57" s="1"/>
  <c r="D113" i="43"/>
  <c r="E59" i="34"/>
  <c r="F59" i="34" s="1"/>
  <c r="G59" i="34" s="1"/>
  <c r="H59" i="34" s="1"/>
  <c r="I59" i="34" s="1"/>
  <c r="J59" i="34" s="1"/>
  <c r="K59" i="34" s="1"/>
  <c r="L59" i="34" s="1"/>
  <c r="M59" i="34" s="1"/>
  <c r="N59" i="34" s="1"/>
  <c r="O59" i="34" s="1"/>
  <c r="F7" i="34"/>
  <c r="J7" i="34"/>
  <c r="H7" i="34"/>
  <c r="D58" i="33"/>
  <c r="E58" i="33" s="1"/>
  <c r="F58" i="33" s="1"/>
  <c r="G58" i="33" s="1"/>
  <c r="H58" i="33" s="1"/>
  <c r="I58" i="33" s="1"/>
  <c r="J58" i="33" s="1"/>
  <c r="K58" i="33" s="1"/>
  <c r="L58" i="33" s="1"/>
  <c r="M58" i="33" s="1"/>
  <c r="N58" i="33" s="1"/>
  <c r="O58" i="33" s="1"/>
  <c r="F7" i="33" s="1"/>
  <c r="J7" i="33"/>
  <c r="H7" i="33"/>
  <c r="C8" i="62"/>
  <c r="D8" i="62"/>
  <c r="C7" i="62"/>
  <c r="D7" i="62"/>
  <c r="AB10" i="39"/>
  <c r="U10" i="39"/>
  <c r="G43" i="35"/>
  <c r="H43" i="35" s="1"/>
  <c r="G42" i="35"/>
  <c r="H42" i="35" s="1"/>
  <c r="B4" i="55"/>
  <c r="B53" i="60" s="1"/>
  <c r="B18" i="49"/>
  <c r="B4" i="60" s="1"/>
  <c r="D46" i="36"/>
  <c r="E46" i="36" s="1"/>
  <c r="F46" i="36" s="1"/>
  <c r="G46" i="36" s="1"/>
  <c r="H46" i="36" s="1"/>
  <c r="I46" i="36" s="1"/>
  <c r="J46" i="36" s="1"/>
  <c r="K46" i="36" s="1"/>
  <c r="L46" i="36" s="1"/>
  <c r="M46" i="36" s="1"/>
  <c r="N46" i="36" s="1"/>
  <c r="O46" i="36" s="1"/>
  <c r="J7" i="36"/>
  <c r="F7" i="36"/>
  <c r="H7" i="36"/>
  <c r="D52" i="37"/>
  <c r="E52" i="37" s="1"/>
  <c r="F52" i="37" s="1"/>
  <c r="G52" i="37" s="1"/>
  <c r="H52" i="37" s="1"/>
  <c r="I52" i="37" s="1"/>
  <c r="J52" i="37" s="1"/>
  <c r="K52" i="37" s="1"/>
  <c r="L52" i="37" s="1"/>
  <c r="M52" i="37" s="1"/>
  <c r="N52" i="37" s="1"/>
  <c r="O52" i="37" s="1"/>
  <c r="J7" i="37"/>
  <c r="H7" i="37"/>
  <c r="F7" i="37"/>
  <c r="D58" i="21"/>
  <c r="E58" i="21" s="1"/>
  <c r="F58" i="21" s="1"/>
  <c r="G58" i="21" s="1"/>
  <c r="H58" i="21" s="1"/>
  <c r="I58" i="21" s="1"/>
  <c r="J58" i="21" s="1"/>
  <c r="K58" i="21" s="1"/>
  <c r="L58" i="21" s="1"/>
  <c r="M58" i="21" s="1"/>
  <c r="N58" i="21" s="1"/>
  <c r="O58" i="21" s="1"/>
  <c r="J7" i="21"/>
  <c r="F7" i="21"/>
  <c r="H7" i="21"/>
  <c r="I42" i="35"/>
  <c r="J42" i="35" s="1"/>
  <c r="I43" i="35"/>
  <c r="J43" i="35" s="1"/>
  <c r="D125" i="57"/>
  <c r="E124" i="57"/>
  <c r="G124" i="57"/>
  <c r="F125" i="57"/>
  <c r="H77" i="43"/>
  <c r="H71" i="43"/>
  <c r="H76" i="43"/>
  <c r="H78" i="43"/>
  <c r="H73" i="43"/>
  <c r="H72" i="43"/>
  <c r="H74" i="43"/>
  <c r="H70" i="43"/>
  <c r="H75" i="43"/>
  <c r="B33" i="60"/>
  <c r="D12" i="52"/>
  <c r="D10" i="52"/>
  <c r="C35" i="11"/>
  <c r="C33" i="11" s="1"/>
  <c r="F10" i="39"/>
  <c r="H10" i="40"/>
  <c r="R39" i="35"/>
  <c r="R25" i="31"/>
  <c r="B24" i="31" s="1"/>
  <c r="B3" i="31" s="1"/>
  <c r="C34" i="57" s="1"/>
  <c r="I124" i="57" s="1"/>
  <c r="D68" i="39"/>
  <c r="U23" i="39"/>
  <c r="W17" i="21"/>
  <c r="AC9" i="37"/>
  <c r="S36" i="37"/>
  <c r="AC39" i="40"/>
  <c r="W39" i="40"/>
  <c r="J9" i="35"/>
  <c r="H9" i="35"/>
  <c r="F9" i="35"/>
  <c r="F39" i="40"/>
  <c r="W8" i="21"/>
  <c r="J12" i="35"/>
  <c r="H12" i="35"/>
  <c r="F12" i="35"/>
  <c r="H36" i="35"/>
  <c r="J36" i="35"/>
  <c r="J23" i="36"/>
  <c r="H23" i="36"/>
  <c r="C21" i="43"/>
  <c r="D1" i="58"/>
  <c r="E10" i="58" s="1"/>
  <c r="M19" i="43"/>
  <c r="U25" i="59"/>
  <c r="D51" i="59"/>
  <c r="O51" i="59"/>
  <c r="O50" i="59"/>
  <c r="D27" i="59"/>
  <c r="C28" i="59"/>
  <c r="C32" i="59"/>
  <c r="D32" i="59" s="1"/>
  <c r="D31" i="59"/>
  <c r="C36" i="59"/>
  <c r="D35" i="59"/>
  <c r="C40" i="59"/>
  <c r="D39" i="59"/>
  <c r="C44" i="59"/>
  <c r="D43" i="59"/>
  <c r="C48" i="59"/>
  <c r="D47" i="59"/>
  <c r="S21" i="21"/>
  <c r="S21" i="37"/>
  <c r="S18" i="35"/>
  <c r="U13" i="59"/>
  <c r="D52" i="59"/>
  <c r="D13" i="59"/>
  <c r="AA10" i="59"/>
  <c r="AA13" i="59"/>
  <c r="AB13" i="59"/>
  <c r="AB11" i="59"/>
  <c r="AB3" i="59"/>
  <c r="C19" i="43" s="1"/>
  <c r="S13" i="59"/>
  <c r="AB8" i="59"/>
  <c r="X10" i="59"/>
  <c r="X13" i="59"/>
  <c r="B15" i="59"/>
  <c r="B16" i="59" s="1"/>
  <c r="B17" i="59" s="1"/>
  <c r="S17" i="59" s="1"/>
  <c r="C15" i="59"/>
  <c r="X15" i="59"/>
  <c r="X16" i="59"/>
  <c r="X17" i="59"/>
  <c r="AA17" i="59"/>
  <c r="B19" i="59"/>
  <c r="B20" i="59" s="1"/>
  <c r="B21" i="59" s="1"/>
  <c r="S21" i="59" s="1"/>
  <c r="C19" i="59"/>
  <c r="AA18" i="59"/>
  <c r="X19" i="59"/>
  <c r="AA19" i="59"/>
  <c r="X20" i="59"/>
  <c r="AA20" i="59"/>
  <c r="X21" i="59"/>
  <c r="AA21" i="59"/>
  <c r="B23" i="59"/>
  <c r="B24" i="59" s="1"/>
  <c r="B25" i="59" s="1"/>
  <c r="S25" i="59" s="1"/>
  <c r="C23" i="59"/>
  <c r="AA22" i="59"/>
  <c r="AA23" i="59"/>
  <c r="S61" i="59"/>
  <c r="B60" i="59"/>
  <c r="B59" i="59" s="1"/>
  <c r="X9" i="59"/>
  <c r="AA8" i="59"/>
  <c r="X5" i="59"/>
  <c r="C30" i="58"/>
  <c r="E26" i="58" s="1"/>
  <c r="C25" i="40"/>
  <c r="F15" i="59"/>
  <c r="F16" i="59" s="1"/>
  <c r="F17" i="59" s="1"/>
  <c r="V17" i="59" s="1"/>
  <c r="F19" i="59"/>
  <c r="F20" i="59" s="1"/>
  <c r="F21" i="59" s="1"/>
  <c r="V21" i="59" s="1"/>
  <c r="F23" i="59"/>
  <c r="F24" i="59" s="1"/>
  <c r="F25" i="59" s="1"/>
  <c r="V25" i="59" s="1"/>
  <c r="V61" i="59"/>
  <c r="F60" i="59"/>
  <c r="F59" i="59" s="1"/>
  <c r="Y5" i="59"/>
  <c r="Z5" i="59" s="1"/>
  <c r="J54" i="15"/>
  <c r="P53" i="59"/>
  <c r="C14" i="50"/>
  <c r="AB5" i="59"/>
  <c r="AB6" i="59"/>
  <c r="P72" i="15"/>
  <c r="Y9" i="59"/>
  <c r="Z9" i="59" s="1"/>
  <c r="AB9" i="59"/>
  <c r="AA9" i="59"/>
  <c r="X8" i="59"/>
  <c r="AA7" i="59"/>
  <c r="J52" i="15"/>
  <c r="AB7" i="59"/>
  <c r="X7" i="59"/>
  <c r="Y8" i="59"/>
  <c r="Z8" i="59" s="1"/>
  <c r="Y6" i="59"/>
  <c r="Z6" i="59" s="1"/>
  <c r="Y7" i="59"/>
  <c r="Z7" i="59" s="1"/>
  <c r="B8" i="59"/>
  <c r="B7" i="59" s="1"/>
  <c r="B6" i="59" s="1"/>
  <c r="B5" i="59" s="1"/>
  <c r="S9" i="59"/>
  <c r="C8" i="59"/>
  <c r="T9" i="59"/>
  <c r="D9" i="59"/>
  <c r="X6" i="59"/>
  <c r="AA6" i="59"/>
  <c r="AA5" i="59"/>
  <c r="J17" i="43"/>
  <c r="H17" i="43"/>
  <c r="C16" i="43" s="1"/>
  <c r="D3" i="61"/>
  <c r="D4" i="61"/>
  <c r="E20" i="43" l="1"/>
  <c r="K1" i="61"/>
  <c r="C5" i="43"/>
  <c r="D5" i="43"/>
  <c r="C39" i="11"/>
  <c r="C46" i="11"/>
  <c r="C45" i="11" s="1"/>
  <c r="S7" i="33"/>
  <c r="AA7" i="33"/>
  <c r="R48" i="33" s="1"/>
  <c r="C22" i="12"/>
  <c r="C30" i="12"/>
  <c r="C28" i="12" s="1"/>
  <c r="B33" i="1"/>
  <c r="Q50" i="15"/>
  <c r="D19" i="59"/>
  <c r="C20" i="59"/>
  <c r="D15" i="59"/>
  <c r="C16" i="59"/>
  <c r="C49" i="59"/>
  <c r="D48" i="59"/>
  <c r="C45" i="59"/>
  <c r="D44" i="59"/>
  <c r="C41" i="59"/>
  <c r="D40" i="59"/>
  <c r="D36" i="59"/>
  <c r="C37" i="59"/>
  <c r="AC23" i="36"/>
  <c r="W23" i="36"/>
  <c r="AB36" i="35"/>
  <c r="U36" i="35"/>
  <c r="U12" i="35"/>
  <c r="AB12" i="35"/>
  <c r="S9" i="35"/>
  <c r="AA9" i="35"/>
  <c r="W9" i="35"/>
  <c r="AC9" i="35"/>
  <c r="D70" i="39"/>
  <c r="E68" i="39"/>
  <c r="C38" i="35"/>
  <c r="C39" i="35"/>
  <c r="S10" i="39"/>
  <c r="AA10" i="39"/>
  <c r="AA7" i="21"/>
  <c r="R48" i="21" s="1"/>
  <c r="S7" i="21"/>
  <c r="U7" i="37"/>
  <c r="AB7" i="37"/>
  <c r="T42" i="37" s="1"/>
  <c r="G42" i="37" s="1"/>
  <c r="S7" i="36"/>
  <c r="AA7" i="36"/>
  <c r="R36" i="36" s="1"/>
  <c r="U7" i="33"/>
  <c r="AB7" i="33"/>
  <c r="T48" i="33" s="1"/>
  <c r="G48" i="33" s="1"/>
  <c r="AB7" i="34"/>
  <c r="T49" i="34" s="1"/>
  <c r="G49" i="34" s="1"/>
  <c r="U7" i="34"/>
  <c r="S7" i="34"/>
  <c r="AA7" i="34"/>
  <c r="R49" i="34" s="1"/>
  <c r="F11" i="15"/>
  <c r="M11" i="15"/>
  <c r="J10" i="15" s="1"/>
  <c r="J5" i="15" s="1"/>
  <c r="C104" i="57"/>
  <c r="C105" i="57"/>
  <c r="C7" i="59"/>
  <c r="D8" i="59"/>
  <c r="M60" i="15"/>
  <c r="L60" i="15"/>
  <c r="L57" i="15"/>
  <c r="J61" i="15"/>
  <c r="Q46" i="15" s="1"/>
  <c r="N60" i="15"/>
  <c r="J58" i="15"/>
  <c r="J56" i="15" s="1"/>
  <c r="J59" i="15" s="1"/>
  <c r="Q48" i="15" s="1"/>
  <c r="J60" i="15"/>
  <c r="L61" i="15"/>
  <c r="D23" i="59"/>
  <c r="C24" i="59"/>
  <c r="C29" i="59"/>
  <c r="D28" i="59"/>
  <c r="U23" i="36"/>
  <c r="AB23" i="36"/>
  <c r="AC36" i="35"/>
  <c r="W36" i="35"/>
  <c r="S12" i="35"/>
  <c r="AA12" i="35"/>
  <c r="W12" i="35"/>
  <c r="AC12" i="35"/>
  <c r="AA39" i="40"/>
  <c r="S39" i="40"/>
  <c r="AB9" i="35"/>
  <c r="U9" i="35"/>
  <c r="I104" i="57"/>
  <c r="C107" i="57"/>
  <c r="D110" i="57"/>
  <c r="D116" i="57" s="1"/>
  <c r="I112" i="57" s="1"/>
  <c r="D129" i="57" s="1"/>
  <c r="U10" i="40"/>
  <c r="AB10" i="40"/>
  <c r="AB7" i="21"/>
  <c r="T48" i="21" s="1"/>
  <c r="G48" i="21" s="1"/>
  <c r="U7" i="21"/>
  <c r="AC7" i="21"/>
  <c r="V48" i="21" s="1"/>
  <c r="I48" i="21" s="1"/>
  <c r="W7" i="21"/>
  <c r="AA7" i="37"/>
  <c r="R42" i="37" s="1"/>
  <c r="S7" i="37"/>
  <c r="AC7" i="37"/>
  <c r="V42" i="37" s="1"/>
  <c r="I42" i="37" s="1"/>
  <c r="W7" i="37"/>
  <c r="U7" i="36"/>
  <c r="AB7" i="36"/>
  <c r="T36" i="36" s="1"/>
  <c r="G36" i="36" s="1"/>
  <c r="AC7" i="36"/>
  <c r="V36" i="36" s="1"/>
  <c r="I36" i="36" s="1"/>
  <c r="W7" i="36"/>
  <c r="W7" i="33"/>
  <c r="AC7" i="33"/>
  <c r="V48" i="33" s="1"/>
  <c r="I48" i="33" s="1"/>
  <c r="AC7" i="34"/>
  <c r="V49" i="34" s="1"/>
  <c r="I49" i="34" s="1"/>
  <c r="W7" i="34"/>
  <c r="I111" i="57"/>
  <c r="D128" i="57" s="1"/>
  <c r="D46" i="57"/>
  <c r="M49" i="57"/>
  <c r="H65" i="40"/>
  <c r="I63" i="40"/>
  <c r="D120" i="57"/>
  <c r="I116" i="57" s="1"/>
  <c r="G1" i="61"/>
  <c r="E27" i="1" l="1"/>
  <c r="C79" i="57"/>
  <c r="C74" i="57" s="1"/>
  <c r="D54" i="57"/>
  <c r="D49" i="57" s="1"/>
  <c r="M53" i="57" s="1"/>
  <c r="C73" i="57"/>
  <c r="C80" i="57" s="1"/>
  <c r="D53" i="57"/>
  <c r="C86" i="57"/>
  <c r="C94" i="57"/>
  <c r="C87" i="57" s="1"/>
  <c r="D56" i="57"/>
  <c r="M54" i="57" s="1"/>
  <c r="C65" i="57"/>
  <c r="C64" i="57" s="1"/>
  <c r="C68" i="57" s="1"/>
  <c r="C69" i="57" s="1"/>
  <c r="D55" i="57" s="1"/>
  <c r="I53" i="34"/>
  <c r="J53" i="34" s="1"/>
  <c r="I40" i="36"/>
  <c r="J40" i="36" s="1"/>
  <c r="I46" i="37"/>
  <c r="J46" i="37" s="1"/>
  <c r="R43" i="37"/>
  <c r="E42" i="37"/>
  <c r="I52" i="21"/>
  <c r="J52" i="21" s="1"/>
  <c r="G52" i="21"/>
  <c r="H52" i="21" s="1"/>
  <c r="G53" i="21"/>
  <c r="H53" i="21" s="1"/>
  <c r="C25" i="59"/>
  <c r="D24" i="59"/>
  <c r="Q64" i="15"/>
  <c r="Q55" i="15"/>
  <c r="J26" i="15"/>
  <c r="J29" i="15" s="1"/>
  <c r="J24" i="15"/>
  <c r="J17" i="15"/>
  <c r="E49" i="34"/>
  <c r="R50" i="34"/>
  <c r="G53" i="33"/>
  <c r="H53" i="33" s="1"/>
  <c r="G52" i="33"/>
  <c r="H52" i="33" s="1"/>
  <c r="R37" i="36"/>
  <c r="E36" i="36"/>
  <c r="G46" i="37"/>
  <c r="H46" i="37" s="1"/>
  <c r="G47" i="37"/>
  <c r="H47" i="37" s="1"/>
  <c r="B3" i="35"/>
  <c r="B2" i="35"/>
  <c r="F68" i="39"/>
  <c r="E70" i="39"/>
  <c r="T37" i="59"/>
  <c r="D37" i="59"/>
  <c r="C17" i="59"/>
  <c r="D16" i="59"/>
  <c r="C21" i="59"/>
  <c r="D20" i="59"/>
  <c r="E48" i="33"/>
  <c r="R49" i="33"/>
  <c r="J63" i="40"/>
  <c r="I65" i="40"/>
  <c r="I52" i="33"/>
  <c r="J52" i="33" s="1"/>
  <c r="I53" i="33"/>
  <c r="J53" i="33" s="1"/>
  <c r="G41" i="36"/>
  <c r="H41" i="36" s="1"/>
  <c r="G40" i="36"/>
  <c r="H40" i="36" s="1"/>
  <c r="T29" i="59"/>
  <c r="D29" i="59"/>
  <c r="Q59" i="15"/>
  <c r="Q72" i="15"/>
  <c r="C6" i="59"/>
  <c r="D7" i="59"/>
  <c r="C54" i="15"/>
  <c r="C49" i="15" s="1"/>
  <c r="C10" i="15"/>
  <c r="C5" i="15" s="1"/>
  <c r="G53" i="34"/>
  <c r="H53" i="34" s="1"/>
  <c r="G54" i="34"/>
  <c r="H54" i="34" s="1"/>
  <c r="E48" i="21"/>
  <c r="R49" i="21"/>
  <c r="T41" i="59"/>
  <c r="D41" i="59"/>
  <c r="T45" i="59"/>
  <c r="D45" i="59"/>
  <c r="T49" i="59"/>
  <c r="D49" i="59"/>
  <c r="O17" i="43"/>
  <c r="G20" i="43" s="1"/>
  <c r="M17" i="43"/>
  <c r="N17" i="43"/>
  <c r="P17" i="43"/>
  <c r="C48" i="21" l="1"/>
  <c r="C49" i="21"/>
  <c r="B2" i="21" s="1"/>
  <c r="B3" i="21" s="1"/>
  <c r="C67" i="15"/>
  <c r="C60" i="15"/>
  <c r="C5" i="59"/>
  <c r="D6" i="59"/>
  <c r="J65" i="40"/>
  <c r="K63" i="40"/>
  <c r="E52" i="33"/>
  <c r="F52" i="33" s="1"/>
  <c r="E53" i="33"/>
  <c r="F53" i="33" s="1"/>
  <c r="E40" i="36"/>
  <c r="F40" i="36" s="1"/>
  <c r="E41" i="36"/>
  <c r="F41" i="36" s="1"/>
  <c r="C50" i="34"/>
  <c r="B2" i="34" s="1"/>
  <c r="B3" i="34" s="1"/>
  <c r="C49" i="34"/>
  <c r="T25" i="59"/>
  <c r="D25" i="59"/>
  <c r="C43" i="37"/>
  <c r="B2" i="37" s="1"/>
  <c r="B3" i="37" s="1"/>
  <c r="C42" i="37"/>
  <c r="C96" i="57"/>
  <c r="C81" i="57"/>
  <c r="E81" i="57" s="1"/>
  <c r="E82" i="57" s="1"/>
  <c r="C82" i="57"/>
  <c r="C20" i="43"/>
  <c r="E41" i="43"/>
  <c r="C41" i="43" s="1"/>
  <c r="E52" i="21"/>
  <c r="F52" i="21" s="1"/>
  <c r="E53" i="21"/>
  <c r="F53" i="21" s="1"/>
  <c r="C31" i="15"/>
  <c r="C38" i="15"/>
  <c r="C48" i="33"/>
  <c r="C49" i="33"/>
  <c r="B2" i="33" s="1"/>
  <c r="B3" i="33" s="1"/>
  <c r="T21" i="59"/>
  <c r="D21" i="59"/>
  <c r="T17" i="59"/>
  <c r="D17" i="59"/>
  <c r="G68" i="39"/>
  <c r="F70" i="39"/>
  <c r="C36" i="36"/>
  <c r="C37" i="36"/>
  <c r="B2" i="36" s="1"/>
  <c r="B3" i="36" s="1"/>
  <c r="E53" i="34"/>
  <c r="F53" i="34" s="1"/>
  <c r="E54" i="34"/>
  <c r="F54" i="34" s="1"/>
  <c r="I53" i="21"/>
  <c r="J53" i="21" s="1"/>
  <c r="E46" i="37"/>
  <c r="F46" i="37" s="1"/>
  <c r="E47" i="37"/>
  <c r="F47" i="37" s="1"/>
  <c r="I47" i="37"/>
  <c r="J47" i="37" s="1"/>
  <c r="I41" i="36"/>
  <c r="J41" i="36" s="1"/>
  <c r="I54" i="34"/>
  <c r="J54" i="34" s="1"/>
  <c r="F24" i="15"/>
  <c r="F22" i="11"/>
  <c r="F25" i="12"/>
  <c r="C24" i="11" l="1"/>
  <c r="C44" i="11"/>
  <c r="D41" i="11" s="1"/>
  <c r="C26" i="11"/>
  <c r="D22" i="11" s="1"/>
  <c r="C42" i="11"/>
  <c r="C43" i="11"/>
  <c r="G70" i="39"/>
  <c r="H68" i="39"/>
  <c r="C39" i="43"/>
  <c r="C38" i="43"/>
  <c r="C98" i="57"/>
  <c r="D59" i="57" s="1"/>
  <c r="D57" i="57" s="1"/>
  <c r="M55" i="57" s="1"/>
  <c r="N58" i="57" s="1"/>
  <c r="C97" i="57"/>
  <c r="E97" i="57" s="1"/>
  <c r="E98" i="57" s="1"/>
  <c r="D5" i="59"/>
  <c r="M20" i="43"/>
  <c r="C26" i="12"/>
  <c r="D25" i="12" s="1"/>
  <c r="C27" i="12"/>
  <c r="C25" i="12" s="1"/>
  <c r="C23" i="15"/>
  <c r="C24" i="15"/>
  <c r="C33" i="43"/>
  <c r="C35" i="43"/>
  <c r="C37" i="43"/>
  <c r="T5" i="43"/>
  <c r="V5" i="43" s="1"/>
  <c r="T8" i="43"/>
  <c r="V8" i="43" s="1"/>
  <c r="T4" i="43"/>
  <c r="V4" i="43" s="1"/>
  <c r="T12" i="43"/>
  <c r="V12" i="43" s="1"/>
  <c r="T3" i="43"/>
  <c r="V3" i="43" s="1"/>
  <c r="T10" i="43"/>
  <c r="V10" i="43" s="1"/>
  <c r="T6" i="43"/>
  <c r="V6" i="43" s="1"/>
  <c r="T14" i="43"/>
  <c r="V14" i="43" s="1"/>
  <c r="C29" i="43"/>
  <c r="T15" i="43"/>
  <c r="V15" i="43" s="1"/>
  <c r="T16" i="43"/>
  <c r="V16" i="43" s="1"/>
  <c r="T2" i="43"/>
  <c r="V2" i="43" s="1"/>
  <c r="T9" i="43"/>
  <c r="V9" i="43" s="1"/>
  <c r="C34" i="43"/>
  <c r="C36" i="43"/>
  <c r="T13" i="43"/>
  <c r="V13" i="43" s="1"/>
  <c r="T11" i="43"/>
  <c r="V11" i="43" s="1"/>
  <c r="T7" i="43"/>
  <c r="V7" i="43" s="1"/>
  <c r="L63" i="40"/>
  <c r="K65" i="40"/>
  <c r="C29" i="15" l="1"/>
  <c r="C36" i="15" s="1"/>
  <c r="P58" i="57"/>
  <c r="N60" i="57"/>
  <c r="N59" i="57"/>
  <c r="E39" i="43"/>
  <c r="G39" i="43"/>
  <c r="I39" i="43" s="1"/>
  <c r="C41" i="11"/>
  <c r="C49" i="11" s="1"/>
  <c r="C51" i="11" s="1"/>
  <c r="E34" i="43"/>
  <c r="G34" i="43"/>
  <c r="I34" i="43" s="1"/>
  <c r="E37" i="43"/>
  <c r="G37" i="43"/>
  <c r="I37" i="43" s="1"/>
  <c r="E33" i="43"/>
  <c r="G33" i="43"/>
  <c r="I33" i="43" s="1"/>
  <c r="M63" i="40"/>
  <c r="L65" i="40"/>
  <c r="E36" i="43"/>
  <c r="G36" i="43"/>
  <c r="I36" i="43" s="1"/>
  <c r="E29" i="43"/>
  <c r="C30" i="43"/>
  <c r="E30" i="43" s="1"/>
  <c r="E35" i="43"/>
  <c r="G35" i="43"/>
  <c r="I35" i="43" s="1"/>
  <c r="C32" i="12"/>
  <c r="E38" i="43"/>
  <c r="G38" i="43"/>
  <c r="I38" i="43" s="1"/>
  <c r="H70" i="39"/>
  <c r="I68" i="39"/>
  <c r="Q47" i="15" l="1"/>
  <c r="C13" i="15"/>
  <c r="C57" i="15" s="1"/>
  <c r="C66" i="15" s="1"/>
  <c r="J14" i="15"/>
  <c r="J22" i="15" s="1"/>
  <c r="C58" i="15"/>
  <c r="C65" i="15" s="1"/>
  <c r="C27" i="43"/>
  <c r="C37" i="15"/>
  <c r="J34" i="15"/>
  <c r="J68" i="39"/>
  <c r="I70" i="39"/>
  <c r="B3" i="12"/>
  <c r="B2" i="12"/>
  <c r="C26" i="43"/>
  <c r="B2" i="43" s="1"/>
  <c r="N63" i="40"/>
  <c r="M65" i="40"/>
  <c r="N62" i="57"/>
  <c r="N61" i="57"/>
  <c r="J13" i="15"/>
  <c r="J23" i="15" s="1"/>
  <c r="C30" i="15"/>
  <c r="C39" i="15" s="1"/>
  <c r="C59" i="15" l="1"/>
  <c r="C68" i="15" s="1"/>
  <c r="C69" i="15" s="1"/>
  <c r="C72" i="15" s="1"/>
  <c r="Q68" i="15"/>
  <c r="J16" i="15"/>
  <c r="J25" i="15" s="1"/>
  <c r="C40" i="15"/>
  <c r="Q67" i="15"/>
  <c r="Q66" i="15" s="1"/>
  <c r="O63" i="40"/>
  <c r="O65" i="40" s="1"/>
  <c r="N65" i="40"/>
  <c r="J38" i="15"/>
  <c r="J39" i="15" s="1"/>
  <c r="C47" i="15"/>
  <c r="C6" i="11"/>
  <c r="B3" i="43"/>
  <c r="J70" i="39"/>
  <c r="K68" i="39"/>
  <c r="C7" i="11" l="1"/>
  <c r="C5" i="11" s="1"/>
  <c r="L68" i="39"/>
  <c r="K70" i="39"/>
  <c r="J7" i="40"/>
  <c r="H7" i="40"/>
  <c r="F7" i="40"/>
  <c r="B3" i="15"/>
  <c r="B2" i="15"/>
  <c r="C43" i="15"/>
  <c r="Q63" i="15"/>
  <c r="Q73" i="15" s="1"/>
  <c r="L52" i="15"/>
  <c r="Q45" i="15"/>
  <c r="Q51" i="15" s="1"/>
  <c r="Q54" i="15"/>
  <c r="Q60" i="15" s="1"/>
  <c r="J41" i="15"/>
  <c r="C20" i="9"/>
  <c r="C19" i="9"/>
  <c r="C101" i="9" l="1"/>
  <c r="C102" i="9"/>
  <c r="C20" i="11"/>
  <c r="C25" i="11" s="1"/>
  <c r="C23" i="11"/>
  <c r="S7" i="40"/>
  <c r="AA7" i="40"/>
  <c r="R42" i="40" s="1"/>
  <c r="W7" i="40"/>
  <c r="AC7" i="40"/>
  <c r="V42" i="40" s="1"/>
  <c r="I42" i="40" s="1"/>
  <c r="M68" i="39"/>
  <c r="L70" i="39"/>
  <c r="J42" i="15"/>
  <c r="D35" i="9"/>
  <c r="D34" i="9" s="1"/>
  <c r="Q65" i="15"/>
  <c r="L58" i="15"/>
  <c r="AB7" i="40"/>
  <c r="T42" i="40" s="1"/>
  <c r="G42" i="40" s="1"/>
  <c r="U7" i="40"/>
  <c r="C22" i="11" l="1"/>
  <c r="C28" i="11"/>
  <c r="C27" i="11" s="1"/>
  <c r="I46" i="40"/>
  <c r="J46" i="40" s="1"/>
  <c r="I47" i="40"/>
  <c r="J47" i="40" s="1"/>
  <c r="E42" i="40"/>
  <c r="R43" i="40"/>
  <c r="G47" i="40"/>
  <c r="H47" i="40" s="1"/>
  <c r="G46" i="40"/>
  <c r="H46" i="40" s="1"/>
  <c r="N68" i="39"/>
  <c r="M70" i="39"/>
  <c r="C31" i="11" l="1"/>
  <c r="C52" i="11" s="1"/>
  <c r="B3" i="11" s="1"/>
  <c r="O68" i="39"/>
  <c r="O70" i="39" s="1"/>
  <c r="N70" i="39"/>
  <c r="E46" i="40"/>
  <c r="F46" i="40" s="1"/>
  <c r="E47" i="40"/>
  <c r="F47" i="40" s="1"/>
  <c r="C43" i="40"/>
  <c r="C42" i="40"/>
  <c r="D20" i="9"/>
  <c r="B2" i="11" l="1"/>
  <c r="C56" i="11"/>
  <c r="C57" i="11" s="1"/>
  <c r="D102" i="9"/>
  <c r="G20" i="9"/>
  <c r="J20" i="9"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H7" i="39"/>
  <c r="J7" i="39"/>
  <c r="F7" i="39"/>
  <c r="D19" i="9"/>
  <c r="J19" i="9" l="1"/>
  <c r="D101" i="9"/>
  <c r="D22" i="9"/>
  <c r="G19" i="9"/>
  <c r="C32" i="9" s="1"/>
  <c r="W7" i="39"/>
  <c r="AC7" i="39"/>
  <c r="V47" i="39" s="1"/>
  <c r="I47" i="39" s="1"/>
  <c r="S7" i="39"/>
  <c r="AA7" i="39"/>
  <c r="R47" i="39" s="1"/>
  <c r="AB7" i="39"/>
  <c r="T47" i="39" s="1"/>
  <c r="G47" i="39" s="1"/>
  <c r="U7" i="39"/>
  <c r="H121" i="9" l="1"/>
  <c r="C35" i="9"/>
  <c r="F121" i="9" s="1"/>
  <c r="G52" i="39"/>
  <c r="H52" i="39" s="1"/>
  <c r="G51" i="39"/>
  <c r="H51" i="39" s="1"/>
  <c r="E47" i="39"/>
  <c r="R48" i="39"/>
  <c r="I52" i="39"/>
  <c r="J52" i="39" s="1"/>
  <c r="I51" i="39"/>
  <c r="J51" i="39" s="1"/>
  <c r="I121" i="9" l="1"/>
  <c r="H122" i="9"/>
  <c r="H5" i="52" s="1"/>
  <c r="I102" i="9"/>
  <c r="C103" i="9"/>
  <c r="D106" i="9"/>
  <c r="D112" i="9" s="1"/>
  <c r="D14" i="62"/>
  <c r="H4" i="52"/>
  <c r="G121" i="9"/>
  <c r="G4" i="52" s="1"/>
  <c r="B41" i="60" s="1"/>
  <c r="F4" i="52"/>
  <c r="B40" i="60" s="1"/>
  <c r="F122" i="9"/>
  <c r="F5" i="52" s="1"/>
  <c r="B42" i="60" s="1"/>
  <c r="C34" i="9"/>
  <c r="D121" i="9" s="1"/>
  <c r="C48" i="39"/>
  <c r="C47" i="39"/>
  <c r="E51" i="39"/>
  <c r="F51" i="39" s="1"/>
  <c r="E52" i="39"/>
  <c r="F52" i="39" s="1"/>
  <c r="E14" i="62" l="1"/>
  <c r="F14" i="62"/>
  <c r="B5" i="62"/>
  <c r="E121" i="9"/>
  <c r="E4" i="52" s="1"/>
  <c r="B38" i="60" s="1"/>
  <c r="D4" i="52"/>
  <c r="B37" i="60" s="1"/>
  <c r="D122" i="9"/>
  <c r="D5" i="52" s="1"/>
  <c r="B39" i="60" s="1"/>
  <c r="D117" i="9"/>
  <c r="D45" i="9"/>
  <c r="M48" i="9"/>
  <c r="I110" i="9"/>
  <c r="D28" i="50"/>
  <c r="D29" i="50" s="1"/>
  <c r="D7" i="50"/>
  <c r="I4" i="52"/>
  <c r="C104" i="9"/>
  <c r="I103" i="9"/>
  <c r="D107" i="9"/>
  <c r="D113" i="9" s="1"/>
  <c r="B61" i="39"/>
  <c r="F61" i="39" s="1"/>
  <c r="B62" i="39"/>
  <c r="F62" i="39" s="1"/>
  <c r="B63" i="39"/>
  <c r="F63" i="39" s="1"/>
  <c r="B64" i="39"/>
  <c r="F64" i="39" s="1"/>
  <c r="B57" i="39"/>
  <c r="F57" i="39" s="1"/>
  <c r="B58" i="39"/>
  <c r="F58" i="39" s="1"/>
  <c r="B65" i="39"/>
  <c r="F65" i="39" s="1"/>
  <c r="B60" i="39"/>
  <c r="F60" i="39" s="1"/>
  <c r="B59" i="39"/>
  <c r="F59" i="39" s="1"/>
  <c r="B56" i="39"/>
  <c r="F56" i="39" s="1"/>
  <c r="F66" i="39" s="1"/>
  <c r="B2" i="39" s="1"/>
  <c r="B3" i="39" s="1"/>
  <c r="D30" i="50" l="1"/>
  <c r="D9" i="50"/>
  <c r="B21" i="60" s="1"/>
  <c r="I111" i="9"/>
  <c r="D38" i="50"/>
  <c r="B62" i="60" s="1"/>
  <c r="D8" i="50"/>
  <c r="B22" i="60" s="1"/>
  <c r="B19" i="60"/>
  <c r="D15" i="50"/>
  <c r="D125" i="9"/>
  <c r="D36" i="50"/>
  <c r="D37" i="50" s="1"/>
  <c r="D55" i="9"/>
  <c r="M53" i="9" s="1"/>
  <c r="C78" i="9"/>
  <c r="C73" i="9" s="1"/>
  <c r="D53" i="9"/>
  <c r="D48" i="9" s="1"/>
  <c r="M52" i="9" s="1"/>
  <c r="D59" i="9"/>
  <c r="M55" i="9" s="1"/>
  <c r="C64" i="9"/>
  <c r="C63" i="9" s="1"/>
  <c r="C67" i="9" s="1"/>
  <c r="C68" i="9" s="1"/>
  <c r="D54" i="9" s="1"/>
  <c r="C85" i="9"/>
  <c r="D52" i="9"/>
  <c r="C93" i="9"/>
  <c r="C86" i="9" s="1"/>
  <c r="C72" i="9"/>
  <c r="D44" i="50"/>
  <c r="I115" i="9"/>
  <c r="D23" i="50" s="1"/>
  <c r="B34" i="60" s="1"/>
  <c r="D5" i="62"/>
  <c r="C5" i="62"/>
  <c r="C95" i="9" l="1"/>
  <c r="C96" i="9" s="1"/>
  <c r="E96" i="9" s="1"/>
  <c r="E97" i="9" s="1"/>
  <c r="C79" i="9"/>
  <c r="D8" i="52"/>
  <c r="G14" i="62"/>
  <c r="B6" i="62" s="1"/>
  <c r="B29" i="60"/>
  <c r="D16" i="50"/>
  <c r="B30" i="60" s="1"/>
  <c r="D17" i="50"/>
  <c r="D126" i="9"/>
  <c r="D9" i="52" s="1"/>
  <c r="C97" i="9"/>
  <c r="D58" i="9" s="1"/>
  <c r="D56" i="9" s="1"/>
  <c r="M54" i="9" s="1"/>
  <c r="N57" i="9" s="1"/>
  <c r="D6" i="62" l="1"/>
  <c r="C6" i="62"/>
  <c r="C80" i="9"/>
  <c r="E80" i="9" s="1"/>
  <c r="E81" i="9" s="1"/>
  <c r="N58" i="9"/>
  <c r="N59" i="9"/>
  <c r="P57" i="9"/>
  <c r="C81" i="9" l="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<sst xmlns="http://schemas.openxmlformats.org/spreadsheetml/2006/main" count="6763" uniqueCount="2851">
  <si>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</si>
  <si>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</si>
  <si>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</si>
  <si>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</si>
  <si>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</si>
  <si>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</si>
  <si>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</si>
  <si>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</si>
  <si>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</si>
  <si>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</si>
  <si>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</si>
  <si>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</si>
  <si>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</si>
  <si>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</si>
  <si>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</si>
  <si>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</si>
  <si>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</si>
  <si>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</si>
  <si>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</si>
  <si>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</si>
  <si>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</si>
  <si>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</si>
  <si>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</si>
  <si>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</si>
  <si>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</si>
  <si>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</si>
  <si>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</si>
  <si>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</si>
  <si>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</si>
  <si>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</si>
  <si>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</si>
  <si>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</si>
  <si>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</si>
  <si>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</si>
  <si>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</si>
  <si>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</si>
  <si>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</si>
  <si>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</si>
  <si>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</si>
  <si>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</si>
  <si>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</si>
  <si>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</si>
  <si>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</si>
  <si>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</si>
  <si>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</si>
  <si>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</si>
  <si>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</si>
  <si>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</si>
  <si>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</si>
  <si>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</si>
  <si>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</si>
  <si>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</si>
  <si>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</si>
  <si>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</si>
  <si>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</si>
  <si>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</si>
  <si>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</si>
  <si>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</si>
  <si>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</si>
  <si>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</si>
  <si>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</si>
  <si>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</si>
  <si>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</si>
  <si>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</si>
  <si>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</si>
  <si>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</si>
  <si>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</si>
  <si>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</si>
  <si>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</si>
  <si>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</si>
  <si>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</si>
  <si>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</si>
  <si>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</si>
  <si>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</si>
  <si>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</si>
  <si>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</si>
  <si>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</si>
  <si>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</si>
  <si>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</si>
  <si>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</si>
  <si>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</si>
  <si>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</si>
  <si>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</si>
  <si>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</si>
  <si>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</si>
  <si>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</si>
  <si>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</si>
  <si>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</si>
  <si>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</si>
  <si>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</si>
  <si>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</si>
  <si>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</si>
  <si>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</si>
  <si>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</si>
  <si>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</si>
  <si>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</si>
  <si>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</si>
  <si>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</si>
  <si>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</si>
  <si>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</si>
  <si>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</si>
  <si>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</si>
  <si>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</si>
  <si>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</si>
  <si>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</si>
  <si>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</si>
  <si>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</si>
  <si>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</si>
  <si>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</si>
  <si>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</si>
  <si>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</si>
  <si>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</si>
  <si>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</si>
  <si>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</si>
  <si>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</si>
  <si>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</si>
  <si>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</si>
  <si>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</si>
  <si>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</si>
  <si>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</si>
  <si>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</si>
  <si>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</si>
  <si>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</si>
  <si>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</si>
  <si>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</si>
  <si>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</si>
  <si>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</si>
  <si>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</si>
  <si>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</si>
  <si>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</si>
  <si>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</si>
  <si>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</si>
  <si>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</si>
  <si>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</si>
  <si>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</si>
  <si>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</si>
  <si>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</si>
  <si>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</si>
  <si>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</si>
  <si>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</si>
  <si>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</si>
  <si>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</si>
  <si>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</si>
  <si>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</si>
  <si>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</si>
  <si>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</si>
  <si>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</si>
  <si>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</si>
  <si>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</si>
  <si>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</si>
  <si>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</si>
  <si>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</si>
  <si>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</si>
  <si>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</si>
  <si>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</si>
  <si>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</si>
  <si>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</si>
  <si>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</si>
  <si>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</si>
  <si>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</si>
  <si>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</si>
  <si>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</si>
  <si>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</si>
  <si>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</si>
  <si>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</si>
  <si>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</si>
  <si>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</si>
  <si>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</si>
  <si>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</si>
  <si>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</si>
  <si>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</si>
  <si>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</si>
  <si>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</si>
  <si>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</si>
  <si>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</si>
  <si>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</si>
  <si>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</si>
  <si>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</si>
  <si>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</si>
  <si>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</si>
  <si>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</si>
  <si>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</si>
  <si>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</si>
  <si>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</si>
  <si>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</si>
  <si>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</si>
  <si>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</si>
  <si>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</si>
  <si>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</si>
  <si>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</si>
  <si>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</si>
  <si>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</si>
  <si>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</si>
  <si>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</si>
  <si>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</si>
  <si>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</si>
  <si>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</si>
  <si>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</si>
  <si>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</si>
  <si>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</si>
  <si>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</si>
  <si>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</si>
  <si>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</si>
  <si>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</si>
  <si>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</si>
  <si>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</si>
  <si>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</si>
  <si>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</si>
  <si>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</si>
  <si>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</si>
  <si>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</si>
  <si>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</si>
  <si>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</si>
  <si>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</si>
  <si>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</si>
  <si>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</si>
  <si>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</si>
  <si>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</si>
  <si>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</si>
  <si>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</si>
  <si>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</si>
  <si>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</si>
  <si>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</si>
  <si>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</si>
  <si>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</si>
  <si>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</si>
  <si>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</si>
  <si>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</si>
  <si>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</si>
  <si>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</si>
  <si>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</si>
  <si>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</si>
  <si>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</si>
  <si>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</si>
  <si>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</si>
  <si>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</si>
  <si>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</si>
  <si>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</si>
  <si>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</si>
  <si>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</si>
  <si>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</si>
  <si>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</si>
  <si>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</si>
  <si>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</si>
  <si>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</si>
  <si>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</si>
  <si>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</si>
  <si>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</si>
  <si>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</si>
  <si>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</si>
  <si>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</si>
  <si>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</si>
  <si>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</si>
  <si>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</si>
  <si>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</si>
  <si>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</si>
  <si>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</si>
  <si>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</si>
  <si>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</si>
  <si>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</si>
  <si>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</si>
  <si>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</si>
  <si>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</si>
  <si>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</si>
  <si>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</si>
  <si>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</si>
  <si>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</si>
  <si>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</si>
  <si>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</si>
  <si>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</si>
  <si>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</si>
  <si>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</si>
  <si>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</si>
  <si>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</si>
  <si>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</si>
  <si>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</si>
  <si>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</si>
  <si>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</si>
  <si>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</si>
  <si>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</si>
  <si>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</si>
  <si>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</si>
  <si>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</si>
  <si>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</si>
  <si>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</si>
  <si>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</si>
  <si>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</si>
  <si>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</si>
  <si>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</si>
  <si>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</si>
  <si>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</si>
  <si>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</si>
  <si>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</si>
  <si>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</si>
  <si>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</si>
  <si>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</si>
  <si>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</si>
  <si>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</si>
  <si>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</si>
  <si>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</si>
  <si>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</si>
  <si>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</si>
  <si>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</si>
  <si>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</si>
  <si>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</si>
  <si>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</si>
  <si>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</si>
  <si>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</si>
  <si>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</si>
  <si>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</si>
  <si>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</si>
  <si>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</si>
  <si>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</si>
  <si>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</si>
  <si>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</si>
  <si>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</si>
  <si>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</si>
  <si>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</si>
  <si>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</si>
  <si>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</si>
  <si>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</si>
  <si>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</si>
  <si>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</si>
  <si>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</si>
  <si>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</si>
  <si>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</si>
  <si>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</si>
  <si>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</si>
  <si>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</si>
  <si>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</si>
  <si>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</si>
  <si>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</si>
  <si>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</si>
  <si>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</si>
  <si>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</si>
  <si>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</si>
  <si>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</si>
  <si>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</si>
  <si>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</si>
  <si>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</si>
  <si>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</si>
  <si>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</si>
  <si>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</si>
  <si>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</si>
  <si>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</si>
  <si>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</si>
  <si>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</si>
  <si>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</si>
  <si>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</si>
  <si>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</si>
  <si>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</si>
  <si>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</si>
  <si>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</si>
  <si>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</si>
  <si>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</si>
  <si>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</si>
  <si>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</si>
  <si>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</si>
  <si>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</si>
  <si>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</si>
  <si>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</si>
  <si>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</si>
  <si>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</si>
  <si>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</si>
  <si>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</si>
  <si>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</si>
  <si>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</si>
  <si>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</si>
  <si>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</si>
  <si>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</si>
  <si>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</si>
  <si>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</si>
  <si>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</si>
  <si>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</si>
  <si>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</si>
  <si>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</si>
  <si>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</si>
  <si>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</si>
  <si>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</si>
  <si>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</si>
  <si>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</si>
  <si>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</si>
  <si>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</si>
  <si>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</si>
  <si>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</si>
  <si>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</si>
  <si>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</si>
  <si>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</si>
  <si>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</si>
  <si>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</si>
  <si>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</si>
  <si>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</si>
  <si>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</si>
  <si>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</si>
  <si>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</si>
  <si>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</si>
  <si>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</si>
  <si>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</si>
  <si>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</si>
  <si>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</si>
  <si>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</si>
  <si>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</si>
  <si>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</si>
  <si>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</si>
  <si>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</si>
  <si>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</si>
  <si>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</si>
  <si>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</si>
  <si>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</si>
  <si>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</si>
  <si>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</si>
  <si>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</si>
  <si>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</si>
  <si>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</si>
  <si>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</si>
  <si>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</si>
  <si>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</si>
  <si>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</si>
  <si>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</si>
  <si>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</si>
  <si>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</si>
  <si>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</si>
  <si>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</si>
  <si>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</si>
  <si>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</si>
  <si>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</si>
  <si>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</si>
  <si>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</si>
  <si>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</si>
  <si>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</si>
  <si>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</si>
  <si>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</si>
  <si>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</si>
  <si>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</si>
  <si>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</si>
  <si>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</si>
  <si>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</si>
  <si>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</si>
  <si>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</si>
  <si>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</si>
  <si>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</si>
  <si>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</si>
  <si>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</si>
  <si>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</si>
  <si>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</si>
  <si>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</si>
  <si>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</si>
  <si>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</si>
  <si>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</si>
  <si>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</si>
  <si>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</si>
  <si>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</si>
  <si>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</si>
  <si>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</si>
  <si>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</si>
  <si>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</si>
  <si>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</si>
  <si>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</si>
  <si>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</si>
  <si>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</si>
  <si>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</si>
  <si>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</si>
  <si>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</si>
  <si>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</si>
  <si>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</si>
  <si>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</si>
  <si>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</si>
  <si>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</si>
  <si>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</si>
  <si>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</si>
  <si>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</si>
  <si>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</si>
  <si>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</si>
  <si>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</si>
  <si>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</si>
  <si>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</si>
  <si>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</si>
  <si>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</si>
  <si>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</si>
  <si>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</si>
  <si>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</si>
  <si>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</si>
  <si>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</si>
  <si>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</si>
  <si>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</si>
  <si>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</si>
  <si>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</si>
  <si>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</si>
  <si>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</si>
  <si>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</si>
  <si>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</si>
  <si>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</si>
  <si>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</si>
  <si>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</si>
  <si>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</si>
  <si>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</si>
  <si>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</si>
  <si>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</si>
  <si>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</si>
  <si>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</si>
  <si>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</si>
  <si>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</si>
  <si>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</si>
  <si>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</si>
  <si>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</si>
  <si>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</si>
  <si>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</si>
  <si>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</si>
  <si>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</si>
  <si>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</si>
  <si>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</si>
  <si>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</si>
  <si>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</si>
  <si>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</si>
  <si>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</si>
  <si>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</si>
  <si>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</si>
  <si>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</si>
  <si>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</si>
  <si>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</si>
  <si>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</si>
  <si>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</si>
  <si>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</si>
  <si>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</si>
  <si>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</si>
  <si>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</si>
  <si>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</si>
  <si>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</si>
  <si>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</si>
  <si>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</si>
  <si>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</si>
  <si>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</si>
  <si>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</si>
  <si>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</si>
  <si>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</si>
  <si>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</si>
  <si>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</si>
  <si>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</si>
  <si>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</si>
  <si>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</si>
  <si>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</si>
  <si>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</si>
  <si>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</si>
  <si>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</si>
  <si>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</si>
  <si>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</si>
  <si>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</si>
  <si>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</si>
  <si>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</si>
  <si>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</si>
  <si>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</si>
  <si>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</si>
  <si>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</si>
  <si>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</si>
  <si>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</si>
  <si>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</si>
  <si>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</si>
  <si>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</si>
  <si>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</si>
  <si>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</si>
  <si>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</si>
  <si>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</si>
  <si>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</si>
  <si>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</si>
  <si>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</si>
  <si>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</si>
  <si>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</si>
  <si>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</si>
  <si>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</si>
  <si>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</si>
  <si>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</si>
  <si>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</si>
  <si>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</si>
  <si>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</si>
  <si>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</si>
  <si>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</si>
  <si>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</si>
  <si>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</si>
  <si>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</si>
  <si>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</si>
  <si>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</si>
  <si>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</si>
  <si>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</si>
  <si>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</si>
  <si>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</si>
  <si>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</si>
  <si>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</si>
  <si>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</si>
  <si>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</si>
  <si>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</si>
  <si>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</si>
  <si>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</si>
  <si>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</si>
  <si>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</si>
  <si>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</si>
  <si>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</si>
  <si>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</si>
  <si>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</si>
  <si>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</si>
  <si>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</si>
  <si>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</si>
  <si>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</si>
  <si>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</si>
  <si>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</si>
  <si>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</si>
  <si>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</si>
  <si>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</si>
  <si>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</si>
  <si>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</si>
  <si>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</si>
  <si>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</si>
  <si>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</si>
  <si>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</si>
  <si>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</si>
  <si>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</si>
  <si>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</si>
  <si>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</si>
  <si>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</si>
  <si>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</si>
  <si>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</si>
  <si>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</si>
  <si>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</si>
  <si>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</si>
  <si>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</si>
  <si>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</si>
  <si>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</si>
  <si>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</si>
  <si>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</si>
  <si>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</si>
  <si>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</si>
  <si>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</si>
  <si>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</si>
  <si>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</si>
  <si>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</si>
  <si>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</si>
  <si>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</si>
  <si>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</si>
  <si>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</si>
  <si>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</si>
  <si>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</si>
  <si>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</si>
  <si>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</si>
  <si>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</si>
  <si>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</si>
  <si>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</si>
  <si>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</si>
  <si>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</si>
  <si>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</si>
  <si>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</si>
  <si>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</si>
  <si>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</si>
  <si>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</si>
  <si>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</si>
  <si>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</si>
  <si>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</si>
  <si>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</si>
  <si>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</si>
  <si>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</si>
  <si>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</si>
  <si>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</si>
  <si>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</si>
  <si>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</si>
  <si>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</si>
  <si>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</si>
  <si>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</si>
  <si>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</si>
  <si>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</si>
  <si>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</si>
  <si>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</si>
  <si>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</si>
  <si>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</si>
  <si>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</si>
  <si>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</si>
  <si>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</si>
  <si>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</si>
  <si>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</si>
  <si>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</si>
  <si>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</si>
  <si>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</si>
  <si>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</si>
  <si>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</si>
  <si>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</si>
  <si>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</si>
  <si>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</si>
  <si>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</si>
  <si>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</si>
  <si>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</si>
  <si>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</si>
  <si>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</si>
  <si>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</si>
  <si>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</si>
  <si>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</si>
  <si>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</si>
  <si>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</si>
  <si>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</si>
  <si>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</si>
  <si>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</si>
  <si>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</si>
  <si>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</si>
  <si>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</si>
  <si>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</si>
  <si>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</si>
  <si>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</si>
  <si>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</si>
  <si>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</si>
  <si>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</si>
  <si>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</si>
  <si>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</si>
  <si>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</si>
  <si>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</si>
  <si>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</si>
  <si>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</si>
  <si>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</si>
  <si>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</si>
  <si>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</si>
  <si>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</si>
  <si>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</si>
  <si>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</si>
  <si>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</si>
  <si>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</si>
  <si>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</si>
  <si>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</si>
  <si>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</si>
  <si>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</si>
  <si>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</si>
  <si>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</si>
  <si>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</si>
  <si>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</si>
  <si>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</si>
  <si>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</si>
  <si>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</si>
  <si>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</si>
  <si>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</si>
  <si>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</si>
  <si>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</si>
  <si>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</si>
  <si>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</si>
  <si>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</si>
  <si>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</si>
  <si>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</si>
  <si>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</si>
  <si>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</si>
  <si>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</si>
  <si>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</si>
  <si>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</si>
  <si>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</si>
  <si>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</si>
  <si>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</si>
  <si>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</si>
  <si>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</si>
  <si>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</si>
  <si>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</si>
  <si>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</si>
  <si>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</si>
  <si>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</si>
  <si>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</si>
  <si>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</si>
  <si>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</si>
  <si>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</si>
  <si>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</si>
  <si>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</si>
  <si>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</si>
  <si>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</si>
  <si>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</si>
  <si>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</si>
  <si>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</si>
  <si>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</si>
  <si>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</si>
  <si>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</si>
  <si>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</si>
  <si>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</si>
  <si>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</si>
  <si>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</si>
  <si>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</si>
  <si>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</si>
  <si>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</si>
  <si>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</si>
  <si>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</si>
  <si>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</si>
  <si>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</si>
  <si>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</si>
  <si>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</si>
  <si>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</si>
  <si>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</si>
  <si>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</si>
  <si>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</si>
  <si>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</si>
  <si>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</si>
  <si>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</si>
  <si>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</si>
  <si>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</si>
  <si>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</si>
  <si>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</si>
  <si>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</si>
  <si>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</si>
  <si>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</si>
  <si>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</si>
  <si>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</si>
  <si>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</si>
  <si>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</si>
  <si>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</si>
  <si>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</si>
  <si>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</si>
  <si>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</si>
  <si>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</si>
  <si>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</si>
  <si>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</si>
  <si>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</si>
  <si>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</si>
  <si>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</si>
  <si>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</si>
  <si>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</si>
  <si>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</si>
  <si>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</si>
  <si>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</si>
  <si>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</si>
  <si>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</si>
  <si>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</si>
  <si>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</si>
  <si>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</si>
  <si>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</si>
  <si>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</si>
  <si>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</si>
  <si>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</si>
  <si>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</si>
  <si>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</si>
  <si>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</si>
  <si>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</si>
  <si>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</si>
  <si>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</si>
  <si>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</si>
  <si>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</si>
  <si>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</si>
  <si>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</si>
  <si>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</si>
  <si>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</si>
  <si>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</si>
  <si>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</si>
  <si>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</si>
  <si>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</si>
  <si>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</si>
  <si>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</si>
  <si>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</si>
  <si>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</si>
  <si>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</si>
  <si>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</si>
  <si>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</si>
  <si>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</si>
  <si>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</si>
  <si>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</si>
  <si>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</si>
  <si>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</si>
  <si>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</si>
  <si>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</si>
  <si>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</si>
  <si>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</si>
  <si>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</si>
  <si>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</si>
  <si>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</si>
  <si>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</si>
  <si>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</si>
  <si>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</si>
  <si>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</si>
  <si>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</si>
  <si>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</si>
  <si>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</si>
  <si>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</si>
  <si>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</si>
  <si>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</si>
  <si>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</si>
  <si>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</si>
  <si>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</si>
  <si>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</si>
  <si>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</si>
  <si>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</si>
  <si>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</si>
  <si>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</si>
  <si>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</si>
  <si>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</si>
  <si>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</si>
  <si>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</si>
  <si>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</si>
  <si>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</si>
  <si>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</si>
  <si>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</si>
  <si>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</si>
  <si>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</si>
  <si>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</si>
  <si>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</si>
  <si>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</si>
  <si>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</si>
  <si>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</si>
  <si>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</si>
  <si>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</si>
  <si>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</si>
  <si>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</si>
  <si>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</si>
  <si>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</si>
  <si>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</si>
  <si>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</si>
  <si>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</si>
  <si>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</si>
  <si>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</si>
  <si>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</si>
  <si>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</si>
  <si>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</si>
  <si>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</si>
  <si>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</si>
  <si>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</si>
  <si>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</si>
  <si>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</si>
  <si>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</si>
  <si>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</si>
  <si>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</si>
  <si>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</si>
  <si>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</si>
  <si>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</si>
  <si>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</si>
  <si>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</si>
  <si>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</si>
  <si>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</si>
  <si>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</si>
  <si>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</si>
  <si>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</si>
  <si>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</si>
  <si>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</si>
  <si>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</si>
  <si>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</si>
  <si>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</si>
  <si>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</si>
  <si>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</si>
  <si>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</si>
  <si>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</si>
  <si>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</si>
  <si>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</si>
  <si>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</si>
  <si>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</si>
  <si>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</si>
  <si>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</si>
  <si>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</si>
  <si>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</si>
  <si>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</si>
  <si>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</si>
  <si>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</si>
  <si>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</si>
  <si>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</si>
  <si>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</si>
  <si>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</si>
  <si>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</si>
  <si>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</si>
  <si>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</si>
  <si>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</si>
  <si>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</si>
  <si>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</si>
  <si>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</si>
  <si>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</si>
  <si>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</si>
  <si>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</si>
  <si>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</si>
  <si>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</si>
  <si>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</si>
  <si>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</si>
  <si>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</si>
  <si>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</si>
  <si>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</si>
  <si>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</si>
  <si>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</si>
  <si>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</si>
  <si>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</si>
  <si>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</si>
  <si>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</si>
  <si>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</si>
  <si>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</si>
  <si>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</si>
  <si>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</si>
  <si>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</si>
  <si>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</si>
  <si>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</si>
  <si>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</si>
  <si>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</si>
  <si>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</si>
  <si>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</si>
  <si>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</si>
  <si>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</si>
  <si>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</si>
  <si>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</si>
  <si>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</si>
  <si>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</si>
  <si>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</si>
  <si>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</si>
  <si>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</si>
  <si>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</si>
  <si>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</si>
  <si>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</si>
  <si>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</si>
  <si>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</si>
  <si>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</si>
  <si>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</si>
  <si>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</si>
  <si>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</si>
  <si>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</si>
  <si>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</si>
  <si>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</si>
  <si>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</si>
  <si>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</si>
  <si>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</si>
  <si>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</si>
  <si>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</si>
  <si>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</si>
  <si>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</si>
  <si>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</si>
  <si>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</si>
  <si>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</si>
  <si>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</si>
  <si>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</si>
  <si>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</si>
  <si>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</si>
  <si>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</si>
  <si>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</si>
  <si>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</si>
  <si>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</si>
  <si>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</si>
  <si>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</si>
  <si>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</si>
  <si>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</si>
  <si>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</si>
  <si>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</si>
  <si>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</si>
  <si>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</si>
  <si>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</si>
  <si>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</si>
  <si>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</si>
  <si>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</si>
  <si>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</si>
  <si>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</si>
  <si>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</si>
  <si>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</si>
  <si>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</si>
  <si>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</si>
  <si>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</si>
  <si>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</si>
  <si>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</si>
  <si>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</si>
  <si>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</si>
  <si>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</si>
  <si>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</si>
  <si>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</si>
  <si>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</si>
  <si>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</si>
  <si>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</si>
  <si>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</si>
  <si>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</si>
  <si>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</si>
  <si>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</si>
  <si>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</si>
  <si>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</si>
  <si>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</si>
  <si>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</si>
  <si>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</si>
  <si>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</si>
  <si>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</si>
  <si>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</si>
  <si>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</si>
  <si>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</si>
  <si>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</si>
  <si>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</si>
  <si>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</si>
  <si>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</si>
  <si>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</si>
  <si>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</si>
  <si>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</si>
  <si>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</si>
  <si>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</si>
  <si>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</si>
  <si>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</si>
  <si>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</si>
  <si>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</si>
  <si>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</si>
  <si>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</si>
  <si>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</si>
  <si>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</si>
  <si>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</si>
  <si>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</si>
  <si>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</si>
  <si>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</si>
  <si>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</si>
  <si>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</si>
  <si>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</si>
  <si>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</si>
  <si>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</si>
  <si>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</si>
  <si>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</si>
  <si>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</si>
  <si>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</si>
  <si>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</si>
  <si>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</si>
  <si>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</si>
  <si>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</si>
  <si>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</si>
  <si>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</si>
  <si>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</si>
  <si>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</si>
  <si>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</si>
  <si>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</si>
  <si>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</si>
  <si>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</si>
  <si>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</si>
  <si>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</si>
  <si>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</si>
  <si>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</si>
  <si>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</si>
  <si>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</si>
  <si>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</si>
  <si>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</si>
  <si>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</si>
  <si>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</si>
  <si>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</si>
  <si>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</si>
  <si>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</si>
  <si>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</si>
  <si>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</si>
  <si>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</si>
  <si>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</si>
  <si>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</si>
  <si>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</si>
  <si>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</si>
  <si>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</si>
  <si>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</si>
  <si>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</si>
  <si>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</si>
  <si>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</si>
  <si>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</si>
  <si>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</si>
  <si>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</si>
  <si>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</si>
  <si>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</si>
  <si>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</si>
  <si>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</si>
  <si>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</si>
  <si>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</si>
  <si>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</si>
  <si>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</si>
  <si>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</si>
  <si>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</si>
  <si>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</si>
  <si>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</si>
  <si>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</si>
  <si>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</si>
  <si>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</si>
  <si>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</si>
  <si>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</si>
  <si>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</si>
  <si>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</si>
  <si>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</si>
  <si>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</si>
  <si>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</si>
  <si>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</si>
  <si>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</si>
  <si>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</si>
  <si>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</si>
  <si>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</si>
  <si>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</si>
  <si>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</si>
  <si>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</si>
  <si>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</si>
  <si>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</si>
  <si>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</si>
  <si>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</si>
  <si>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</si>
  <si>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</si>
  <si>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</si>
  <si>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</si>
  <si>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</si>
  <si>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</si>
  <si>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</si>
  <si>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</si>
  <si>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</si>
  <si>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</si>
  <si>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</si>
  <si>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</si>
  <si>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</si>
  <si>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</si>
  <si>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</si>
  <si>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</si>
  <si>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</si>
  <si>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</si>
  <si>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</si>
  <si>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</si>
  <si>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</si>
  <si>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</si>
  <si>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</si>
  <si>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</si>
  <si>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</si>
  <si>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</si>
  <si>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</si>
  <si>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</si>
  <si>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</si>
  <si>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</si>
  <si>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</si>
  <si>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</si>
  <si>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</si>
  <si>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</si>
  <si>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</si>
  <si>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</si>
  <si>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</si>
  <si>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</si>
  <si>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</si>
  <si>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</si>
  <si>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</si>
  <si>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</si>
  <si>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</si>
  <si>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</si>
  <si>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</si>
  <si>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</si>
  <si>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</si>
  <si>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</si>
  <si>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</si>
  <si>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</si>
  <si>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</si>
  <si>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</si>
  <si>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</si>
  <si>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</si>
  <si>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</si>
  <si>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</si>
  <si>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</si>
  <si>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</si>
  <si>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</si>
  <si>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</si>
  <si>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</si>
  <si>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</si>
  <si>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</si>
  <si>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</si>
  <si>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</si>
  <si>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</si>
  <si>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</si>
  <si>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</si>
  <si>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</si>
  <si>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</si>
  <si>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</si>
  <si>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</si>
  <si>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</si>
  <si>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</si>
  <si>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</si>
  <si>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</si>
  <si>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</si>
  <si>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</si>
  <si>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</si>
  <si>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</si>
  <si>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</si>
  <si>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</si>
  <si>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</si>
  <si>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</si>
  <si>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</si>
  <si>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</si>
  <si>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</si>
  <si>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</si>
  <si>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</si>
  <si>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</si>
  <si>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</si>
  <si>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</si>
  <si>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</si>
  <si>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</si>
  <si>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</si>
  <si>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</si>
  <si>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</si>
  <si>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</si>
  <si>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</si>
  <si>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</si>
  <si>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</si>
  <si>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</si>
  <si>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</si>
  <si>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</si>
  <si>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</si>
  <si>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</si>
  <si>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</si>
  <si>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</si>
  <si>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</si>
  <si>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</si>
  <si>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</si>
  <si>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</si>
  <si>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</si>
  <si>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</si>
  <si>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</si>
  <si>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</si>
  <si>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</si>
  <si>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</si>
  <si>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</si>
  <si>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</si>
  <si>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</si>
  <si>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</si>
  <si>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</si>
  <si>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</si>
  <si>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</si>
  <si>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</si>
  <si>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</si>
  <si>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</si>
  <si>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</si>
  <si>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</si>
  <si>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</si>
  <si>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</si>
  <si>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</si>
  <si>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</si>
  <si>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</si>
  <si>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</si>
  <si>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</si>
  <si>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</si>
  <si>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</si>
  <si>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</si>
  <si>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</si>
  <si>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</si>
  <si>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</si>
  <si>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</si>
  <si>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</si>
  <si>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</si>
  <si>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</si>
  <si>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</si>
  <si>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</si>
  <si>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</si>
  <si>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</si>
  <si>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</si>
  <si>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</si>
  <si>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</si>
  <si>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</si>
  <si>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</si>
  <si>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</si>
  <si>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</si>
  <si>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</si>
  <si>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</si>
  <si>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</si>
  <si>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</si>
  <si>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</si>
  <si>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</si>
  <si>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</si>
  <si>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</si>
  <si>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</si>
  <si>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</si>
  <si>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</si>
  <si>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</si>
  <si>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</si>
  <si>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</si>
  <si>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</si>
  <si>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</si>
  <si>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</si>
  <si>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</si>
  <si>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</si>
  <si>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</si>
  <si>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</si>
  <si>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</si>
  <si>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</si>
  <si>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</si>
  <si>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</si>
  <si>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</si>
  <si>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</si>
  <si>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</si>
  <si>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</si>
  <si>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</si>
  <si>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</si>
  <si>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</si>
  <si>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</si>
  <si>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</si>
  <si>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</si>
  <si>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</si>
  <si>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</si>
  <si>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</si>
  <si>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</si>
  <si>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</si>
  <si>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</si>
  <si>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</si>
  <si>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</si>
  <si>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</si>
  <si>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</si>
  <si>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</si>
  <si>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</si>
  <si>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</si>
  <si>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</si>
  <si>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</si>
  <si>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</si>
  <si>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</si>
  <si>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</si>
  <si>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</si>
  <si>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</si>
  <si>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</si>
  <si>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</si>
  <si>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</si>
  <si>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</si>
  <si>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</si>
  <si>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</si>
  <si>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</si>
  <si>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</si>
  <si>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</si>
  <si>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</si>
  <si>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</si>
  <si>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</si>
  <si>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</si>
  <si>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</si>
  <si>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</si>
  <si>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</si>
  <si>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</si>
  <si>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</si>
  <si>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</si>
  <si>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</si>
  <si>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</si>
  <si>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</si>
  <si>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</si>
  <si>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</si>
  <si>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</si>
  <si>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</si>
  <si>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</si>
  <si>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</si>
  <si>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</si>
  <si>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</si>
  <si>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</si>
  <si>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</si>
  <si>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</si>
  <si>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</si>
  <si>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</si>
  <si>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</si>
  <si>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</si>
  <si>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</si>
  <si>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</si>
  <si>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</si>
  <si>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</si>
  <si>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</si>
  <si>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</si>
  <si>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</si>
  <si>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</si>
  <si>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</si>
  <si>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</si>
  <si>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</si>
  <si>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</si>
  <si>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</si>
  <si>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</si>
  <si>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</si>
  <si>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</si>
  <si>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</si>
  <si>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</si>
  <si>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</si>
  <si>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</si>
  <si>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</si>
  <si>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</si>
  <si>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</si>
  <si>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</si>
  <si>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</si>
  <si>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</si>
  <si>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</si>
  <si>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</si>
  <si>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</si>
  <si>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</si>
  <si>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</si>
  <si>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</si>
  <si>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</si>
  <si>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</si>
  <si>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</si>
  <si>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</si>
  <si>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</si>
  <si>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</si>
  <si>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</si>
  <si>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</si>
  <si>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</si>
  <si>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</si>
  <si>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</si>
  <si>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</si>
  <si>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</si>
  <si>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</si>
  <si>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</si>
  <si>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</si>
  <si>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</si>
  <si>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</si>
  <si>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</si>
  <si>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</si>
  <si>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</si>
  <si>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</si>
  <si>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</si>
  <si>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</si>
  <si>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</si>
  <si>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</si>
  <si>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</si>
  <si>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</si>
  <si>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</si>
  <si>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</si>
  <si>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</si>
  <si>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</si>
  <si>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</si>
  <si>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</si>
  <si>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</si>
  <si>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</si>
  <si>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</si>
  <si>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</si>
  <si>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</si>
  <si>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</si>
  <si>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</si>
  <si>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</si>
  <si>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</si>
  <si>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</si>
  <si>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</si>
  <si>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</si>
  <si>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</si>
  <si>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</si>
  <si>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</si>
  <si>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</si>
  <si>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</si>
  <si>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</si>
  <si>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</si>
  <si>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</si>
  <si>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</si>
  <si>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</si>
  <si>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</si>
  <si>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</si>
  <si>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</si>
  <si>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</si>
  <si>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</si>
  <si>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</si>
  <si>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</si>
  <si>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</si>
  <si>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</si>
  <si>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</si>
  <si>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</si>
  <si>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</si>
  <si>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</si>
  <si>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</si>
  <si>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</si>
  <si>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</si>
  <si>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</si>
  <si>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</si>
  <si>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</si>
  <si>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</si>
  <si>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</si>
  <si>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</si>
  <si>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</si>
  <si>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</si>
  <si>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</si>
  <si>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</si>
  <si>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</si>
  <si>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</si>
  <si>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</si>
  <si>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</si>
  <si>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</si>
  <si>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</si>
  <si>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</si>
  <si>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</si>
  <si>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</si>
  <si>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</si>
  <si>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</si>
  <si>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</si>
  <si>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</si>
  <si>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</si>
  <si>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</si>
  <si>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</si>
  <si>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</si>
  <si>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</si>
  <si>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</si>
  <si>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</si>
  <si>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</si>
  <si>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</si>
  <si>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</si>
  <si>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</si>
  <si>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</si>
  <si>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</si>
  <si>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</si>
  <si>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</si>
  <si>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</si>
  <si>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</si>
  <si>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</si>
  <si>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</si>
  <si>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</si>
  <si>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</si>
  <si>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</si>
  <si>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</si>
  <si>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</si>
  <si>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</si>
  <si>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</si>
  <si>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</si>
  <si>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</si>
  <si>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</si>
  <si>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</si>
  <si>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</si>
  <si>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</si>
  <si>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</si>
  <si>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</si>
  <si>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</si>
  <si>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</si>
  <si>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</si>
  <si>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</si>
  <si>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</si>
  <si>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</si>
  <si>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</si>
  <si>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</si>
  <si>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</si>
  <si>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</si>
  <si>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</si>
  <si>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</si>
  <si>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</si>
  <si>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</si>
  <si>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</si>
  <si>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</si>
  <si>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</si>
  <si>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</si>
  <si>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</si>
  <si>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</si>
  <si>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</si>
  <si>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</si>
  <si>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</si>
  <si>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</si>
  <si>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</si>
  <si>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</si>
  <si>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</si>
  <si>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</si>
  <si>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</si>
  <si>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</si>
  <si>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</si>
  <si>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</si>
  <si>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</si>
  <si>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</si>
  <si>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</si>
  <si>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</si>
  <si>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</si>
  <si>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</si>
  <si>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</si>
  <si>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</si>
  <si>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</si>
  <si>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</si>
  <si>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</si>
  <si>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</si>
  <si>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</si>
  <si>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</si>
  <si>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</si>
  <si>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</si>
  <si>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</si>
  <si>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</si>
  <si>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</si>
  <si>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</si>
  <si>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</si>
  <si>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</si>
  <si>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</si>
  <si>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</si>
  <si>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</si>
  <si>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</si>
  <si>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</si>
  <si>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</si>
  <si>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</si>
  <si>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</si>
  <si>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</si>
  <si>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</si>
  <si>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</si>
  <si>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</si>
  <si>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</si>
  <si>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</si>
  <si>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</si>
  <si>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</si>
  <si>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</si>
  <si>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</si>
  <si>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</si>
  <si>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</si>
  <si>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</si>
  <si>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</si>
  <si>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</si>
  <si>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</si>
  <si>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</si>
  <si>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</si>
  <si>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</si>
  <si>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</si>
  <si>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</si>
  <si>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</si>
  <si>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</si>
  <si>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</si>
  <si>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</si>
  <si>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</si>
  <si>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</si>
  <si>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</si>
  <si>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</si>
  <si>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</si>
  <si>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</si>
  <si>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</si>
  <si>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</si>
  <si>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</si>
  <si>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</si>
  <si>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</si>
  <si>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</si>
  <si>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</si>
  <si>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</si>
  <si>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</si>
  <si>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</si>
  <si>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</si>
  <si>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</si>
  <si>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</si>
  <si>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</si>
  <si>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</si>
  <si>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</si>
  <si>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</si>
  <si>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</si>
  <si>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</si>
  <si>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</si>
  <si>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</si>
  <si>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</si>
  <si>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</si>
  <si>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</si>
  <si>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</si>
  <si>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</si>
  <si>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</si>
  <si>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</si>
  <si>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</si>
  <si>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</si>
  <si>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</si>
  <si>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</si>
  <si>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</si>
  <si>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</si>
  <si>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</si>
  <si>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</si>
  <si>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</si>
  <si>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</si>
  <si>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</si>
  <si>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</si>
  <si>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</si>
  <si>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</si>
  <si>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</si>
  <si>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</si>
  <si>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</si>
  <si>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</si>
  <si>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</si>
  <si>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</si>
  <si>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</si>
  <si>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</si>
  <si>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</si>
  <si>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</si>
  <si>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</si>
  <si>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</si>
  <si>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</si>
  <si>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</si>
  <si>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</si>
  <si>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</si>
  <si>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</si>
  <si>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</si>
  <si>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</si>
  <si>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</si>
  <si>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</si>
  <si>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</si>
  <si>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</si>
  <si>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</si>
  <si>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</si>
  <si>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</si>
  <si>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</si>
  <si>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</si>
  <si>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</si>
  <si>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</si>
  <si>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</si>
  <si>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</si>
  <si>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</si>
  <si>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</si>
  <si>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</si>
  <si>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</si>
  <si>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</si>
  <si>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</si>
  <si>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</si>
  <si>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</si>
  <si>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</si>
  <si>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</si>
  <si>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</si>
  <si>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</si>
  <si>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</si>
  <si>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</si>
  <si>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</si>
  <si>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</si>
  <si>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</si>
  <si>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</si>
  <si>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</si>
  <si>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</si>
  <si>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</si>
  <si>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</si>
  <si>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</si>
  <si>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</si>
  <si>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</si>
  <si>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</si>
  <si>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</si>
  <si>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</si>
  <si>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</si>
  <si>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</si>
  <si>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</si>
  <si>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</si>
  <si>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</si>
  <si>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</si>
  <si>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</si>
  <si>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</si>
  <si>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</si>
  <si>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</si>
  <si>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</si>
  <si>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</si>
  <si>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</si>
  <si>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</si>
  <si>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</si>
  <si>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</si>
  <si>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</si>
  <si>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</si>
  <si>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</si>
  <si>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</si>
  <si>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</si>
  <si>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</si>
  <si>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</si>
  <si>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</si>
  <si>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</si>
  <si>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</si>
  <si>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</si>
  <si>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</si>
  <si>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</si>
  <si>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</si>
  <si>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</si>
  <si>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</si>
  <si>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</si>
  <si>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</si>
  <si>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</si>
  <si>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</si>
  <si>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</si>
  <si>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</si>
  <si>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</si>
  <si>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</si>
  <si>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</si>
  <si>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</si>
  <si>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</si>
  <si>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</si>
  <si>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</si>
  <si>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</si>
  <si>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</si>
  <si>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</si>
  <si>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</si>
  <si>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</si>
  <si>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</si>
  <si>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</si>
  <si>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</si>
  <si>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</si>
  <si>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</si>
  <si>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</si>
  <si>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</si>
  <si>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</si>
  <si>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</si>
  <si>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</si>
  <si>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</si>
  <si>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</si>
  <si>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</si>
  <si>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</si>
  <si>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</si>
  <si>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</si>
  <si>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</si>
  <si>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</si>
  <si>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</si>
  <si>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</si>
  <si>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</si>
  <si>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</si>
  <si>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</si>
  <si>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</si>
  <si>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</si>
  <si>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</si>
  <si>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</si>
  <si>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</si>
  <si>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</si>
  <si>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</si>
  <si>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</si>
  <si>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</si>
  <si>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</si>
  <si>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</si>
  <si>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</si>
  <si>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</si>
  <si>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</si>
  <si>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</si>
  <si>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</si>
  <si>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</si>
  <si>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</si>
  <si>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</si>
  <si>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</si>
  <si>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</si>
  <si>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</si>
  <si>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</si>
  <si>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</si>
  <si>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</si>
  <si>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</si>
  <si>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</si>
  <si>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</si>
  <si>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</si>
  <si>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</si>
  <si>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</si>
  <si>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</si>
  <si>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</si>
  <si>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</si>
  <si>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</si>
  <si>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</si>
  <si>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</si>
  <si>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</si>
  <si>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</si>
  <si>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</si>
  <si>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</si>
  <si>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</si>
  <si>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</si>
  <si>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</si>
  <si>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</si>
  <si>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</si>
  <si>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</si>
  <si>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</si>
  <si>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</si>
  <si>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</si>
  <si>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</si>
  <si>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</si>
  <si>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</si>
  <si>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</si>
  <si>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</si>
  <si>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</si>
  <si>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</si>
  <si>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</si>
  <si>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</si>
  <si>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</si>
  <si>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</si>
  <si>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</si>
  <si>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</si>
  <si>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</si>
  <si>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</si>
  <si>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</si>
  <si>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</si>
  <si>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</si>
  <si>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</si>
  <si>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</si>
  <si>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</si>
  <si>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</si>
  <si>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</si>
  <si>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</si>
  <si>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</si>
  <si>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</si>
  <si>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</si>
  <si>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</si>
  <si>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</si>
  <si>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</si>
  <si>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</si>
  <si>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</si>
  <si>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</si>
  <si>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</si>
  <si>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</si>
  <si>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</si>
  <si>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</si>
  <si>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</si>
  <si>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</si>
  <si>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</si>
  <si>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</si>
  <si>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</si>
  <si>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</si>
  <si>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</si>
  <si>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</si>
  <si>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</si>
  <si>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</si>
  <si>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</si>
  <si>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</si>
  <si>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</si>
  <si>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</si>
  <si>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</si>
  <si>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</si>
  <si>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</si>
  <si>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</si>
  <si>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</si>
  <si>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</si>
  <si>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</si>
  <si>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</si>
  <si>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</si>
  <si>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</si>
  <si>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</si>
  <si>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</si>
  <si>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</si>
  <si>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</si>
  <si>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</si>
  <si>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</si>
  <si>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</si>
  <si>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</si>
  <si>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</si>
  <si>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</si>
  <si>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</si>
  <si>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</si>
  <si>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</si>
  <si>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</si>
  <si>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</si>
  <si>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</si>
  <si>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</si>
  <si>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</si>
  <si>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</si>
  <si>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</si>
  <si>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</si>
  <si>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</si>
  <si>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</si>
  <si>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</si>
  <si>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</si>
  <si>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</si>
  <si>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</si>
  <si>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</si>
  <si>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</si>
  <si>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</si>
  <si>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</si>
  <si>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</si>
  <si>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</si>
  <si>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</si>
  <si>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</si>
  <si>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</si>
  <si>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</si>
  <si>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</si>
  <si>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</si>
  <si>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</si>
  <si>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</si>
  <si>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</si>
  <si>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</si>
  <si>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</si>
  <si>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</si>
  <si>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</si>
  <si>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</si>
  <si>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</si>
  <si>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</si>
  <si>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</si>
  <si>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</si>
  <si>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</si>
  <si>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</si>
  <si>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</si>
  <si>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</si>
  <si>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</si>
  <si>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</si>
  <si>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</si>
  <si>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</si>
  <si>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</si>
  <si>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</si>
  <si>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</si>
  <si>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</si>
  <si>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</si>
  <si>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</si>
  <si>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</si>
  <si>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</si>
  <si>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</si>
  <si>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</si>
  <si>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</si>
  <si>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</si>
  <si>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</si>
  <si>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</si>
  <si>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</si>
  <si>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</si>
  <si>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</si>
  <si>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</si>
  <si>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</si>
  <si>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</si>
  <si>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</si>
  <si>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</si>
  <si>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</si>
  <si>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</si>
  <si>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</si>
  <si>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</si>
  <si>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</si>
  <si>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</si>
  <si>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</si>
  <si>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</si>
  <si>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</si>
  <si>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</si>
  <si>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</si>
  <si>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</si>
  <si>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</si>
  <si>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</si>
  <si>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</si>
  <si>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</si>
  <si>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</si>
  <si>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</si>
  <si>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</si>
  <si>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</si>
  <si>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</si>
  <si>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</si>
  <si>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</si>
  <si>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</si>
  <si>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</si>
  <si>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</si>
  <si>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</si>
  <si>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</si>
  <si>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</si>
  <si>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</si>
  <si>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</si>
  <si>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</si>
  <si>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</si>
  <si>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</si>
  <si>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</si>
  <si>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</si>
  <si>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</si>
  <si>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</si>
  <si>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</si>
  <si>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</si>
  <si>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</si>
  <si>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</si>
  <si>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</si>
  <si>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</si>
  <si>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</si>
  <si>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</si>
  <si>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</si>
  <si>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</si>
  <si>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</si>
  <si>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</si>
  <si>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</si>
  <si>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</si>
  <si>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</si>
  <si>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</si>
  <si>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</si>
  <si>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</si>
  <si>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</si>
  <si>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</si>
  <si>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</si>
  <si>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</si>
  <si>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</si>
  <si>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</si>
  <si>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</si>
  <si>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</si>
  <si>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</si>
  <si>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</si>
  <si>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</si>
  <si>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</si>
  <si>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</si>
  <si>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</si>
  <si>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</si>
  <si>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</si>
  <si>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</si>
  <si>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</si>
  <si>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</si>
  <si>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</si>
  <si>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</si>
  <si>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</si>
  <si>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</si>
  <si>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</si>
  <si>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</si>
  <si>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</si>
  <si>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</si>
  <si>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</si>
  <si>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</si>
  <si>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</si>
  <si>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</si>
  <si>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</si>
  <si>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</si>
  <si>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</si>
  <si>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</si>
  <si>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</si>
  <si>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</si>
  <si>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</si>
  <si>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</si>
  <si>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</si>
  <si>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</si>
  <si>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</si>
  <si>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</si>
  <si>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</si>
  <si>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</si>
  <si>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</si>
  <si>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</si>
  <si>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</si>
  <si>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</si>
  <si>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</si>
  <si>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</si>
  <si>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</si>
  <si>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</si>
  <si>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</si>
  <si>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</si>
  <si>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</si>
  <si>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</si>
  <si>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</si>
  <si>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</si>
  <si>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</si>
  <si>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</si>
  <si>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</si>
  <si>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</si>
  <si>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</si>
  <si>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</si>
  <si>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</si>
  <si>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</si>
  <si>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</si>
  <si>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</si>
  <si>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</si>
  <si>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</si>
  <si>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</si>
  <si>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</si>
  <si>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</si>
  <si>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</si>
  <si>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</si>
  <si>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</si>
  <si>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</si>
  <si>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</si>
  <si>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</si>
  <si>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</si>
  <si>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</si>
  <si>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</si>
  <si>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</si>
  <si>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</si>
  <si>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</si>
  <si>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</si>
  <si>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</si>
  <si>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</si>
  <si>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</si>
  <si>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</si>
  <si>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</si>
  <si>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</si>
  <si>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</si>
  <si>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</si>
  <si>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</si>
  <si>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</si>
  <si>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</si>
  <si>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</si>
  <si>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</si>
  <si>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</si>
  <si>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</si>
  <si>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</si>
  <si>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</si>
  <si>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</si>
  <si>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</si>
  <si>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</si>
  <si>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</si>
  <si>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</si>
  <si>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</si>
  <si>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</si>
  <si>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</si>
  <si>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</si>
  <si>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</si>
  <si>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</si>
  <si>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</si>
  <si>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</si>
  <si>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</si>
  <si>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</si>
  <si>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</si>
  <si>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</si>
  <si>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</si>
  <si>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</si>
  <si>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</si>
  <si>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</si>
  <si>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</si>
  <si>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</si>
  <si>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</si>
  <si>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</si>
  <si>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</si>
  <si>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</si>
  <si>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</si>
  <si>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</si>
  <si>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</si>
  <si>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</si>
  <si>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</si>
  <si>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</si>
  <si>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</si>
  <si>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</si>
  <si>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</si>
  <si>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</si>
  <si>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</si>
  <si>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</si>
  <si>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</si>
  <si>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</si>
  <si>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</si>
  <si>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</si>
  <si>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</si>
  <si>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</si>
  <si>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</si>
  <si>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</si>
  <si>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</si>
  <si>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</si>
  <si>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</si>
  <si>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</si>
  <si>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</si>
  <si>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</si>
  <si>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</si>
  <si>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</si>
  <si>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</si>
  <si>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</si>
  <si>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</si>
  <si>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</si>
  <si>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</si>
  <si>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</si>
  <si>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</si>
  <si>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</si>
  <si>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</si>
  <si>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</si>
  <si>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</si>
  <si>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</si>
  <si>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</si>
  <si>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</si>
  <si>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</si>
  <si>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</si>
  <si>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</si>
  <si>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</si>
  <si>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</si>
  <si>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</si>
  <si>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</si>
  <si>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</si>
  <si>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</si>
  <si>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</si>
  <si>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</si>
  <si>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</si>
  <si>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</si>
  <si>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</si>
  <si>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</si>
  <si>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</si>
  <si>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</si>
  <si>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</si>
  <si>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</si>
  <si>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</si>
  <si>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</si>
  <si>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</si>
  <si>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</si>
  <si>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</si>
  <si>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</si>
  <si>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</si>
  <si>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</si>
  <si>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</si>
  <si>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</si>
  <si>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</si>
  <si>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</si>
  <si>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</si>
  <si>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</si>
  <si>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</si>
  <si>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</si>
  <si>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</si>
  <si>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</si>
  <si>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</si>
  <si>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</si>
  <si>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</si>
  <si>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</si>
  <si>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</si>
  <si>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</si>
  <si>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</si>
  <si>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</si>
  <si>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</si>
  <si>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</si>
  <si>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</si>
  <si>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</si>
  <si>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</si>
  <si>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</si>
  <si>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</si>
  <si>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</si>
  <si>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</si>
  <si>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</si>
  <si>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</si>
  <si>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</si>
  <si>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</si>
  <si>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</si>
  <si>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</si>
  <si>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</si>
  <si>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</si>
  <si>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</si>
  <si>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</si>
  <si>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</si>
  <si>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</si>
  <si>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</si>
  <si>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</si>
  <si>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</si>
  <si>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</si>
  <si>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</si>
  <si>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</si>
  <si>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</si>
  <si>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</si>
  <si>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</si>
  <si>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</si>
  <si>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</si>
  <si>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</si>
  <si>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</si>
  <si>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</si>
  <si>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</si>
  <si>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</si>
  <si>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</si>
  <si>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</si>
  <si>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</si>
  <si>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</si>
  <si>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</si>
  <si>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</si>
  <si>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</si>
  <si>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</si>
  <si>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</si>
  <si>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</si>
  <si>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</si>
  <si>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</si>
  <si>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</si>
  <si>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</si>
  <si>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</si>
  <si>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</si>
  <si>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</si>
  <si>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</si>
  <si>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</si>
  <si>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</si>
  <si>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</si>
  <si>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</si>
  <si>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</si>
  <si>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</si>
  <si>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</si>
  <si>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</si>
  <si>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</si>
  <si>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</si>
  <si>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</si>
  <si>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</si>
  <si>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</si>
  <si>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</si>
  <si>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</si>
  <si>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</si>
  <si>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</si>
  <si>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</si>
  <si>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</si>
  <si>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</si>
  <si>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</si>
  <si>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</si>
  <si>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</si>
  <si>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</si>
  <si>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</si>
  <si>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</si>
  <si>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</si>
  <si>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</si>
  <si>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</si>
  <si>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</si>
  <si>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</si>
  <si>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</si>
  <si>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</si>
  <si>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</si>
  <si>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</si>
  <si>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</si>
  <si>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</si>
  <si>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</si>
  <si>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</si>
  <si>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</si>
  <si>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</si>
  <si>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</si>
  <si>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</si>
  <si>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</si>
  <si>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</si>
  <si>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</si>
  <si>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</si>
  <si>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</si>
  <si>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</si>
  <si>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</si>
  <si>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</si>
  <si>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</si>
  <si>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</si>
  <si>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</si>
  <si>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</si>
  <si>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</si>
  <si>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</si>
  <si>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</si>
  <si>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</si>
  <si>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</si>
  <si>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</si>
  <si>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</si>
  <si>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</si>
  <si>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</si>
  <si>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</si>
  <si>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</si>
  <si>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</si>
  <si>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</si>
  <si>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</si>
  <si>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</si>
  <si>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</si>
  <si>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</si>
  <si>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</si>
  <si>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</si>
  <si>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</si>
  <si>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</si>
  <si>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</si>
  <si>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</si>
  <si>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</si>
  <si>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</si>
  <si>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</si>
  <si>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</si>
  <si>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</si>
  <si>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</si>
  <si>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</si>
  <si>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</si>
  <si>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</si>
  <si>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</si>
  <si>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</si>
  <si>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</si>
  <si>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</si>
  <si>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</si>
  <si>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</si>
  <si>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</si>
  <si>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</si>
  <si>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</si>
  <si>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</si>
  <si>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</si>
  <si>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</si>
  <si>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</si>
  <si>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</si>
  <si>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</si>
  <si>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</si>
  <si>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</si>
  <si>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</si>
  <si>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</si>
  <si>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</si>
  <si>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</si>
  <si>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</si>
  <si>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</si>
  <si>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</si>
  <si>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</si>
  <si>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</si>
  <si>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</si>
  <si>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</si>
  <si>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</si>
  <si>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</si>
  <si>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</si>
  <si>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</si>
  <si>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</si>
  <si>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</si>
  <si>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</si>
  <si>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</si>
  <si>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</si>
  <si>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</si>
  <si>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</si>
  <si>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</si>
  <si>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</si>
  <si>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</si>
  <si>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</si>
  <si>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</si>
  <si>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</si>
  <si>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</si>
  <si>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</si>
  <si>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</si>
  <si>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</si>
  <si>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</si>
  <si>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</si>
  <si>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</si>
  <si>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</si>
  <si>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</si>
  <si>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</si>
  <si>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</si>
  <si>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</si>
  <si>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</si>
  <si>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</si>
  <si>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</si>
  <si>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</si>
  <si>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</si>
  <si>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</si>
  <si>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</si>
  <si>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</si>
  <si>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</si>
  <si>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</si>
  <si>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</si>
  <si>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</si>
  <si>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</si>
  <si>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</si>
  <si>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</si>
  <si>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</si>
  <si>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</si>
  <si>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</si>
  <si>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</si>
  <si>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</si>
  <si>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</si>
  <si>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</si>
  <si>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</si>
  <si>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</si>
  <si>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</si>
  <si>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</si>
  <si>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</si>
  <si>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</si>
  <si>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</si>
  <si>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</si>
  <si>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</si>
  <si>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</si>
  <si>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</si>
  <si>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</si>
  <si>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</si>
  <si>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</si>
  <si>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</si>
  <si>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</si>
  <si>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</si>
  <si>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</si>
  <si>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</si>
  <si>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</si>
  <si>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</si>
  <si>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</si>
  <si>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</si>
  <si>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</si>
  <si>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</si>
  <si>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</si>
  <si>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</si>
  <si>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</si>
  <si>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</si>
  <si>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</si>
  <si>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</si>
  <si>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</si>
  <si>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</si>
  <si>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</si>
  <si>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</si>
  <si>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</si>
  <si>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</si>
  <si>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</si>
  <si>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</si>
  <si>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</si>
  <si>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</si>
  <si>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</si>
  <si>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</si>
  <si>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</si>
  <si>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</si>
  <si>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</si>
  <si>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</si>
  <si>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</si>
  <si>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</si>
  <si>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</si>
  <si>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</si>
  <si>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</si>
  <si>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</si>
  <si>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</si>
  <si>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</si>
  <si>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</si>
  <si>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</si>
  <si>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</si>
  <si>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</si>
  <si>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</si>
  <si>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</si>
  <si>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</si>
  <si>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</si>
  <si>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</si>
  <si>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</si>
  <si>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</si>
  <si>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</si>
  <si>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</si>
  <si>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</si>
  <si>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</si>
  <si>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</si>
  <si>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</si>
  <si>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</si>
  <si>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</si>
  <si>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</si>
  <si>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</si>
  <si>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</si>
  <si>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</si>
  <si>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</si>
  <si>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</si>
  <si>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</si>
  <si>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</si>
  <si>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</si>
  <si>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</si>
  <si>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</si>
  <si>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</si>
  <si>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</si>
  <si>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</si>
  <si>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</si>
  <si>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</si>
  <si>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</si>
  <si>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</si>
  <si>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</si>
  <si>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</si>
  <si>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</si>
  <si>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</si>
  <si>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</si>
  <si>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</si>
  <si>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</si>
  <si>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</si>
  <si>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</si>
  <si>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</si>
  <si>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</si>
  <si>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</si>
  <si>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</si>
  <si>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</si>
  <si>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</si>
  <si>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</si>
  <si>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</si>
  <si>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</si>
  <si>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</si>
  <si>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</si>
  <si>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</si>
  <si>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</si>
  <si>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</si>
  <si>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</si>
  <si>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</si>
  <si>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</si>
  <si>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</si>
  <si>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</si>
  <si>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</si>
  <si>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</si>
  <si>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</si>
  <si>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</si>
  <si>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</si>
  <si>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</si>
  <si>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</si>
  <si>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</si>
  <si>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</si>
  <si>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</si>
  <si>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</si>
  <si>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</si>
  <si>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</si>
  <si>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</si>
  <si>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</si>
  <si>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</si>
  <si>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</si>
  <si>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</si>
  <si>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</si>
  <si>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</si>
  <si>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</si>
  <si>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</si>
  <si>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</si>
  <si>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</si>
  <si>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</si>
  <si>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</si>
  <si>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</si>
  <si>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</si>
  <si>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</si>
  <si>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</si>
  <si>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</si>
  <si>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</si>
  <si>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</si>
  <si>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</si>
  <si>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</si>
  <si>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</si>
  <si>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</si>
  <si>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</si>
  <si>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</si>
  <si>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</si>
  <si>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</si>
  <si>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</si>
  <si>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</si>
  <si>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</si>
  <si>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</si>
  <si>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</si>
  <si>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</si>
  <si>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</si>
  <si>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</si>
  <si>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</si>
  <si>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</si>
  <si>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</si>
  <si>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</si>
  <si>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</si>
  <si>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</si>
  <si>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</si>
  <si>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</si>
  <si>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</si>
  <si>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</si>
  <si>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</si>
  <si>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</si>
  <si>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</si>
  <si>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</si>
  <si>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</si>
  <si>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</si>
  <si>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</si>
  <si>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</si>
  <si>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</si>
  <si>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</si>
  <si>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</si>
  <si>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</si>
  <si>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</si>
  <si>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</si>
  <si>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</si>
  <si>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</si>
  <si>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</si>
  <si>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</si>
  <si>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</si>
  <si>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</si>
  <si>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</si>
  <si>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</si>
  <si>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</si>
  <si>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</si>
  <si>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</si>
  <si>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</si>
  <si>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</si>
  <si>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</si>
  <si>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</si>
  <si>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</si>
  <si>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</si>
  <si>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</si>
  <si>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</si>
  <si>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</si>
  <si>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</si>
  <si>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</si>
  <si>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</si>
  <si>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</si>
  <si>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</si>
  <si>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</si>
  <si>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</si>
  <si>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</si>
  <si>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</si>
  <si>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</si>
  <si>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</si>
  <si>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</si>
  <si>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</si>
  <si>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</si>
  <si>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</si>
  <si>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</si>
  <si>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</si>
  <si>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</si>
  <si>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</si>
  <si>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</si>
  <si>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</si>
  <si>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</si>
  <si>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</si>
  <si>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</si>
  <si>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</si>
  <si>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</si>
  <si>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</si>
  <si>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</si>
  <si>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</si>
  <si>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</si>
  <si>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</si>
  <si>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</si>
  <si>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</si>
  <si>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</si>
  <si>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</si>
  <si>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</si>
  <si>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</si>
  <si>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</si>
  <si>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</si>
  <si>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</si>
  <si>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</si>
  <si>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</si>
  <si>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</si>
  <si>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</si>
  <si>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</si>
  <si>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</si>
  <si>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</si>
  <si>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</si>
  <si>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</si>
  <si>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</si>
  <si>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</si>
  <si>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</si>
  <si>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</si>
  <si>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</si>
  <si>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</si>
  <si>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</si>
  <si>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</si>
  <si>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</si>
  <si>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</si>
  <si>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</si>
  <si>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</si>
  <si>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</si>
  <si>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</si>
  <si>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</si>
  <si>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</si>
  <si>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</si>
  <si>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</si>
  <si>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</si>
  <si>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估价对象1（结果表）</t>
  </si>
  <si>
    <t>叶凌</t>
  </si>
  <si>
    <t>杨红英</t>
  </si>
  <si>
    <t>北京市</t>
  </si>
  <si>
    <t>自然人</t>
  </si>
  <si>
    <t>Ⅰ—01</t>
  </si>
  <si>
    <t>元</t>
  </si>
  <si>
    <t>总价</t>
  </si>
  <si>
    <t>住宅</t>
  </si>
  <si>
    <t>周边有等居住社区成熟度较好</t>
    <phoneticPr fontId="4" type="noConversion"/>
  </si>
  <si>
    <t>估价对象位于XX商圈，周边办公楼项目较多，入驻率高，办公集聚程度较好</t>
    <phoneticPr fontId="4" type="noConversion"/>
  </si>
  <si>
    <t>收益法</t>
  </si>
  <si>
    <t>成本法</t>
  </si>
  <si>
    <t>估价对象</t>
  </si>
  <si>
    <t>未包含在土地购买价格中</t>
  </si>
  <si>
    <t>已包含在土地取得成本中</t>
  </si>
  <si>
    <t>设定收益年期(n)</t>
  </si>
  <si>
    <t>砖混</t>
  </si>
  <si>
    <t>非生产用房</t>
  </si>
  <si>
    <t>否</t>
  </si>
  <si>
    <t>居住用地（指一类居住用地）</t>
  </si>
  <si>
    <t>有</t>
  </si>
  <si>
    <t>500-1000米</t>
  </si>
  <si>
    <t>缺少</t>
  </si>
  <si>
    <t>通热</t>
  </si>
  <si>
    <t>燃气</t>
  </si>
  <si>
    <t>按公示增长率计算</t>
  </si>
  <si>
    <t>五通</t>
    <phoneticPr fontId="4" type="noConversion"/>
  </si>
  <si>
    <t>无租约</t>
  </si>
  <si>
    <t>容积率修正</t>
  </si>
  <si>
    <t>押三</t>
  </si>
  <si>
    <t>五通一平</t>
  </si>
  <si>
    <t>临近城市支路——府右街，紧邻言志胡同，周边有14路、68路等多条公交线路及地铁1、4号线换乘站（西单站），交通状况较好。</t>
    <phoneticPr fontId="4" type="noConversion"/>
  </si>
  <si>
    <t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t>
    <phoneticPr fontId="4" type="noConversion"/>
  </si>
  <si>
    <t>区域自然环境：中南海、南海、护城河；人文环境：国家大剧院、北京图书大厦；综合评价环境状况较好。</t>
    <phoneticPr fontId="4" type="noConversion"/>
  </si>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</sst>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09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181" fontId="42" fillId="0" borderId="58" xfId="0" applyNumberFormat="1" applyFont="1" applyFill="1" applyBorder="1" applyAlignment="1" applyProtection="1">
      <alignment horizontal="center" vertical="center"/>
      <protection locked="0"/>
    </xf>
    <xf numFmtId="49" fontId="113" fillId="6" borderId="31" xfId="0" applyNumberFormat="1" applyFont="1" applyFill="1" applyBorder="1" applyAlignment="1" applyProtection="1">
      <alignment horizontal="center" vertical="center" wrapText="1"/>
      <protection locked="0"/>
    </xf>
    <xf numFmtId="0" fontId="113" fillId="6" borderId="6" xfId="0" applyFont="1" applyFill="1" applyBorder="1" applyAlignment="1" applyProtection="1">
      <alignment horizontal="center" vertical="center" wrapText="1"/>
      <protection locked="0"/>
    </xf>
    <xf numFmtId="49" fontId="113" fillId="6" borderId="6" xfId="0" applyNumberFormat="1" applyFont="1" applyFill="1" applyBorder="1" applyAlignment="1" applyProtection="1">
      <alignment horizontal="center" vertical="center" wrapText="1"/>
      <protection locked="0"/>
    </xf>
    <xf numFmtId="49" fontId="97" fillId="6" borderId="6" xfId="0" applyNumberFormat="1" applyFont="1" applyFill="1" applyBorder="1" applyAlignment="1" applyProtection="1">
      <alignment horizontal="center" vertical="center" wrapText="1"/>
      <protection locked="0"/>
    </xf>
    <xf numFmtId="0" fontId="42" fillId="8" borderId="18" xfId="0" applyFont="1" applyFill="1" applyBorder="1" applyProtection="1">
      <alignmen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95250</xdr:colOff>
      <xdr:row>28</xdr:row>
      <xdr:rowOff>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53250" cy="4800600"/>
        </a:xfrm>
        <a:prstGeom prst="rect">
          <a:avLst/>
        </a:prstGeom>
        <a:noFill/>
        <a:ln w="1">
          <a:noFill/>
          <a:miter lim="800000"/>
          <a:headEnd/>
          <a:tailEnd type="none" w="med" len="med"/>
        </a:ln>
        <a:effectLst/>
      </xdr:spPr>
    </xdr:pic>
    <xdr:clientData/>
  </xdr:twoCellAnchor>
  <xdr:twoCellAnchor editAs="oneCell">
    <xdr:from>
      <xdr:col>10</xdr:col>
      <xdr:colOff>0</xdr:colOff>
      <xdr:row>0</xdr:row>
      <xdr:rowOff>0</xdr:rowOff>
    </xdr:from>
    <xdr:to>
      <xdr:col>18</xdr:col>
      <xdr:colOff>180975</xdr:colOff>
      <xdr:row>28</xdr:row>
      <xdr:rowOff>95250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858000" y="0"/>
          <a:ext cx="5667375" cy="489585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10</xdr:col>
      <xdr:colOff>28575</xdr:colOff>
      <xdr:row>55</xdr:row>
      <xdr:rowOff>76200</xdr:rowOff>
    </xdr:to>
    <xdr:pic>
      <xdr:nvPicPr>
        <xdr:cNvPr id="4"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0" y="4972050"/>
          <a:ext cx="6886575" cy="4533900"/>
        </a:xfrm>
        <a:prstGeom prst="rect">
          <a:avLst/>
        </a:prstGeom>
        <a:noFill/>
        <a:ln w="1">
          <a:noFill/>
          <a:miter lim="800000"/>
          <a:headEnd/>
          <a:tailEnd type="none" w="med" len="med"/>
        </a:ln>
        <a:effectLst/>
      </xdr:spPr>
    </xdr:pic>
    <xdr:clientData/>
  </xdr:twoCellAnchor>
  <xdr:twoCellAnchor editAs="oneCell">
    <xdr:from>
      <xdr:col>10</xdr:col>
      <xdr:colOff>38100</xdr:colOff>
      <xdr:row>32</xdr:row>
      <xdr:rowOff>9525</xdr:rowOff>
    </xdr:from>
    <xdr:to>
      <xdr:col>18</xdr:col>
      <xdr:colOff>238125</xdr:colOff>
      <xdr:row>49</xdr:row>
      <xdr:rowOff>9525</xdr:rowOff>
    </xdr:to>
    <xdr:pic>
      <xdr:nvPicPr>
        <xdr:cNvPr id="5"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6896100" y="5495925"/>
          <a:ext cx="5686425" cy="2914650"/>
        </a:xfrm>
        <a:prstGeom prst="rect">
          <a:avLst/>
        </a:prstGeom>
        <a:noFill/>
        <a:ln w="1">
          <a:noFill/>
          <a:miter lim="800000"/>
          <a:headEnd/>
          <a:tailEnd type="none" w="med" len="med"/>
        </a:ln>
        <a:effectLst/>
      </xdr:spPr>
    </xdr:pic>
    <xdr:clientData/>
  </xdr:twoCellAnchor>
  <xdr:twoCellAnchor editAs="oneCell">
    <xdr:from>
      <xdr:col>0</xdr:col>
      <xdr:colOff>0</xdr:colOff>
      <xdr:row>58</xdr:row>
      <xdr:rowOff>0</xdr:rowOff>
    </xdr:from>
    <xdr:to>
      <xdr:col>9</xdr:col>
      <xdr:colOff>9525</xdr:colOff>
      <xdr:row>83</xdr:row>
      <xdr:rowOff>123825</xdr:rowOff>
    </xdr:to>
    <xdr:pic>
      <xdr:nvPicPr>
        <xdr:cNvPr id="64513"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9944100"/>
          <a:ext cx="6181725" cy="4410075"/>
        </a:xfrm>
        <a:prstGeom prst="rect">
          <a:avLst/>
        </a:prstGeom>
        <a:noFill/>
        <a:ln w="1">
          <a:noFill/>
          <a:miter lim="800000"/>
          <a:headEnd/>
          <a:tailEnd type="none" w="med" len="med"/>
        </a:ln>
        <a:effectLst/>
      </xdr:spPr>
    </xdr:pic>
    <xdr:clientData/>
  </xdr:twoCellAnchor>
  <xdr:twoCellAnchor editAs="oneCell">
    <xdr:from>
      <xdr:col>6</xdr:col>
      <xdr:colOff>571500</xdr:colOff>
      <xdr:row>57</xdr:row>
      <xdr:rowOff>0</xdr:rowOff>
    </xdr:from>
    <xdr:to>
      <xdr:col>13</xdr:col>
      <xdr:colOff>257175</xdr:colOff>
      <xdr:row>96</xdr:row>
      <xdr:rowOff>0</xdr:rowOff>
    </xdr:to>
    <xdr:pic>
      <xdr:nvPicPr>
        <xdr:cNvPr id="64514"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4686300" y="9772650"/>
          <a:ext cx="4486275" cy="6686550"/>
        </a:xfrm>
        <a:prstGeom prst="rect">
          <a:avLst/>
        </a:prstGeom>
        <a:noFill/>
        <a:ln w="1">
          <a:noFill/>
          <a:miter lim="800000"/>
          <a:headEnd/>
          <a:tailEnd type="none" w="med" len="med"/>
        </a:ln>
        <a:effectLst/>
      </xdr:spPr>
    </xdr:pic>
    <xdr:clientData/>
  </xdr:twoCellAnchor>
  <xdr:twoCellAnchor editAs="oneCell">
    <xdr:from>
      <xdr:col>12</xdr:col>
      <xdr:colOff>514350</xdr:colOff>
      <xdr:row>56</xdr:row>
      <xdr:rowOff>95250</xdr:rowOff>
    </xdr:from>
    <xdr:to>
      <xdr:col>21</xdr:col>
      <xdr:colOff>66675</xdr:colOff>
      <xdr:row>95</xdr:row>
      <xdr:rowOff>66675</xdr:rowOff>
    </xdr:to>
    <xdr:pic>
      <xdr:nvPicPr>
        <xdr:cNvPr id="64515"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8743950" y="9696450"/>
          <a:ext cx="5724525" cy="66579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北京市预评估</v>
      </c>
    </row>
    <row r="3" spans="1:2" s="1700" customFormat="1">
      <c r="A3" s="1701" t="s">
        <v>1106</v>
      </c>
      <c r="B3" s="1686">
        <f>'预评函-封皮'!B12</f>
        <v>0</v>
      </c>
    </row>
    <row r="4" spans="1:2" s="1700" customFormat="1">
      <c r="A4" s="1701" t="s">
        <v>1107</v>
      </c>
      <c r="B4" s="1686" t="str">
        <f ca="1">'预评函-封皮'!B18</f>
        <v>叶凌（注册号:1119970111）、杨红英（注册号:1120070085)</v>
      </c>
    </row>
    <row r="5" spans="1:2" s="1698" customFormat="1" ht="15.75" thickBot="1">
      <c r="A5" s="1702" t="s">
        <v>1108</v>
      </c>
      <c r="B5" s="1687" t="str">
        <f>'预评函-封皮'!B21</f>
        <v>康正预评字号</v>
      </c>
    </row>
    <row r="6" spans="1:2" s="1700" customFormat="1" ht="15.75" thickTop="1">
      <c r="A6" s="1701" t="s">
        <v>1109</v>
      </c>
      <c r="B6" s="1685" t="str">
        <f>'预评函-1'!A4</f>
        <v>受您的委托，我公司对北京市房地产进行了预评估。</v>
      </c>
    </row>
    <row r="7" spans="1:2">
      <c r="A7" s="1701" t="s">
        <v>1110</v>
      </c>
      <c r="B7" s="1688" t="str">
        <f>'预评函-1'!A6</f>
        <v>估价对象为北京市房地产，为所有。根据《不动产权证书》[]，估价对象建筑面积为11.66平方米，（分摊）出让国有建设用地使用权面积为平方米。估价对象用途为。</v>
      </c>
    </row>
    <row r="8" spans="1:2">
      <c r="A8" s="1701" t="s">
        <v>1111</v>
      </c>
      <c r="B8" s="1688" t="str">
        <f>'预评函-1'!A8</f>
        <v>为估价委托人了解估价对象房地产市场价值提供参考依据。</v>
      </c>
    </row>
    <row r="9" spans="1:2">
      <c r="A9" s="1701" t="s">
        <v>1112</v>
      </c>
      <c r="B9" s="1688" t="str">
        <f>'预评函-1'!A10</f>
        <v>2018年12月5日（评估专业人员实地查勘之日）</v>
      </c>
    </row>
    <row r="10" spans="1:2">
      <c r="A10" s="1701" t="s">
        <v>1113</v>
      </c>
      <c r="B10" s="1688" t="str">
        <f>'预评函-1'!A13</f>
        <v>本次估价的“房地产价值”是指在正常市场情况下，在价值时点2018年12月5日，估价对象规划用途为，假定未设立法定优先受偿款下的房地产市场价值。</v>
      </c>
    </row>
    <row r="11" spans="1:2">
      <c r="A11" s="1701" t="s">
        <v>1114</v>
      </c>
      <c r="B11" s="1688"/>
    </row>
    <row r="12" spans="1:2">
      <c r="A12" s="1701" t="s">
        <v>1115</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本次评估采用的主估价方法为收益法和成本法。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北京市房地产</v>
      </c>
    </row>
    <row r="18" spans="1:2">
      <c r="A18" s="1701" t="s">
        <v>1121</v>
      </c>
      <c r="B18" s="1688">
        <f>'预评函-2（1）'!C6</f>
        <v>11.66</v>
      </c>
    </row>
    <row r="19" spans="1:2">
      <c r="A19" s="1701" t="s">
        <v>1122</v>
      </c>
      <c r="B19" s="1688">
        <f ca="1">'预评函-2（1）'!D7</f>
        <v>1503507</v>
      </c>
    </row>
    <row r="20" spans="1:2">
      <c r="A20" s="1701" t="s">
        <v>1160</v>
      </c>
      <c r="B20" s="1688" t="str">
        <f>'预评函-2（1）'!C7</f>
        <v>总价（元）</v>
      </c>
    </row>
    <row r="21" spans="1:2">
      <c r="A21" s="1701" t="s">
        <v>1123</v>
      </c>
      <c r="B21" s="1688">
        <f ca="1">'预评函-2（1）'!D9</f>
        <v>128946</v>
      </c>
    </row>
    <row r="22" spans="1:2">
      <c r="A22" s="1701" t="s">
        <v>1124</v>
      </c>
      <c r="B22" s="1688" t="str">
        <f ca="1">'预评函-2（1）'!D8</f>
        <v>壹佰伍拾万叁仟伍佰零柒元整</v>
      </c>
    </row>
    <row r="23" spans="1:2">
      <c r="A23" s="1701" t="s">
        <v>1161</v>
      </c>
      <c r="B23" s="1688">
        <f>'预评函-2（1）'!D10</f>
        <v>0</v>
      </c>
    </row>
    <row r="24" spans="1:2">
      <c r="A24" s="1701" t="s">
        <v>1162</v>
      </c>
      <c r="B24" s="1688" t="str">
        <f>'预评函-2（1）'!C10</f>
        <v>总额（元）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f ca="1">'预评函-2（1）'!D15</f>
        <v>1503507</v>
      </c>
    </row>
    <row r="30" spans="1:2">
      <c r="A30" s="1701" t="s">
        <v>1130</v>
      </c>
      <c r="B30" s="1688" t="str">
        <f ca="1">'预评函-2（1）'!D16</f>
        <v>壹佰伍拾万叁仟伍佰零柒元整</v>
      </c>
    </row>
    <row r="31" spans="1:2">
      <c r="A31" s="1701" t="s">
        <v>1131</v>
      </c>
      <c r="B31" s="1688" t="str">
        <f>'预评函-2（1）'!D18</f>
        <v>——</v>
      </c>
    </row>
    <row r="32" spans="1:2">
      <c r="A32" s="1701" t="s">
        <v>1132</v>
      </c>
      <c r="B32" s="1688" t="e">
        <f>'预评函-2（1）'!D19</f>
        <v>#VALUE!</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 ca="1">'预评函-2（2）'!D4</f>
        <v>1488472</v>
      </c>
    </row>
    <row r="38" spans="1:2">
      <c r="A38" s="1701" t="s">
        <v>1138</v>
      </c>
      <c r="B38" s="1688">
        <f ca="1">'预评函-2（2）'!E4</f>
        <v>127656</v>
      </c>
    </row>
    <row r="39" spans="1:2">
      <c r="A39" s="1701" t="s">
        <v>1139</v>
      </c>
      <c r="B39" s="1688" t="str">
        <f ca="1">'预评函-2（2）'!D5</f>
        <v>壹佰肆拾捌万捌仟肆佰柒拾贰元整</v>
      </c>
    </row>
    <row r="40" spans="1:2">
      <c r="A40" s="1701" t="s">
        <v>1140</v>
      </c>
      <c r="B40" s="1688">
        <f ca="1">'预评函-2（2）'!F4</f>
        <v>15035</v>
      </c>
    </row>
    <row r="41" spans="1:2">
      <c r="A41" s="1701" t="s">
        <v>1141</v>
      </c>
      <c r="B41" s="1688">
        <f ca="1">'预评函-2（2）'!G4</f>
        <v>1289</v>
      </c>
    </row>
    <row r="42" spans="1:2" s="1698" customFormat="1" ht="15.75" thickBot="1">
      <c r="A42" s="1702" t="s">
        <v>1142</v>
      </c>
      <c r="B42" s="1690" t="str">
        <f ca="1">'预评函-2（2）'!F5</f>
        <v>壹万伍仟零叁拾伍元整</v>
      </c>
    </row>
    <row r="43" spans="1:2" ht="15.75" thickTop="1">
      <c r="A43" s="1699" t="s">
        <v>1143</v>
      </c>
      <c r="B43" s="1691" t="str">
        <f>'预评函-3'!A13</f>
        <v>2.本次评估设定估价对象房地产权属无争议，未被查封或者以其他形式限制其房地产权利，未设定抵押权等他项权利，不涉及第三方权利义务。</v>
      </c>
    </row>
    <row r="44" spans="1:2">
      <c r="A44" s="1701" t="s">
        <v>1144</v>
      </c>
      <c r="B44" s="1688" t="str">
        <f>'预评函-3'!A14</f>
        <v>——</v>
      </c>
    </row>
    <row r="45" spans="1:2">
      <c r="A45" s="1701" t="s">
        <v>1145</v>
      </c>
      <c r="B45" s="1688" t="str">
        <f>'预评函-3'!A15</f>
        <v>——</v>
      </c>
    </row>
    <row r="46" spans="1:2">
      <c r="A46" s="1701" t="s">
        <v>1146</v>
      </c>
      <c r="B46" s="1688" t="str">
        <f>'预评函-3'!A16</f>
        <v>——</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v>
      </c>
    </row>
    <row r="49" spans="1:2">
      <c r="A49" s="1701" t="s">
        <v>1148</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叶凌</v>
      </c>
    </row>
    <row r="53" spans="1:2">
      <c r="A53" s="1701" t="s">
        <v>1152</v>
      </c>
      <c r="B53" s="1688">
        <f ca="1">'预评函-3'!B4</f>
        <v>1119970111</v>
      </c>
    </row>
    <row r="54" spans="1:2">
      <c r="A54" s="1701" t="s">
        <v>1153</v>
      </c>
      <c r="B54" s="1692" t="str">
        <f>'预评函-3'!A5</f>
        <v>杨红英</v>
      </c>
    </row>
    <row r="55" spans="1:2" s="1698" customFormat="1" ht="15.75" thickBot="1">
      <c r="A55" s="1702" t="s">
        <v>1154</v>
      </c>
      <c r="B55" s="1690">
        <f ca="1">'预评函-3'!B5</f>
        <v>1120070085</v>
      </c>
    </row>
    <row r="56" spans="1:2" ht="15.75" thickTop="1">
      <c r="A56" s="1704" t="s">
        <v>1163</v>
      </c>
      <c r="B56" s="1688" t="str">
        <f>'预评函-2（1）'!B15</f>
        <v>3.房地产抵押价值</v>
      </c>
    </row>
    <row r="57" spans="1:2">
      <c r="A57" s="1704" t="s">
        <v>1164</v>
      </c>
      <c r="B57" s="1688" t="str">
        <f>'预评函-2（1）'!B18</f>
        <v>——</v>
      </c>
    </row>
    <row r="58" spans="1:2" s="1698" customFormat="1" ht="15.75" thickBot="1">
      <c r="A58" s="1705" t="s">
        <v>1165</v>
      </c>
      <c r="B58" s="1689" t="str">
        <f>'预评函-2（1）'!B21</f>
        <v>——</v>
      </c>
    </row>
    <row r="59" spans="1:2" ht="15.75" thickTop="1">
      <c r="A59" s="1706" t="s">
        <v>1167</v>
      </c>
      <c r="B59" s="1686" t="str">
        <f>'预评函-2（1）'!B45</f>
        <v>单位：元、元/平方米（单位：人民币）</v>
      </c>
    </row>
    <row r="60" spans="1:2">
      <c r="A60" s="1704" t="s">
        <v>1168</v>
      </c>
      <c r="B60" s="1688" t="str">
        <f>'预评函-2（2）'!D2</f>
        <v>出让国有建设用地使用权价值</v>
      </c>
    </row>
    <row r="61" spans="1:2" s="1700" customFormat="1">
      <c r="A61" s="1704" t="s">
        <v>1169</v>
      </c>
      <c r="B61" s="1688" t="str">
        <f>'预评函-2（2）'!A14</f>
        <v>单位：平方米、元、元/平方米（币种：人民币）</v>
      </c>
    </row>
    <row r="62" spans="1:2" ht="28.5">
      <c r="A62" s="1704" t="s">
        <v>1253</v>
      </c>
      <c r="B62" s="1688">
        <f ca="1">'预评函-2（1）'!D38</f>
        <v>128946</v>
      </c>
    </row>
    <row r="63" spans="1:2" s="1700" customFormat="1" ht="28.5">
      <c r="A63" s="1704" t="s">
        <v>1254</v>
      </c>
      <c r="B63" s="1688" t="str">
        <f>'预评函-2（1）'!D41</f>
        <v>——</v>
      </c>
    </row>
    <row r="64" spans="1:2">
      <c r="A64" s="1704" t="s">
        <v>1177</v>
      </c>
      <c r="B64" s="1688" t="str">
        <f>'预评函-2（2）'!A6</f>
        <v>估价师所知悉的法定优先受偿款</v>
      </c>
    </row>
    <row r="65" spans="1:2">
      <c r="A65" s="1704" t="s">
        <v>1178</v>
      </c>
      <c r="B65" s="1688" t="str">
        <f>'预评函-2（2）'!A8</f>
        <v>房地产抵押价值</v>
      </c>
    </row>
    <row r="66" spans="1:2">
      <c r="A66" s="1704" t="s">
        <v>1179</v>
      </c>
      <c r="B66" s="1688" t="str">
        <f>'预评函-2（2）'!A10</f>
        <v/>
      </c>
    </row>
    <row r="67" spans="1:2" s="1698" customFormat="1" ht="15.75" thickBot="1">
      <c r="A67" s="1705" t="s">
        <v>1180</v>
      </c>
      <c r="B67" s="1689" t="str">
        <f>'预评函-2（2）'!A12</f>
        <v/>
      </c>
    </row>
    <row r="68" spans="1:2" ht="15.75" thickTop="1">
      <c r="A68" s="1707" t="s">
        <v>1181</v>
      </c>
      <c r="B68" s="1693" t="str">
        <f>'预评函-3'!A9</f>
        <v>XX</v>
      </c>
    </row>
    <row r="69" spans="1:2">
      <c r="A69" s="1701" t="s">
        <v>1252</v>
      </c>
    </row>
    <row r="70" spans="1:2">
      <c r="A70" s="1701"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4" t="str">
        <f>项目基本情况!B1</f>
        <v>北京市预评估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5">
        <f>项目基本情况!B4</f>
        <v>0</v>
      </c>
      <c r="C12" s="1042"/>
    </row>
    <row r="13" spans="1:7">
      <c r="A13" s="1183"/>
      <c r="B13" s="1076"/>
      <c r="C13" s="1042"/>
    </row>
    <row r="14" spans="1:7">
      <c r="A14" s="1186" t="s">
        <v>946</v>
      </c>
      <c r="B14" s="1185" t="s">
        <v>948</v>
      </c>
      <c r="C14" s="1042"/>
    </row>
    <row r="15" spans="1:7">
      <c r="A15" s="1183"/>
      <c r="B15" s="1905" t="s">
        <v>777</v>
      </c>
      <c r="C15" s="1042"/>
    </row>
    <row r="16" spans="1:7">
      <c r="A16" s="1183"/>
      <c r="B16" s="1076"/>
      <c r="C16" s="1042"/>
    </row>
    <row r="17" spans="1:5">
      <c r="A17" s="1186" t="s">
        <v>946</v>
      </c>
      <c r="B17" s="1185" t="s">
        <v>949</v>
      </c>
      <c r="C17" s="1042"/>
    </row>
    <row r="18" spans="1:5" s="1046" customFormat="1">
      <c r="A18" s="1184"/>
      <c r="B18" s="1905" t="str">
        <f ca="1">CONCATENATE(项目基本情况!B3,"（注册号:",项目基本情况!C3,"）、",项目基本情况!D3,"（注册号:",项目基本情况!E3,")")</f>
        <v>叶凌（注册号:1119970111）、杨红英（注册号:1120070085)</v>
      </c>
      <c r="C18" s="1045"/>
      <c r="E18" s="1045"/>
    </row>
    <row r="19" spans="1:5">
      <c r="A19" s="1183"/>
      <c r="B19" s="1076"/>
      <c r="C19" s="1042"/>
    </row>
    <row r="20" spans="1:5">
      <c r="A20" s="1186" t="s">
        <v>946</v>
      </c>
      <c r="B20" s="1185" t="s">
        <v>950</v>
      </c>
      <c r="C20" s="1042"/>
    </row>
    <row r="21" spans="1:5">
      <c r="A21" s="1183"/>
      <c r="B21" s="1905"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1264</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1265</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估价对象为北京市房地产，为所有。根据《不动产权证书》[]，估价对象建筑面积为11.66平方米，（分摊）出让国有建设用地使用权面积为平方米。估价对象用途为。</v>
      </c>
      <c r="B6" s="1914"/>
      <c r="C6" s="1914"/>
      <c r="D6" s="1914"/>
      <c r="E6" s="1914"/>
      <c r="F6" s="1914"/>
      <c r="G6" s="1914"/>
    </row>
    <row r="7" spans="1:7" ht="18.75">
      <c r="A7" s="1915" t="s">
        <v>1266</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1267</v>
      </c>
      <c r="B9" s="1919"/>
    </row>
    <row r="10" spans="1:7" ht="18">
      <c r="A10" s="1920" t="str">
        <f>TEXT(项目基本情况!D2,"yyyy年m月d日;;")&amp;IF(项目基本情况!B2=项目基本情况!D2,"（评估专业人员实地查勘之日）","")</f>
        <v>2018年12月5日（评估专业人员实地查勘之日）</v>
      </c>
      <c r="B10" s="1921"/>
      <c r="C10" s="1921"/>
      <c r="D10" s="1921"/>
      <c r="E10" s="1921"/>
      <c r="F10" s="1921"/>
      <c r="G10" s="1921"/>
    </row>
    <row r="11" spans="1:7" ht="18.75">
      <c r="A11" s="1912" t="s">
        <v>1268</v>
      </c>
    </row>
    <row r="12" spans="1:7" ht="75">
      <c r="A12" s="1914" t="s">
        <v>1269</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本次估价的“房地产价值”是指在正常市场情况下，在价值时点2018年12月5日，估价对象规划用途为，假定未设立法定优先受偿款下的房地产市场价值。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1263</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1262</v>
      </c>
    </row>
    <row r="18" spans="1:1" ht="18">
      <c r="A18" s="1923" t="str">
        <f>"本次评估采用的主估价方法为"&amp;IF('数据-取费表'!E3="否",结果表!K4&amp;"和"&amp;结果表!L4,'结果表 (1修多)'!K4&amp;"和"&amp;'结果表 (1修多)'!L4)&amp;"。"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780</v>
      </c>
      <c r="B1" s="1924"/>
      <c r="C1" s="1924"/>
      <c r="D1" s="1924"/>
      <c r="E1" s="1924"/>
    </row>
    <row r="2" spans="1:5" ht="78.75" customHeight="1">
      <c r="A2" s="275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6"/>
      <c r="C2" s="2756"/>
      <c r="D2" s="2756"/>
      <c r="E2" s="2756"/>
    </row>
    <row r="3" spans="1:5" ht="13.5" customHeight="1">
      <c r="A3" s="1927"/>
      <c r="B3" s="1927"/>
      <c r="C3" s="1927"/>
      <c r="D3" s="1927"/>
      <c r="E3" s="1927"/>
    </row>
    <row r="4" spans="1:5" ht="19.5" thickBot="1">
      <c r="A4" s="2757" t="str">
        <f>IF(项目基本情况!D5="房地产市场价值","估价结果一览表（市场价值不需本页表格)","估价结果一览表")</f>
        <v>估价结果一览表</v>
      </c>
      <c r="B4" s="2757"/>
      <c r="C4" s="2757"/>
      <c r="D4" s="2757"/>
      <c r="E4" s="2757"/>
    </row>
    <row r="5" spans="1:5" ht="14.25" customHeight="1" thickTop="1">
      <c r="A5" s="1924"/>
      <c r="B5" s="1928" t="s">
        <v>742</v>
      </c>
      <c r="C5" s="2758" t="s">
        <v>781</v>
      </c>
      <c r="D5" s="2759"/>
      <c r="E5" s="1924"/>
    </row>
    <row r="6" spans="1:5" ht="14.25">
      <c r="A6" s="1924"/>
      <c r="B6" s="1929" t="str">
        <f>项目基本情况!I1</f>
        <v>北京市房地产</v>
      </c>
      <c r="C6" s="2760">
        <f>项目基本情况!C12</f>
        <v>11.66</v>
      </c>
      <c r="D6" s="2760"/>
      <c r="E6" s="1924"/>
    </row>
    <row r="7" spans="1:5" ht="14.25">
      <c r="A7" s="1924"/>
      <c r="B7" s="2754" t="s">
        <v>782</v>
      </c>
      <c r="C7" s="1930" t="str">
        <f>IF('数据-取费表'!B3="万元","总价（万元）","总价（元）")</f>
        <v>总价（元）</v>
      </c>
      <c r="D7" s="1931">
        <f ca="1">IF('数据-取费表'!E3="否",结果表!I102,'结果表 (1修多)'!I103)</f>
        <v>1503507</v>
      </c>
      <c r="E7" s="1924"/>
    </row>
    <row r="8" spans="1:5" ht="28.5">
      <c r="A8" s="1924"/>
      <c r="B8" s="2754"/>
      <c r="C8" s="1932" t="s">
        <v>1172</v>
      </c>
      <c r="D8" s="1933" t="str">
        <f ca="1">IF('数据-取费表'!B3="万元",NUMBERSTRING(INT(D7*10000),2)&amp;"元整",NUMBERSTRING(INT(D7),2)&amp;"元整")</f>
        <v>壹佰伍拾万叁仟伍佰零柒元整</v>
      </c>
      <c r="E8" s="1924"/>
    </row>
    <row r="9" spans="1:5" ht="14.25">
      <c r="A9" s="1924"/>
      <c r="B9" s="2754"/>
      <c r="C9" s="1934" t="s">
        <v>1270</v>
      </c>
      <c r="D9" s="1931">
        <f ca="1">IF('数据-取费表'!E3="否",结果表!I103,'结果表 (1修多)'!I104)</f>
        <v>128946</v>
      </c>
      <c r="E9" s="1924"/>
    </row>
    <row r="10" spans="1:5" ht="14.25">
      <c r="A10" s="1924"/>
      <c r="B10" s="2761" t="str">
        <f>IF('数据-取费表'!E3="否",结果表!F105,'结果表 (1修多)'!F106)</f>
        <v>2.估价师所知悉的法定优先受偿款</v>
      </c>
      <c r="C10" s="1935" t="str">
        <f>IF('数据-取费表'!B3="万元","总额（万元）","总额（元）")</f>
        <v>总额（元）</v>
      </c>
      <c r="D10" s="1931">
        <f>IF('数据-取费表'!E3="否",结果表!I105,'结果表 (1修多)'!I106)</f>
        <v>0</v>
      </c>
      <c r="E10" s="1924"/>
    </row>
    <row r="11" spans="1:5" ht="14.25">
      <c r="A11" s="1924"/>
      <c r="B11" s="2761"/>
      <c r="C11" s="1932" t="s">
        <v>1172</v>
      </c>
      <c r="D11" s="1933" t="str">
        <f>IF('数据-取费表'!B3="万元",NUMBERSTRING(INT(D10*10000),2)&amp;"元整",NUMBERSTRING(INT(D10),2)&amp;"元整")</f>
        <v>零元整</v>
      </c>
      <c r="E11" s="1924"/>
    </row>
    <row r="12" spans="1:5" ht="14.25">
      <c r="A12" s="1924"/>
      <c r="B12" s="1936" t="s">
        <v>743</v>
      </c>
      <c r="C12" s="1937" t="str">
        <f>C10</f>
        <v>总额（元）</v>
      </c>
      <c r="D12" s="1938">
        <f>IF('数据-取费表'!E3="否",结果表!I106,'结果表 (1修多)'!I107)</f>
        <v>0</v>
      </c>
      <c r="E12" s="1924"/>
    </row>
    <row r="13" spans="1:5" ht="14.25">
      <c r="A13" s="1924"/>
      <c r="B13" s="1936" t="s">
        <v>744</v>
      </c>
      <c r="C13" s="1937" t="str">
        <f>C10</f>
        <v>总额（元）</v>
      </c>
      <c r="D13" s="1938">
        <f>IF('数据-取费表'!E3="否",结果表!I107,'结果表 (1修多)'!I108)</f>
        <v>0</v>
      </c>
      <c r="E13" s="1924"/>
    </row>
    <row r="14" spans="1:5" ht="14.25">
      <c r="A14" s="1924"/>
      <c r="B14" s="1936" t="s">
        <v>745</v>
      </c>
      <c r="C14" s="1937" t="str">
        <f>C10</f>
        <v>总额（元）</v>
      </c>
      <c r="D14" s="1938">
        <f>IF('数据-取费表'!E3="否",结果表!I108,'结果表 (1修多)'!I109)</f>
        <v>0</v>
      </c>
      <c r="E14" s="1924"/>
    </row>
    <row r="15" spans="1:5" ht="14.25">
      <c r="A15" s="1924"/>
      <c r="B15" s="2761" t="str">
        <f>IF('数据-取费表'!E3="否",结果表!F110,'结果表 (1修多)'!F111)</f>
        <v>3.房地产抵押价值</v>
      </c>
      <c r="C15" s="1925" t="str">
        <f>C7</f>
        <v>总价（元）</v>
      </c>
      <c r="D15" s="1931">
        <f ca="1">IF('数据-取费表'!E3="否",结果表!I110,'结果表 (1修多)'!I111)</f>
        <v>1503507</v>
      </c>
      <c r="E15" s="1924"/>
    </row>
    <row r="16" spans="1:5" ht="28.5">
      <c r="A16" s="1924"/>
      <c r="B16" s="2761"/>
      <c r="C16" s="1932" t="s">
        <v>1172</v>
      </c>
      <c r="D16" s="1931" t="str">
        <f ca="1">IF('数据-取费表'!B3="万元",NUMBERSTRING(INT(D15*10000),2)&amp;"元整",NUMBERSTRING(INT(D15),2)&amp;"元整")</f>
        <v>壹佰伍拾万叁仟伍佰零柒元整</v>
      </c>
      <c r="E16" s="1924"/>
    </row>
    <row r="17" spans="1:5" ht="14.25">
      <c r="A17" s="1924"/>
      <c r="B17" s="2761"/>
      <c r="C17" s="1934" t="s">
        <v>1270</v>
      </c>
      <c r="D17" s="1931">
        <f ca="1">IF('数据-取费表'!E3="否",结果表!I111,'结果表 (1修多)'!I112)</f>
        <v>128946</v>
      </c>
      <c r="E17" s="1924"/>
    </row>
    <row r="18" spans="1:5" ht="14.25">
      <c r="A18" s="1924"/>
      <c r="B18" s="2761" t="str">
        <f>IF('数据-取费表'!E3="否",结果表!F112,'结果表 (1修多)'!F113)</f>
        <v>——</v>
      </c>
      <c r="C18" s="1925" t="str">
        <f>C7</f>
        <v>总价（元）</v>
      </c>
      <c r="D18" s="1931" t="str">
        <f>IF('数据-取费表'!E3="否",结果表!I112,'结果表 (1修多)'!I113)</f>
        <v>——</v>
      </c>
      <c r="E18" s="1924"/>
    </row>
    <row r="19" spans="1:5" ht="14.25">
      <c r="A19" s="1924"/>
      <c r="B19" s="2761"/>
      <c r="C19" s="1932" t="s">
        <v>1172</v>
      </c>
      <c r="D19" s="1931" t="e">
        <f>IF('数据-取费表'!B3="万元",NUMBERSTRING(INT(D18*10000),2)&amp;"元整",NUMBERSTRING(INT(D18),2)&amp;"元整")</f>
        <v>#VALUE!</v>
      </c>
      <c r="E19" s="1924"/>
    </row>
    <row r="20" spans="1:5" ht="14.25">
      <c r="A20" s="1924"/>
      <c r="B20" s="2761"/>
      <c r="C20" s="1934" t="s">
        <v>1270</v>
      </c>
      <c r="D20" s="1931" t="str">
        <f>IF('数据-取费表'!E3="否",结果表!I113,'结果表 (1修多)'!I114)</f>
        <v>——</v>
      </c>
      <c r="E20" s="1924"/>
    </row>
    <row r="21" spans="1:5" ht="14.25">
      <c r="A21" s="1924"/>
      <c r="B21" s="2754" t="str">
        <f>IF('数据-取费表'!E3="否",结果表!F114,'结果表 (1修多)'!F115)</f>
        <v>——</v>
      </c>
      <c r="C21" s="1930" t="str">
        <f>C7</f>
        <v>总价（元）</v>
      </c>
      <c r="D21" s="1931" t="str">
        <f>IF('数据-取费表'!E3="否",结果表!I114,'结果表 (1修多)'!I115)</f>
        <v>——</v>
      </c>
      <c r="E21" s="1924"/>
    </row>
    <row r="22" spans="1:5" ht="14.25">
      <c r="A22" s="1924"/>
      <c r="B22" s="2754"/>
      <c r="C22" s="1932" t="s">
        <v>1172</v>
      </c>
      <c r="D22" s="1933" t="e">
        <f>IF('数据-取费表'!B3="万元",NUMBERSTRING(INT(D21*10000),2)&amp;"元整",NUMBERSTRING(INT(D21),2)&amp;"元整")</f>
        <v>#VALUE!</v>
      </c>
      <c r="E22" s="1924"/>
    </row>
    <row r="23" spans="1:5" ht="15" thickBot="1">
      <c r="A23" s="1924"/>
      <c r="B23" s="2755"/>
      <c r="C23" s="1939" t="s">
        <v>1270</v>
      </c>
      <c r="D23" s="1940" t="str">
        <f ca="1">IF('数据-取费表'!E3="否",结果表!I115,'结果表 (1修多)'!I116)</f>
        <v>——</v>
      </c>
      <c r="E23" s="1924"/>
    </row>
    <row r="24" spans="1:5" ht="14.25" thickTop="1">
      <c r="A24" s="1924"/>
      <c r="B24" s="1924"/>
      <c r="C24" s="1924"/>
      <c r="D24" s="1924"/>
      <c r="E24" s="1924"/>
    </row>
    <row r="25" spans="1:5" ht="18.75" customHeight="1" thickBot="1">
      <c r="A25" s="1924"/>
      <c r="B25" s="2746" t="s">
        <v>1271</v>
      </c>
      <c r="C25" s="2746"/>
      <c r="D25" s="2746"/>
      <c r="E25" s="1924"/>
    </row>
    <row r="26" spans="1:5" ht="18.75" customHeight="1" thickTop="1">
      <c r="A26" s="1924"/>
      <c r="B26" s="2749" t="s">
        <v>1171</v>
      </c>
      <c r="C26" s="2750"/>
      <c r="D26" s="2747" t="s">
        <v>1170</v>
      </c>
      <c r="E26" s="1924"/>
    </row>
    <row r="27" spans="1:5" ht="18.75" customHeight="1">
      <c r="A27" s="1924"/>
      <c r="B27" s="2751"/>
      <c r="C27" s="2752"/>
      <c r="D27" s="2748"/>
      <c r="E27" s="1924"/>
    </row>
    <row r="28" spans="1:5" ht="14.25">
      <c r="A28" s="1924"/>
      <c r="B28" s="2739" t="s">
        <v>782</v>
      </c>
      <c r="C28" s="1941" t="s">
        <v>1173</v>
      </c>
      <c r="D28" s="1942">
        <f ca="1">IF('数据-取费表'!E3="否",结果表!I102,'结果表 (1修多)'!I103)</f>
        <v>1503507</v>
      </c>
      <c r="E28" s="1924"/>
    </row>
    <row r="29" spans="1:5" ht="28.5">
      <c r="A29" s="1924"/>
      <c r="B29" s="2740"/>
      <c r="C29" s="1943" t="s">
        <v>1172</v>
      </c>
      <c r="D29" s="1944" t="str">
        <f ca="1">IF('数据-取费表'!B3="万元",NUMBERSTRING(INT(D28*10000),2)&amp;"元整",NUMBERSTRING(INT(D28),2)&amp;"元整")</f>
        <v>壹佰伍拾万叁仟伍佰零柒元整</v>
      </c>
      <c r="E29" s="1924"/>
    </row>
    <row r="30" spans="1:5" ht="14.25">
      <c r="A30" s="1924"/>
      <c r="B30" s="2741"/>
      <c r="C30" s="1934" t="s">
        <v>1175</v>
      </c>
      <c r="D30" s="1945">
        <f ca="1">IF('数据-取费表'!E3="否",结果表!I103,'结果表 (1修多)'!I104)</f>
        <v>128946</v>
      </c>
      <c r="E30" s="1924"/>
    </row>
    <row r="31" spans="1:5" ht="14.25">
      <c r="A31" s="1924"/>
      <c r="B31" s="2744" t="str">
        <f>B10</f>
        <v>2.估价师所知悉的法定优先受偿款</v>
      </c>
      <c r="C31" s="1946" t="s">
        <v>1174</v>
      </c>
      <c r="D31" s="1947">
        <f>IF('数据-取费表'!E3="否",结果表!I105,'结果表 (1修多)'!I106)</f>
        <v>0</v>
      </c>
      <c r="E31" s="1924"/>
    </row>
    <row r="32" spans="1:5" ht="14.25">
      <c r="A32" s="1924"/>
      <c r="B32" s="2753"/>
      <c r="C32" s="1943" t="s">
        <v>1172</v>
      </c>
      <c r="D32" s="1948" t="str">
        <f>IF('数据-取费表'!B3="万元",NUMBERSTRING(INT(D31*10000),2)&amp;"元整",NUMBERSTRING(INT(D31),2)&amp;"元整")</f>
        <v>零元整</v>
      </c>
      <c r="E32" s="1924"/>
    </row>
    <row r="33" spans="1:5" ht="14.25">
      <c r="A33" s="1924"/>
      <c r="B33" s="1932" t="s">
        <v>1155</v>
      </c>
      <c r="C33" s="1932" t="str">
        <f>C31</f>
        <v>总额</v>
      </c>
      <c r="D33" s="1945">
        <f>IF('数据-取费表'!E3="否",结果表!I106,'结果表 (1修多)'!I107)</f>
        <v>0</v>
      </c>
      <c r="E33" s="1924"/>
    </row>
    <row r="34" spans="1:5" ht="14.25">
      <c r="A34" s="1924"/>
      <c r="B34" s="1932" t="s">
        <v>1156</v>
      </c>
      <c r="C34" s="1932" t="str">
        <f>C31</f>
        <v>总额</v>
      </c>
      <c r="D34" s="1945">
        <f>IF('数据-取费表'!E3="否",结果表!I107,'结果表 (1修多)'!I108)</f>
        <v>0</v>
      </c>
      <c r="E34" s="1924"/>
    </row>
    <row r="35" spans="1:5" ht="14.25">
      <c r="A35" s="1924"/>
      <c r="B35" s="1932" t="s">
        <v>1157</v>
      </c>
      <c r="C35" s="1932" t="str">
        <f>C31</f>
        <v>总额</v>
      </c>
      <c r="D35" s="1945">
        <f>IF('数据-取费表'!E3="否",结果表!I108,'结果表 (1修多)'!I109)</f>
        <v>0</v>
      </c>
      <c r="E35" s="1924"/>
    </row>
    <row r="36" spans="1:5" ht="14.25">
      <c r="A36" s="1924"/>
      <c r="B36" s="2742" t="str">
        <f>B15</f>
        <v>3.房地产抵押价值</v>
      </c>
      <c r="C36" s="1946" t="str">
        <f>C28</f>
        <v>总价</v>
      </c>
      <c r="D36" s="1947">
        <f ca="1">IF('数据-取费表'!E3="否",结果表!I110,'结果表 (1修多)'!I111)</f>
        <v>1503507</v>
      </c>
      <c r="E36" s="1924"/>
    </row>
    <row r="37" spans="1:5" ht="28.5">
      <c r="A37" s="1924"/>
      <c r="B37" s="2742"/>
      <c r="C37" s="1943" t="s">
        <v>1172</v>
      </c>
      <c r="D37" s="1948" t="str">
        <f ca="1">IF('数据-取费表'!B3="万元",NUMBERSTRING(INT(D36*10000),2)&amp;"元整",NUMBERSTRING(INT(D36),2)&amp;"元整")</f>
        <v>壹佰伍拾万叁仟伍佰零柒元整</v>
      </c>
      <c r="E37" s="1924"/>
    </row>
    <row r="38" spans="1:5" ht="14.25">
      <c r="A38" s="1924"/>
      <c r="B38" s="2742"/>
      <c r="C38" s="1934" t="s">
        <v>1176</v>
      </c>
      <c r="D38" s="1945">
        <f ca="1">IF('数据-取费表'!E3="否",结果表!D113,'结果表 (1修多)'!D116)</f>
        <v>128946</v>
      </c>
      <c r="E38" s="1924"/>
    </row>
    <row r="39" spans="1:5" ht="14.25">
      <c r="A39" s="1924"/>
      <c r="B39" s="2743" t="str">
        <f>B18</f>
        <v>——</v>
      </c>
      <c r="C39" s="1946" t="str">
        <f>C28</f>
        <v>总价</v>
      </c>
      <c r="D39" s="1947" t="str">
        <f>IF('数据-取费表'!E3="否",结果表!I112,'结果表 (1修多)'!I113)</f>
        <v>——</v>
      </c>
      <c r="E39" s="1924"/>
    </row>
    <row r="40" spans="1:5" ht="14.25">
      <c r="A40" s="1924"/>
      <c r="B40" s="2743"/>
      <c r="C40" s="1943" t="s">
        <v>1172</v>
      </c>
      <c r="D40" s="1948" t="e">
        <f>IF('数据-取费表'!B3="万元",NUMBERSTRING(INT(D39*10000),2)&amp;"元整",NUMBERSTRING(INT(D39),2)&amp;"元整")</f>
        <v>#VALUE!</v>
      </c>
      <c r="E40" s="1924"/>
    </row>
    <row r="41" spans="1:5" ht="14.25">
      <c r="A41" s="1924"/>
      <c r="B41" s="2743"/>
      <c r="C41" s="1934" t="s">
        <v>1176</v>
      </c>
      <c r="D41" s="1945" t="str">
        <f>IF('数据-取费表'!E3="否",结果表!D115,'结果表 (1修多)'!D118)</f>
        <v>——</v>
      </c>
      <c r="E41" s="1924"/>
    </row>
    <row r="42" spans="1:5" ht="14.25">
      <c r="A42" s="1924"/>
      <c r="B42" s="2742" t="str">
        <f>B21</f>
        <v>——</v>
      </c>
      <c r="C42" s="1946" t="str">
        <f>C28</f>
        <v>总价</v>
      </c>
      <c r="D42" s="1947" t="str">
        <f>IF('数据-取费表'!E3="否",结果表!I114,'结果表 (1修多)'!I115)</f>
        <v>——</v>
      </c>
      <c r="E42" s="1924"/>
    </row>
    <row r="43" spans="1:5" ht="14.25">
      <c r="A43" s="1924"/>
      <c r="B43" s="2744"/>
      <c r="C43" s="1943" t="s">
        <v>1172</v>
      </c>
      <c r="D43" s="1949" t="e">
        <f>IF('数据-取费表'!B3="万元",NUMBERSTRING(INT(D42*10000),2)&amp;"元整",NUMBERSTRING(INT(D42),2)&amp;"元整")</f>
        <v>#VALUE!</v>
      </c>
      <c r="E43" s="1924"/>
    </row>
    <row r="44" spans="1:5" ht="15" thickBot="1">
      <c r="A44" s="1924"/>
      <c r="B44" s="2745"/>
      <c r="C44" s="1939" t="s">
        <v>1176</v>
      </c>
      <c r="D44" s="1950" t="str">
        <f ca="1">IF('数据-取费表'!E3="否",结果表!D117,'结果表 (1修多)'!D120)</f>
        <v>——</v>
      </c>
      <c r="E44" s="1924"/>
    </row>
    <row r="45" spans="1:5" ht="14.25" thickTop="1">
      <c r="A45" s="1924"/>
      <c r="B45" s="1924" t="str">
        <f>IF('数据-取费表'!B3="元","单位：元、元/平方米（单位：人民币）","单位：万元、元/平方米（单位：人民币）")</f>
        <v>单位：元、元/平方米（单位：人民币）</v>
      </c>
      <c r="C45" s="1924"/>
      <c r="D45" s="1924"/>
      <c r="E45" s="1924"/>
    </row>
    <row r="46" spans="1:5" ht="18.75">
      <c r="B46" s="1951"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9" customWidth="1"/>
    <col min="2" max="9" width="12.25" style="1909" customWidth="1"/>
    <col min="10" max="16384" width="9" style="1909"/>
  </cols>
  <sheetData>
    <row r="1" spans="1:9" ht="16.5" thickBot="1">
      <c r="A1" s="2768" t="str">
        <f>IF(项目基本情况!D5="房地产市场价值","估价结果一览表","结果表-2")</f>
        <v>结果表-2</v>
      </c>
      <c r="B1" s="2768"/>
      <c r="C1" s="2768"/>
      <c r="D1" s="2768"/>
      <c r="E1" s="2768"/>
      <c r="F1" s="2768"/>
      <c r="G1" s="2768"/>
      <c r="H1" s="2768"/>
      <c r="I1" s="2768"/>
    </row>
    <row r="2" spans="1:9" ht="30" customHeight="1" thickTop="1">
      <c r="A2" s="2769" t="s">
        <v>1272</v>
      </c>
      <c r="B2" s="2769" t="s">
        <v>1273</v>
      </c>
      <c r="C2" s="2769" t="s">
        <v>1274</v>
      </c>
      <c r="D2" s="2769" t="str">
        <f>IF('数据-取费表'!E3="否",结果表!D119,'结果表 (1修多)'!D122)</f>
        <v>出让国有建设用地使用权价值</v>
      </c>
      <c r="E2" s="2769"/>
      <c r="F2" s="2769" t="s">
        <v>1275</v>
      </c>
      <c r="G2" s="2769"/>
      <c r="H2" s="2769" t="s">
        <v>1276</v>
      </c>
      <c r="I2" s="2769"/>
    </row>
    <row r="3" spans="1:9" ht="15">
      <c r="A3" s="2762"/>
      <c r="B3" s="2762"/>
      <c r="C3" s="2762"/>
      <c r="D3" s="1048" t="s">
        <v>1277</v>
      </c>
      <c r="E3" s="1048" t="s">
        <v>1278</v>
      </c>
      <c r="F3" s="1048" t="s">
        <v>1277</v>
      </c>
      <c r="G3" s="1048" t="s">
        <v>1279</v>
      </c>
      <c r="H3" s="1048" t="s">
        <v>1277</v>
      </c>
      <c r="I3" s="1048" t="s">
        <v>1279</v>
      </c>
    </row>
    <row r="4" spans="1:9" ht="46.5" customHeight="1">
      <c r="A4" s="1048" t="str">
        <f>项目基本情况!I1</f>
        <v>北京市房地产</v>
      </c>
      <c r="B4" s="1048">
        <f>结果表!B121</f>
        <v>11.66</v>
      </c>
      <c r="C4" s="1048">
        <f>结果表!C121</f>
        <v>0</v>
      </c>
      <c r="D4" s="1048">
        <f ca="1">IF('数据-取费表'!E3="否",结果表!D121,'结果表 (1修多)'!D124)</f>
        <v>1488472</v>
      </c>
      <c r="E4" s="1048">
        <f ca="1">IF('数据-取费表'!E3="否",结果表!E121,'结果表 (1修多)'!E124)</f>
        <v>127656</v>
      </c>
      <c r="F4" s="1048">
        <f ca="1">IF('数据-取费表'!E3="否",结果表!F121,'结果表 (1修多)'!F124)</f>
        <v>15035</v>
      </c>
      <c r="G4" s="1048">
        <f ca="1">IF('数据-取费表'!E3="否",结果表!G121,'结果表 (1修多)'!G124)</f>
        <v>1289</v>
      </c>
      <c r="H4" s="1048">
        <f ca="1">IF('数据-取费表'!E3="否",结果表!H121,'结果表 (1修多)'!H124)</f>
        <v>1503507</v>
      </c>
      <c r="I4" s="1048">
        <f ca="1">IF('数据-取费表'!E3="否",结果表!I121,'结果表 (1修多)'!I124)</f>
        <v>128946</v>
      </c>
    </row>
    <row r="5" spans="1:9" ht="15">
      <c r="A5" s="2762" t="s">
        <v>1280</v>
      </c>
      <c r="B5" s="2762"/>
      <c r="C5" s="2762"/>
      <c r="D5" s="2763" t="str">
        <f ca="1">IF('数据-取费表'!E3="否",结果表!D122,'结果表 (1修多)'!D125)</f>
        <v>壹佰肆拾捌万捌仟肆佰柒拾贰元整</v>
      </c>
      <c r="E5" s="2763"/>
      <c r="F5" s="2763" t="str">
        <f ca="1">IF('数据-取费表'!E3="否",结果表!F122,'结果表 (1修多)'!F125)</f>
        <v>壹万伍仟零叁拾伍元整</v>
      </c>
      <c r="G5" s="2763"/>
      <c r="H5" s="2763" t="str">
        <f ca="1">IF('数据-取费表'!E3="否",结果表!H122,'结果表 (1修多)'!H125)</f>
        <v>壹佰伍拾万叁仟伍佰零柒元整</v>
      </c>
      <c r="I5" s="2763"/>
    </row>
    <row r="6" spans="1:9" ht="15.75">
      <c r="A6" s="2764" t="str">
        <f>IF('数据-取费表'!E3="否",结果表!A123,'结果表 (1修多)'!A126)</f>
        <v>估价师所知悉的法定优先受偿款</v>
      </c>
      <c r="B6" s="2764"/>
      <c r="C6" s="2764"/>
      <c r="D6" s="2764">
        <f>IF('数据-取费表'!E3="否",结果表!D123,'结果表 (1修多)'!D126)</f>
        <v>0</v>
      </c>
      <c r="E6" s="2764"/>
      <c r="F6" s="2764"/>
      <c r="G6" s="2764"/>
      <c r="H6" s="2764"/>
      <c r="I6" s="2764"/>
    </row>
    <row r="7" spans="1:9" ht="15">
      <c r="A7" s="2762" t="s">
        <v>1280</v>
      </c>
      <c r="B7" s="2762"/>
      <c r="C7" s="2762"/>
      <c r="D7" s="2770">
        <f>IF('数据-取费表'!E3="否",结果表!D124,'结果表 (1修多)'!D127)</f>
        <v>0</v>
      </c>
      <c r="E7" s="2771"/>
      <c r="F7" s="2771"/>
      <c r="G7" s="2771"/>
      <c r="H7" s="2771"/>
      <c r="I7" s="2772"/>
    </row>
    <row r="8" spans="1:9" ht="15.75">
      <c r="A8" s="2764" t="str">
        <f>IF('数据-取费表'!E3="否",结果表!A125,'结果表 (1修多)'!A128)</f>
        <v>房地产抵押价值</v>
      </c>
      <c r="B8" s="2764"/>
      <c r="C8" s="2764"/>
      <c r="D8" s="2764">
        <f ca="1">IF('数据-取费表'!E3="否",结果表!D125,'结果表 (1修多)'!D128)</f>
        <v>1503507</v>
      </c>
      <c r="E8" s="2764"/>
      <c r="F8" s="2764"/>
      <c r="G8" s="2764"/>
      <c r="H8" s="2764"/>
      <c r="I8" s="2764"/>
    </row>
    <row r="9" spans="1:9" ht="15">
      <c r="A9" s="2762" t="s">
        <v>1280</v>
      </c>
      <c r="B9" s="2762"/>
      <c r="C9" s="2762"/>
      <c r="D9" s="2763">
        <f ca="1">IF('数据-取费表'!E3="否",结果表!D126,'结果表 (1修多)'!D129)</f>
        <v>128946</v>
      </c>
      <c r="E9" s="2763"/>
      <c r="F9" s="2763"/>
      <c r="G9" s="2763"/>
      <c r="H9" s="2763"/>
      <c r="I9" s="2763"/>
    </row>
    <row r="10" spans="1:9" ht="15.75">
      <c r="A10" s="2764" t="str">
        <f>IF('数据-取费表'!E3="否",结果表!A127,'结果表 (1修多)'!A130)</f>
        <v/>
      </c>
      <c r="B10" s="2764"/>
      <c r="C10" s="2764"/>
      <c r="D10" s="2764" t="str">
        <f>IF('数据-取费表'!E3="否",结果表!D127,'结果表 (1修多)'!D129)</f>
        <v>——</v>
      </c>
      <c r="E10" s="2764"/>
      <c r="F10" s="2764"/>
      <c r="G10" s="2764"/>
      <c r="H10" s="2764"/>
      <c r="I10" s="2764"/>
    </row>
    <row r="11" spans="1:9" ht="15">
      <c r="A11" s="2762" t="s">
        <v>1280</v>
      </c>
      <c r="B11" s="2762"/>
      <c r="C11" s="2762"/>
      <c r="D11" s="2763" t="str">
        <f>IF('数据-取费表'!E3="否",结果表!D128,'结果表 (1修多)'!D131)</f>
        <v>——</v>
      </c>
      <c r="E11" s="2763"/>
      <c r="F11" s="2763"/>
      <c r="G11" s="2763"/>
      <c r="H11" s="2763"/>
      <c r="I11" s="2763"/>
    </row>
    <row r="12" spans="1:9" ht="15.75">
      <c r="A12" s="2764" t="str">
        <f>IF('数据-取费表'!E3="否",结果表!A129,'结果表 (1修多)'!A132)</f>
        <v/>
      </c>
      <c r="B12" s="2764"/>
      <c r="C12" s="2764"/>
      <c r="D12" s="2764" t="str">
        <f>IF('数据-取费表'!E3="否",结果表!D129,'结果表 (1修多)'!D132)</f>
        <v>——</v>
      </c>
      <c r="E12" s="2764"/>
      <c r="F12" s="2764"/>
      <c r="G12" s="2764"/>
      <c r="H12" s="2764"/>
      <c r="I12" s="2764"/>
    </row>
    <row r="13" spans="1:9" ht="15.75" thickBot="1">
      <c r="A13" s="2765" t="s">
        <v>1280</v>
      </c>
      <c r="B13" s="2765"/>
      <c r="C13" s="2765"/>
      <c r="D13" s="2766">
        <f>IF('数据-取费表'!E3="否",结果表!D130,'结果表 (1修多)'!D133)</f>
        <v>0</v>
      </c>
      <c r="E13" s="2766"/>
      <c r="F13" s="2766"/>
      <c r="G13" s="2766"/>
      <c r="H13" s="2766"/>
      <c r="I13" s="2766"/>
    </row>
    <row r="14" spans="1:9" ht="15" thickTop="1">
      <c r="A14" s="2767" t="str">
        <f>IF('数据-取费表'!E3="否",结果表!A131,'结果表 (1修多)'!A134)</f>
        <v>单位：平方米、元、元/平方米（币种：人民币）</v>
      </c>
      <c r="B14" s="2767"/>
      <c r="C14" s="2767"/>
      <c r="D14" s="2767"/>
      <c r="E14" s="2767"/>
      <c r="F14" s="2767"/>
      <c r="G14" s="2767"/>
      <c r="H14" s="2767"/>
      <c r="I14" s="2767"/>
    </row>
    <row r="15" spans="1:9">
      <c r="A15" s="715"/>
      <c r="B15" s="715"/>
      <c r="C15" s="715"/>
      <c r="D15" s="715"/>
      <c r="E15" s="715"/>
      <c r="F15" s="715"/>
      <c r="G15" s="715"/>
      <c r="H15" s="715"/>
      <c r="I15" s="715"/>
    </row>
    <row r="16" spans="1:9" ht="18.75">
      <c r="A16" s="1952"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74" t="s">
        <v>1294</v>
      </c>
      <c r="B1" s="2774"/>
      <c r="C1" s="2774"/>
      <c r="D1" s="2774"/>
    </row>
    <row r="2" spans="1:4" ht="18">
      <c r="A2" s="2773" t="s">
        <v>1282</v>
      </c>
      <c r="B2" s="2773"/>
      <c r="C2" s="2773"/>
      <c r="D2" s="2773"/>
    </row>
    <row r="3" spans="1:4" ht="18.75">
      <c r="A3" s="1953" t="s">
        <v>1283</v>
      </c>
      <c r="B3" s="1953" t="s">
        <v>1284</v>
      </c>
      <c r="C3" s="1953" t="s">
        <v>1285</v>
      </c>
      <c r="D3" s="1953" t="s">
        <v>1286</v>
      </c>
    </row>
    <row r="4" spans="1:4" ht="56.25" customHeight="1">
      <c r="A4" s="1954" t="str">
        <f>项目基本情况!B3</f>
        <v>叶凌</v>
      </c>
      <c r="B4" s="1955">
        <f ca="1">项目基本情况!C3</f>
        <v>1119970111</v>
      </c>
      <c r="C4" s="1956"/>
      <c r="D4" s="1957" t="s">
        <v>1295</v>
      </c>
    </row>
    <row r="5" spans="1:4" ht="56.25" customHeight="1">
      <c r="A5" s="1954" t="str">
        <f>项目基本情况!D3</f>
        <v>杨红英</v>
      </c>
      <c r="B5" s="1955">
        <f ca="1">项目基本情况!E3</f>
        <v>1120070085</v>
      </c>
      <c r="C5" s="1958"/>
      <c r="D5" s="1957" t="s">
        <v>1295</v>
      </c>
    </row>
    <row r="6" spans="1:4" ht="12" customHeight="1">
      <c r="A6" s="1954"/>
      <c r="B6" s="1955"/>
      <c r="C6" s="1959"/>
      <c r="D6" s="1957"/>
    </row>
    <row r="7" spans="1:4" ht="18">
      <c r="A7" s="2773" t="s">
        <v>1287</v>
      </c>
      <c r="B7" s="2773"/>
      <c r="C7" s="2773"/>
      <c r="D7" s="2773"/>
    </row>
    <row r="8" spans="1:4" ht="18.75">
      <c r="A8" s="1953" t="s">
        <v>1283</v>
      </c>
      <c r="B8" s="1955" t="s">
        <v>1288</v>
      </c>
      <c r="C8" s="1953" t="s">
        <v>1285</v>
      </c>
      <c r="D8" s="1953" t="s">
        <v>1286</v>
      </c>
    </row>
    <row r="9" spans="1:4" ht="56.25" customHeight="1">
      <c r="A9" s="1960" t="s">
        <v>783</v>
      </c>
      <c r="B9" s="1960" t="s">
        <v>784</v>
      </c>
      <c r="C9" s="1956"/>
      <c r="D9" s="1957" t="s">
        <v>1295</v>
      </c>
    </row>
    <row r="11" spans="1:4" ht="18.75">
      <c r="A11" s="1961" t="s">
        <v>1289</v>
      </c>
    </row>
    <row r="12" spans="1:4" ht="30" customHeight="1">
      <c r="A12" s="2775" t="s">
        <v>1296</v>
      </c>
      <c r="B12" s="2776"/>
      <c r="C12" s="2776"/>
      <c r="D12" s="2776"/>
    </row>
    <row r="13" spans="1:4" ht="15.75">
      <c r="A13" s="27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6"/>
      <c r="C13" s="2776"/>
      <c r="D13" s="2776"/>
    </row>
    <row r="14" spans="1:4" ht="30" customHeight="1">
      <c r="A14" s="2775" t="str">
        <f>IF(项目基本情况!D4="抵押","3.抵押双方在办理抵押登记手续时，应使用本公司出具的正式《房地产评估报告》，特提醒报告使用者注意。","——")</f>
        <v>——</v>
      </c>
      <c r="B14" s="2776"/>
      <c r="C14" s="2776"/>
      <c r="D14" s="2776"/>
    </row>
    <row r="15" spans="1:4" ht="15.75" customHeight="1">
      <c r="A15" s="2775" t="str">
        <f>IF(项目基本情况!D4="抵押","4.本次评估估价师所知悉的法定优先受偿款情况说明如下：","——")</f>
        <v>——</v>
      </c>
      <c r="B15" s="2776"/>
      <c r="C15" s="2776"/>
      <c r="D15" s="2776"/>
    </row>
    <row r="16" spans="1:4" ht="75" customHeight="1">
      <c r="A16" s="2775" t="str">
        <f>IF(项目基本情况!D4="抵押",CONCATENATE(项目基本情况!J13,项目基本情况!J14,项目基本情况!J15),"——")</f>
        <v>——</v>
      </c>
      <c r="B16" s="2775"/>
      <c r="C16" s="2775"/>
      <c r="D16" s="2775"/>
    </row>
    <row r="17" spans="1:4" ht="63.75" customHeight="1">
      <c r="A17" s="2777" t="s">
        <v>1297</v>
      </c>
      <c r="B17" s="2777"/>
      <c r="C17" s="2777"/>
      <c r="D17" s="2777"/>
    </row>
    <row r="18" spans="1:4" ht="15.75" customHeight="1">
      <c r="A18" s="2775" t="str">
        <f>IF(项目基本情况!D4="抵押",结果表!K106,"——")</f>
        <v>——</v>
      </c>
      <c r="B18" s="2775"/>
      <c r="C18" s="2775"/>
      <c r="D18" s="2775"/>
    </row>
    <row r="19" spans="1:4" ht="46.5" customHeight="1">
      <c r="A19" s="27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5"/>
      <c r="C19" s="2775"/>
      <c r="D19" s="2775"/>
    </row>
    <row r="20" spans="1:4" ht="15">
      <c r="A20" s="2777" t="s">
        <v>1290</v>
      </c>
      <c r="B20" s="2777"/>
      <c r="C20" s="2777"/>
      <c r="D20" s="2777"/>
    </row>
    <row r="21" spans="1:4">
      <c r="A21" s="1962"/>
      <c r="B21" s="1289"/>
      <c r="C21" s="1289"/>
      <c r="D21" s="1289"/>
    </row>
    <row r="22" spans="1:4">
      <c r="A22" s="1962"/>
      <c r="B22" s="1289"/>
      <c r="C22" s="1289"/>
      <c r="D22" s="1289"/>
    </row>
    <row r="23" spans="1:4" ht="18.75">
      <c r="A23" s="1923" t="s">
        <v>1291</v>
      </c>
    </row>
    <row r="24" spans="1:4" ht="18">
      <c r="A24" s="1923"/>
    </row>
    <row r="25" spans="1:4" ht="18.75">
      <c r="A25" s="1923" t="s">
        <v>1292</v>
      </c>
    </row>
    <row r="28" spans="1:4" ht="21" customHeight="1">
      <c r="D28" s="1963" t="s">
        <v>1293</v>
      </c>
    </row>
    <row r="29" spans="1:4" ht="21" customHeight="1">
      <c r="C29" s="1964"/>
      <c r="D29" s="196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5"/>
  </cols>
  <sheetData>
    <row r="1" spans="1:7" s="1952" customFormat="1" ht="18.75">
      <c r="A1" s="713" t="s">
        <v>1364</v>
      </c>
    </row>
    <row r="3" spans="1:7" ht="14.25">
      <c r="A3" s="1969" t="s">
        <v>1365</v>
      </c>
      <c r="B3" s="715" t="s">
        <v>1366</v>
      </c>
      <c r="G3" s="1970"/>
    </row>
    <row r="4" spans="1:7">
      <c r="G4" s="1970"/>
    </row>
    <row r="5" spans="1:7" ht="14.25">
      <c r="A5" s="1972" t="s">
        <v>1367</v>
      </c>
      <c r="B5" s="715" t="s">
        <v>1368</v>
      </c>
      <c r="G5" s="1970"/>
    </row>
    <row r="6" spans="1:7">
      <c r="G6" s="1970"/>
    </row>
    <row r="7" spans="1:7" ht="14.25">
      <c r="A7" s="1973" t="s">
        <v>1369</v>
      </c>
      <c r="B7" s="715" t="s">
        <v>1370</v>
      </c>
      <c r="G7" s="1970"/>
    </row>
    <row r="8" spans="1:7">
      <c r="G8" s="1970"/>
    </row>
    <row r="9" spans="1:7">
      <c r="A9" s="1974" t="s">
        <v>1371</v>
      </c>
      <c r="B9" s="715" t="s">
        <v>1372</v>
      </c>
    </row>
    <row r="11" spans="1:7">
      <c r="A11" s="1975" t="s">
        <v>1373</v>
      </c>
      <c r="B11" s="1976" t="s">
        <v>1374</v>
      </c>
    </row>
    <row r="13" spans="1:7">
      <c r="A13" s="1680" t="s">
        <v>1375</v>
      </c>
    </row>
    <row r="15" spans="1:7" ht="14.25">
      <c r="A15" s="2783" t="s">
        <v>1376</v>
      </c>
      <c r="B15" s="2778" t="s">
        <v>1377</v>
      </c>
      <c r="C15" s="2779"/>
    </row>
    <row r="16" spans="1:7" ht="14.25">
      <c r="A16" s="2784"/>
      <c r="B16" s="2778" t="s">
        <v>1378</v>
      </c>
      <c r="C16" s="2779"/>
    </row>
    <row r="17" spans="1:3" ht="14.25">
      <c r="A17" s="2784"/>
      <c r="B17" s="2778" t="s">
        <v>1379</v>
      </c>
      <c r="C17" s="2779"/>
    </row>
    <row r="18" spans="1:3" ht="14.25">
      <c r="A18" s="2785"/>
      <c r="B18" s="2780" t="s">
        <v>1380</v>
      </c>
      <c r="C18" s="2779"/>
    </row>
    <row r="19" spans="1:3" ht="14.25">
      <c r="A19" s="1977" t="s">
        <v>1381</v>
      </c>
      <c r="B19" s="1978"/>
      <c r="C19" s="1979"/>
    </row>
    <row r="20" spans="1:3" ht="14.25">
      <c r="A20" s="2781" t="s">
        <v>1382</v>
      </c>
      <c r="B20" s="2780" t="s">
        <v>1383</v>
      </c>
      <c r="C20" s="2779"/>
    </row>
    <row r="21" spans="1:3" ht="14.25">
      <c r="A21" s="2781"/>
      <c r="B21" s="2780" t="s">
        <v>1384</v>
      </c>
      <c r="C21" s="2779"/>
    </row>
    <row r="22" spans="1:3" ht="14.25">
      <c r="A22" s="2781"/>
      <c r="B22" s="2780" t="s">
        <v>1385</v>
      </c>
      <c r="C22" s="2779"/>
    </row>
    <row r="23" spans="1:3" ht="14.25">
      <c r="A23" s="2781"/>
      <c r="B23" s="2782" t="s">
        <v>1386</v>
      </c>
      <c r="C23" s="1980" t="s">
        <v>1387</v>
      </c>
    </row>
    <row r="24" spans="1:3" ht="14.25">
      <c r="A24" s="2781"/>
      <c r="B24" s="2782"/>
      <c r="C24" s="1980" t="s">
        <v>1388</v>
      </c>
    </row>
    <row r="25" spans="1:3" ht="14.25">
      <c r="A25" s="2781"/>
      <c r="B25" s="2782"/>
      <c r="C25" s="1980" t="s">
        <v>1389</v>
      </c>
    </row>
    <row r="26" spans="1:3" ht="14.25">
      <c r="A26" s="2781"/>
      <c r="B26" s="2782"/>
      <c r="C26" s="1980" t="s">
        <v>1390</v>
      </c>
    </row>
    <row r="27" spans="1:3" ht="14.25">
      <c r="A27" s="2781"/>
      <c r="B27" s="2782"/>
      <c r="C27" s="1980" t="s">
        <v>1391</v>
      </c>
    </row>
    <row r="28" spans="1:3" ht="14.25">
      <c r="A28" s="2781"/>
      <c r="B28" s="2782"/>
      <c r="C28" s="1980" t="s">
        <v>1392</v>
      </c>
    </row>
    <row r="29" spans="1:3" ht="14.25">
      <c r="A29" s="2781"/>
      <c r="B29" s="2782"/>
      <c r="C29" s="1980" t="s">
        <v>1393</v>
      </c>
    </row>
    <row r="30" spans="1:3" ht="14.25">
      <c r="A30" s="2781"/>
      <c r="B30" s="2782"/>
      <c r="C30" s="1980" t="s">
        <v>1394</v>
      </c>
    </row>
    <row r="31" spans="1:3" ht="14.25">
      <c r="A31" s="2781"/>
      <c r="B31" s="2782"/>
      <c r="C31" s="1980" t="s">
        <v>1395</v>
      </c>
    </row>
    <row r="32" spans="1:3">
      <c r="A32" s="1981"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43486</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2807</v>
      </c>
      <c r="B14" s="1030">
        <f ca="1">IF(C14&lt;B2,"已过期",1120040230)</f>
        <v>1120040230</v>
      </c>
      <c r="C14" s="2726">
        <v>43835</v>
      </c>
      <c r="D14" s="1811" t="str">
        <f t="shared" ca="1" si="0"/>
        <v>苏海（注册号：1120040230）</v>
      </c>
      <c r="E14" s="2727" t="s">
        <v>2807</v>
      </c>
      <c r="F14" s="1030">
        <f ca="1">IF(G14&lt;B2,"已过期",98030020)</f>
        <v>98030020</v>
      </c>
      <c r="G14" s="1038">
        <v>47118</v>
      </c>
      <c r="H14" s="1812" t="str">
        <f t="shared" ca="1" si="1"/>
        <v>苏海（注册号：98030020）</v>
      </c>
    </row>
    <row r="15" spans="1:8" ht="24" customHeight="1">
      <c r="A15" s="1813" t="s">
        <v>2809</v>
      </c>
      <c r="B15" s="1030">
        <f ca="1">IF(C15&lt;B2,"已过期",1120070085)</f>
        <v>1120070085</v>
      </c>
      <c r="C15" s="2726">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7" t="s">
        <v>2808</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786" t="s">
        <v>766</v>
      </c>
      <c r="B25" s="2786"/>
      <c r="C25" s="2786"/>
      <c r="D25" s="2786"/>
      <c r="E25" s="2786"/>
      <c r="F25" s="2786"/>
      <c r="G25" s="2786"/>
      <c r="H25" s="2786"/>
    </row>
    <row r="26" spans="1:8" s="1033" customFormat="1" ht="24" customHeight="1">
      <c r="A26" s="2787" t="s">
        <v>767</v>
      </c>
      <c r="B26" s="2787"/>
      <c r="C26" s="2787"/>
      <c r="D26" s="1061"/>
      <c r="E26" s="1061"/>
      <c r="F26" s="2787" t="s">
        <v>768</v>
      </c>
      <c r="G26" s="2787"/>
      <c r="H26" s="2787"/>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1255</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2" t="s">
        <v>1397</v>
      </c>
      <c r="B1" s="4" t="s">
        <v>1398</v>
      </c>
      <c r="C1" s="1983" t="s">
        <v>1399</v>
      </c>
      <c r="D1" s="5" t="s">
        <v>1400</v>
      </c>
      <c r="E1" s="5" t="s">
        <v>1401</v>
      </c>
      <c r="F1" s="5" t="s">
        <v>1402</v>
      </c>
      <c r="G1" s="5" t="s">
        <v>1403</v>
      </c>
      <c r="H1" s="5" t="s">
        <v>1404</v>
      </c>
      <c r="I1" s="5" t="s">
        <v>1405</v>
      </c>
      <c r="J1" s="5" t="s">
        <v>1406</v>
      </c>
      <c r="K1" s="5" t="s">
        <v>1407</v>
      </c>
      <c r="L1" s="5" t="s">
        <v>1408</v>
      </c>
      <c r="M1" s="5" t="s">
        <v>1409</v>
      </c>
      <c r="N1" s="5" t="s">
        <v>1410</v>
      </c>
      <c r="O1" s="5" t="s">
        <v>1411</v>
      </c>
      <c r="P1" s="1984" t="s">
        <v>1412</v>
      </c>
      <c r="Q1" s="1984" t="s">
        <v>1413</v>
      </c>
      <c r="R1" s="1984" t="s">
        <v>1414</v>
      </c>
      <c r="S1" s="5" t="s">
        <v>1415</v>
      </c>
      <c r="T1" s="6" t="s">
        <v>1416</v>
      </c>
      <c r="U1" s="5" t="s">
        <v>1417</v>
      </c>
      <c r="V1" s="5" t="s">
        <v>1418</v>
      </c>
      <c r="W1" s="5" t="s">
        <v>1419</v>
      </c>
      <c r="X1" s="5" t="s">
        <v>1420</v>
      </c>
      <c r="Y1" s="5" t="s">
        <v>1421</v>
      </c>
    </row>
    <row r="2" spans="1:25">
      <c r="A2" s="1985" t="s">
        <v>33</v>
      </c>
      <c r="B2" s="1985" t="s">
        <v>1422</v>
      </c>
      <c r="C2" s="1986"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5" t="s">
        <v>1435</v>
      </c>
      <c r="B3" s="1987" t="s">
        <v>1436</v>
      </c>
      <c r="C3" s="1276"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5" t="s">
        <v>1448</v>
      </c>
      <c r="B4" s="1987" t="s">
        <v>1449</v>
      </c>
      <c r="C4" s="1986"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5" t="s">
        <v>1459</v>
      </c>
      <c r="B5" s="1985" t="s">
        <v>1460</v>
      </c>
      <c r="C5" s="1986"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8"/>
    </row>
    <row r="6" spans="1:25">
      <c r="A6" s="1985" t="s">
        <v>1468</v>
      </c>
      <c r="B6" s="1985" t="s">
        <v>1469</v>
      </c>
      <c r="C6" s="1245"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8"/>
    </row>
    <row r="7" spans="1:25">
      <c r="A7" s="1985" t="s">
        <v>1476</v>
      </c>
      <c r="B7" s="1987" t="s">
        <v>1477</v>
      </c>
      <c r="C7" s="1986" t="s">
        <v>1478</v>
      </c>
      <c r="F7" s="7" t="s">
        <v>1479</v>
      </c>
      <c r="H7" s="7" t="s">
        <v>1480</v>
      </c>
      <c r="I7" s="7" t="s">
        <v>1481</v>
      </c>
      <c r="X7" s="1988"/>
    </row>
    <row r="8" spans="1:25">
      <c r="A8" s="1985" t="s">
        <v>1482</v>
      </c>
      <c r="B8" s="1987" t="s">
        <v>1483</v>
      </c>
      <c r="C8" s="1986" t="s">
        <v>1484</v>
      </c>
      <c r="F8" s="7" t="s">
        <v>1485</v>
      </c>
      <c r="H8" s="7" t="s">
        <v>1486</v>
      </c>
      <c r="I8" s="7" t="s">
        <v>1487</v>
      </c>
      <c r="X8" s="1988"/>
    </row>
    <row r="9" spans="1:25">
      <c r="A9" s="1985" t="s">
        <v>1488</v>
      </c>
      <c r="B9" s="1985" t="s">
        <v>1489</v>
      </c>
      <c r="C9" s="1986" t="s">
        <v>1490</v>
      </c>
      <c r="F9" s="7" t="s">
        <v>1491</v>
      </c>
      <c r="H9" s="7" t="s">
        <v>1492</v>
      </c>
    </row>
    <row r="10" spans="1:25">
      <c r="A10" s="1985" t="s">
        <v>1493</v>
      </c>
      <c r="B10" s="1985" t="s">
        <v>1494</v>
      </c>
      <c r="C10" s="1986" t="s">
        <v>1495</v>
      </c>
      <c r="F10" s="7" t="s">
        <v>13</v>
      </c>
    </row>
    <row r="11" spans="1:25">
      <c r="A11" s="1985" t="s">
        <v>1496</v>
      </c>
      <c r="B11" s="1985" t="s">
        <v>1497</v>
      </c>
      <c r="C11" s="1986" t="s">
        <v>1498</v>
      </c>
    </row>
    <row r="12" spans="1:25">
      <c r="A12" s="1985" t="s">
        <v>1499</v>
      </c>
      <c r="B12" s="1985" t="s">
        <v>1500</v>
      </c>
      <c r="C12" s="1986" t="s">
        <v>1501</v>
      </c>
    </row>
    <row r="13" spans="1:25">
      <c r="A13" s="1985" t="s">
        <v>1502</v>
      </c>
      <c r="B13" s="1985" t="s">
        <v>1503</v>
      </c>
      <c r="C13" s="1986" t="s">
        <v>1504</v>
      </c>
    </row>
    <row r="14" spans="1:25">
      <c r="A14" s="1985" t="s">
        <v>1505</v>
      </c>
      <c r="B14" s="1985" t="s">
        <v>1506</v>
      </c>
      <c r="C14" s="1986"/>
    </row>
    <row r="15" spans="1:25">
      <c r="A15" s="1985" t="s">
        <v>1507</v>
      </c>
      <c r="B15" s="1985" t="s">
        <v>1508</v>
      </c>
      <c r="C15" s="1986"/>
    </row>
    <row r="16" spans="1:25">
      <c r="A16" s="1985" t="s">
        <v>1509</v>
      </c>
      <c r="B16" s="1985" t="s">
        <v>1510</v>
      </c>
      <c r="C16" s="1986"/>
    </row>
    <row r="17" spans="1:3">
      <c r="A17" s="1985" t="s">
        <v>1511</v>
      </c>
      <c r="B17" s="1985" t="s">
        <v>1512</v>
      </c>
      <c r="C17" s="1986"/>
    </row>
    <row r="18" spans="1:3">
      <c r="A18" s="1985" t="s">
        <v>1513</v>
      </c>
      <c r="B18" s="1985" t="s">
        <v>1514</v>
      </c>
      <c r="C18" s="1986"/>
    </row>
    <row r="19" spans="1:3">
      <c r="A19" s="1985" t="s">
        <v>1515</v>
      </c>
      <c r="B19" s="1985" t="s">
        <v>1516</v>
      </c>
      <c r="C19" s="1986"/>
    </row>
    <row r="20" spans="1:3">
      <c r="A20" s="1985" t="s">
        <v>1517</v>
      </c>
      <c r="B20" s="1985" t="s">
        <v>740</v>
      </c>
      <c r="C20" s="1986"/>
    </row>
    <row r="21" spans="1:3">
      <c r="A21" s="1985" t="s">
        <v>1518</v>
      </c>
      <c r="B21" s="1985" t="s">
        <v>740</v>
      </c>
      <c r="C21" s="1986"/>
    </row>
    <row r="22" spans="1:3">
      <c r="A22" s="1985" t="s">
        <v>1519</v>
      </c>
      <c r="B22" s="1985" t="s">
        <v>740</v>
      </c>
      <c r="C22" s="1986"/>
    </row>
    <row r="23" spans="1:3">
      <c r="A23" s="1985" t="s">
        <v>1520</v>
      </c>
      <c r="B23" s="1985" t="s">
        <v>740</v>
      </c>
      <c r="C23" s="1986"/>
    </row>
    <row r="24" spans="1:3">
      <c r="A24" s="1985" t="s">
        <v>1521</v>
      </c>
      <c r="B24" s="1985" t="s">
        <v>740</v>
      </c>
      <c r="C24" s="1986"/>
    </row>
    <row r="25" spans="1:3">
      <c r="A25" s="1985" t="s">
        <v>1522</v>
      </c>
      <c r="B25" s="1985" t="s">
        <v>740</v>
      </c>
      <c r="C25" s="1986"/>
    </row>
    <row r="26" spans="1:3">
      <c r="A26" s="1985" t="s">
        <v>1523</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89" t="s">
        <v>1526</v>
      </c>
      <c r="B52" s="1989" t="s">
        <v>1527</v>
      </c>
      <c r="C52" s="9" t="s">
        <v>1528</v>
      </c>
      <c r="D52" s="9" t="s">
        <v>1529</v>
      </c>
    </row>
    <row r="53" spans="1:4" ht="14.25" customHeight="1">
      <c r="A53" s="2788"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本次估价的“房地产价值”是指在正常市场情况下，在价值时点2018年12月5日，估价对象规划用途为，假定未设立法定优先受偿款下的房地产市场价值。</v>
      </c>
    </row>
    <row r="54" spans="1:4">
      <c r="A54" s="2788"/>
      <c r="B54" s="9" t="s">
        <v>1532</v>
      </c>
      <c r="C54" s="9" t="s">
        <v>1533</v>
      </c>
    </row>
    <row r="55" spans="1:4">
      <c r="A55" s="2788"/>
      <c r="B55" s="9" t="s">
        <v>1534</v>
      </c>
      <c r="C55" s="9" t="s">
        <v>1535</v>
      </c>
    </row>
    <row r="56" spans="1:4">
      <c r="A56" s="2788"/>
      <c r="B56" s="9" t="s">
        <v>1536</v>
      </c>
      <c r="C56" s="9" t="s">
        <v>1537</v>
      </c>
    </row>
    <row r="57" spans="1:4">
      <c r="A57" s="2788"/>
      <c r="B57" s="9" t="s">
        <v>1538</v>
      </c>
      <c r="C57" s="9" t="s">
        <v>1539</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8" sqref="C18"/>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1" t="s">
        <v>1540</v>
      </c>
      <c r="B1" s="1992" t="str">
        <f>IF(B6="北京市","北京市",C6)&amp;IF(E12="房屋所有权证",B28,E28)&amp;D5&amp;"预评估"</f>
        <v>北京市预评估</v>
      </c>
      <c r="C1" s="1062"/>
      <c r="D1" s="1993"/>
      <c r="E1" s="1062"/>
      <c r="F1" s="1994" t="s">
        <v>1541</v>
      </c>
      <c r="G1" s="1681"/>
      <c r="I1" s="1019" t="str">
        <f>IF(B6="北京市","北京市",C6)&amp;IF(E12="房屋所有权证",B28,E28)&amp;"房地产"</f>
        <v>北京市房地产</v>
      </c>
    </row>
    <row r="2" spans="1:10" ht="13.5" thickTop="1">
      <c r="A2" s="1995" t="s">
        <v>1542</v>
      </c>
      <c r="B2" s="1087">
        <v>43439</v>
      </c>
      <c r="C2" s="1996" t="s">
        <v>1543</v>
      </c>
      <c r="D2" s="1087">
        <v>43439</v>
      </c>
      <c r="E2" s="1063"/>
      <c r="F2" s="1063"/>
      <c r="G2" s="1682"/>
      <c r="H2" s="1019"/>
    </row>
    <row r="3" spans="1:10" ht="13.5" thickBot="1">
      <c r="A3" s="1997" t="s">
        <v>1544</v>
      </c>
      <c r="B3" s="1998" t="s">
        <v>2816</v>
      </c>
      <c r="C3" s="1064">
        <f ca="1">SUMIF(注册房地产估价师,B3,估价师及机构信息!B3:B24)</f>
        <v>1119970111</v>
      </c>
      <c r="D3" s="1998" t="s">
        <v>2817</v>
      </c>
      <c r="E3" s="1065">
        <f ca="1">SUMIF(注册房地产估价师,D3,估价师及机构信息!B3:B24)</f>
        <v>1120070085</v>
      </c>
      <c r="F3" s="1066"/>
      <c r="G3" s="1683"/>
      <c r="H3" s="1019"/>
    </row>
    <row r="4" spans="1:10" ht="13.5" customHeight="1" thickTop="1">
      <c r="A4" s="1999" t="s">
        <v>1545</v>
      </c>
      <c r="B4" s="2000"/>
      <c r="C4" s="2001" t="s">
        <v>1546</v>
      </c>
      <c r="D4" s="2002"/>
      <c r="E4" s="1063"/>
      <c r="F4" s="1063"/>
      <c r="G4" s="1682"/>
    </row>
    <row r="5" spans="1:10">
      <c r="A5" s="2003" t="s">
        <v>1547</v>
      </c>
      <c r="B5" s="2004"/>
      <c r="C5" s="2005" t="s">
        <v>1548</v>
      </c>
      <c r="D5" s="2006"/>
      <c r="E5" s="2007" t="s">
        <v>1549</v>
      </c>
      <c r="F5" s="2008"/>
      <c r="G5" s="2009"/>
      <c r="I5" s="1019" t="str">
        <f>IF(C16="否","截至估价时点，估价对象抵押权未见登记。","截至价值时点，估价对象已设定抵押。")</f>
        <v>截至价值时点，估价对象已设定抵押。</v>
      </c>
    </row>
    <row r="6" spans="1:10">
      <c r="A6" s="2010" t="s">
        <v>1550</v>
      </c>
      <c r="B6" s="2011" t="s">
        <v>2818</v>
      </c>
      <c r="C6" s="2012"/>
      <c r="D6" s="2013" t="s">
        <v>1551</v>
      </c>
      <c r="E6" s="1021"/>
      <c r="F6" s="1020"/>
      <c r="G6" s="1073"/>
      <c r="I6" s="1069" t="str">
        <f>IF(COUNTIF(B5,"*上海银行*"),"上海银行","")</f>
        <v/>
      </c>
    </row>
    <row r="7" spans="1:10" ht="13.5" thickBot="1">
      <c r="A7" s="1997" t="s">
        <v>1552</v>
      </c>
      <c r="B7" s="2014" t="s">
        <v>2819</v>
      </c>
      <c r="C7" s="2015" t="str">
        <f>IF(B7="自然人","姓名","名称")</f>
        <v>姓名</v>
      </c>
      <c r="D7" s="2016"/>
      <c r="E7" s="1067"/>
      <c r="F7" s="1066"/>
      <c r="G7" s="1683"/>
    </row>
    <row r="8" spans="1:10" ht="13.5" thickTop="1">
      <c r="A8" s="2799" t="s">
        <v>1553</v>
      </c>
      <c r="B8" s="2017" t="s">
        <v>1554</v>
      </c>
      <c r="C8" s="2811"/>
      <c r="D8" s="2812"/>
      <c r="E8" s="2018" t="s">
        <v>1555</v>
      </c>
      <c r="F8" s="2019" t="s">
        <v>1556</v>
      </c>
      <c r="G8" s="690">
        <f>C6</f>
        <v>0</v>
      </c>
    </row>
    <row r="9" spans="1:10">
      <c r="A9" s="2799"/>
      <c r="B9" s="344" t="s">
        <v>1557</v>
      </c>
      <c r="C9" s="2004"/>
      <c r="D9" s="2020"/>
      <c r="E9" s="1009" t="s">
        <v>1558</v>
      </c>
      <c r="F9" s="995" t="s">
        <v>161</v>
      </c>
      <c r="G9" s="1011"/>
    </row>
    <row r="10" spans="1:10" ht="13.5" thickBot="1">
      <c r="A10" s="2799"/>
      <c r="B10" s="344" t="s">
        <v>1559</v>
      </c>
      <c r="C10" s="2813"/>
      <c r="D10" s="2814"/>
      <c r="E10" s="2021" t="s">
        <v>1560</v>
      </c>
      <c r="F10" s="1012" t="s">
        <v>2820</v>
      </c>
      <c r="G10" s="1013"/>
    </row>
    <row r="11" spans="1:10" ht="13.5" thickBot="1">
      <c r="A11" s="2799"/>
      <c r="B11" s="2022" t="s">
        <v>1561</v>
      </c>
      <c r="C11" s="2815"/>
      <c r="D11" s="2816"/>
      <c r="E11" s="1021"/>
      <c r="F11" s="1020"/>
      <c r="G11" s="1073"/>
    </row>
    <row r="12" spans="1:10" ht="24.75" thickBot="1">
      <c r="A12" s="2802" t="s">
        <v>1562</v>
      </c>
      <c r="B12" s="2023" t="s">
        <v>1563</v>
      </c>
      <c r="C12" s="1015">
        <v>11.66</v>
      </c>
      <c r="D12" s="2023" t="s">
        <v>1564</v>
      </c>
      <c r="E12" s="2024" t="s">
        <v>1565</v>
      </c>
      <c r="F12" s="2025" t="s">
        <v>1566</v>
      </c>
      <c r="G12" s="1073"/>
    </row>
    <row r="13" spans="1:10" ht="21" customHeight="1" thickBot="1">
      <c r="A13" s="2803"/>
      <c r="B13" s="2026" t="s">
        <v>1567</v>
      </c>
      <c r="C13" s="1016"/>
      <c r="D13" s="2026" t="s">
        <v>1568</v>
      </c>
      <c r="E13" s="2027" t="s">
        <v>1565</v>
      </c>
      <c r="F13" s="1020"/>
      <c r="G13" s="1073"/>
      <c r="I13" s="2789" t="s">
        <v>1569</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1570</v>
      </c>
      <c r="C14" s="2031"/>
      <c r="D14" s="1020"/>
      <c r="E14" s="1020"/>
      <c r="F14" s="1020"/>
      <c r="G14" s="1073"/>
      <c r="I14" s="2789"/>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2"/>
      <c r="B15" s="2033" t="s">
        <v>1571</v>
      </c>
      <c r="C15" s="1068">
        <v>2.5</v>
      </c>
      <c r="D15" s="1066"/>
      <c r="E15" s="1066"/>
      <c r="F15" s="1066"/>
      <c r="G15" s="1683"/>
      <c r="I15" s="2789"/>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1572</v>
      </c>
      <c r="B16" s="2034" t="s">
        <v>1573</v>
      </c>
      <c r="C16" s="2035"/>
      <c r="D16" s="2036" t="s">
        <v>1574</v>
      </c>
      <c r="E16" s="2037"/>
      <c r="F16" s="2038" t="str">
        <f>IF(AND(C16="是",E16="否"),"是否提供他项权证或相关说明","")</f>
        <v/>
      </c>
      <c r="G16" s="2037"/>
      <c r="I16" s="1070"/>
      <c r="J16" s="1019"/>
    </row>
    <row r="17" spans="1:15" ht="13.5" customHeight="1">
      <c r="A17" s="2039" t="s">
        <v>1575</v>
      </c>
      <c r="B17" s="2817" t="s">
        <v>1576</v>
      </c>
      <c r="C17" s="2818"/>
      <c r="D17" s="2819" t="s">
        <v>1577</v>
      </c>
      <c r="E17" s="2820"/>
      <c r="F17" s="2040" t="s">
        <v>1578</v>
      </c>
      <c r="G17" s="2041"/>
      <c r="J17" s="1019"/>
    </row>
    <row r="18" spans="1:15" ht="24">
      <c r="A18" s="2039"/>
      <c r="B18" s="2042" t="s">
        <v>1579</v>
      </c>
      <c r="C18" s="2009" t="s">
        <v>1580</v>
      </c>
      <c r="D18" s="2043" t="s">
        <v>1581</v>
      </c>
      <c r="E18" s="2044" t="s">
        <v>1582</v>
      </c>
      <c r="F18" s="2045"/>
      <c r="G18" s="1866"/>
      <c r="H18" s="1019"/>
      <c r="J18" s="1019"/>
    </row>
    <row r="19" spans="1:15" ht="21.75" customHeight="1" thickBot="1">
      <c r="A19" s="2039"/>
      <c r="B19" s="2046"/>
      <c r="C19" s="2027"/>
      <c r="D19" s="2047"/>
      <c r="E19" s="1020"/>
      <c r="F19" s="1020"/>
      <c r="G19" s="1866"/>
    </row>
    <row r="20" spans="1:15">
      <c r="A20" s="2048" t="s">
        <v>1583</v>
      </c>
      <c r="B20" s="2049" t="s">
        <v>1584</v>
      </c>
      <c r="C20" s="2050"/>
      <c r="D20" s="2051" t="s">
        <v>1584</v>
      </c>
      <c r="E20" s="2050"/>
      <c r="F20" s="1020"/>
      <c r="G20" s="1866"/>
    </row>
    <row r="21" spans="1:15">
      <c r="A21" s="2052"/>
      <c r="B21" s="2053" t="s">
        <v>1585</v>
      </c>
      <c r="C21" s="2054"/>
      <c r="D21" s="2039" t="s">
        <v>1585</v>
      </c>
      <c r="E21" s="2055"/>
      <c r="F21" s="1020"/>
      <c r="G21" s="1866"/>
    </row>
    <row r="22" spans="1:15">
      <c r="A22" s="2052"/>
      <c r="B22" s="2056" t="s">
        <v>1586</v>
      </c>
      <c r="C22" s="2057"/>
      <c r="D22" s="2056" t="s">
        <v>1586</v>
      </c>
      <c r="E22" s="2055"/>
      <c r="F22" s="1020"/>
      <c r="G22" s="1866"/>
    </row>
    <row r="23" spans="1:15" s="1864" customFormat="1" ht="21" thickBot="1">
      <c r="A23" s="2058"/>
      <c r="B23" s="2059" t="s">
        <v>1587</v>
      </c>
      <c r="C23" s="2060"/>
      <c r="D23" s="2059" t="s">
        <v>1588</v>
      </c>
      <c r="E23" s="2061"/>
      <c r="F23" s="1020"/>
      <c r="G23" s="1866"/>
      <c r="H23" s="2062"/>
      <c r="I23" s="1865"/>
      <c r="K23" s="1863"/>
      <c r="L23" s="1863"/>
      <c r="M23" s="1863"/>
      <c r="O23" s="1865"/>
    </row>
    <row r="24" spans="1:15" ht="13.5" thickBot="1">
      <c r="A24" s="1071" t="s">
        <v>1589</v>
      </c>
      <c r="B24" s="1020"/>
      <c r="C24" s="1020"/>
      <c r="D24" s="1020"/>
      <c r="E24" s="1020"/>
      <c r="F24" s="1020"/>
      <c r="G24" s="1867"/>
      <c r="I24" s="1070"/>
      <c r="K24" s="1070"/>
    </row>
    <row r="25" spans="1:15" s="1080" customFormat="1" ht="13.5" thickBot="1">
      <c r="A25" s="994"/>
      <c r="B25" s="2063" t="s">
        <v>1590</v>
      </c>
      <c r="C25" s="994"/>
      <c r="D25" s="1014"/>
      <c r="E25" s="1017" t="s">
        <v>1591</v>
      </c>
      <c r="F25" s="994"/>
      <c r="G25" s="2064" t="s">
        <v>1592</v>
      </c>
      <c r="L25" s="1081"/>
      <c r="M25" s="1081"/>
      <c r="O25" s="1082"/>
    </row>
    <row r="26" spans="1:15" s="1080" customFormat="1" ht="13.5" thickBot="1">
      <c r="A26" s="994"/>
      <c r="B26" s="1088"/>
      <c r="C26" s="994"/>
      <c r="D26" s="1014"/>
      <c r="E26" s="1088"/>
      <c r="F26" s="994"/>
      <c r="G26" s="1684"/>
      <c r="L26" s="1081"/>
      <c r="M26" s="1081"/>
      <c r="O26" s="1082"/>
    </row>
    <row r="27" spans="1:15">
      <c r="A27" s="1006" t="s">
        <v>1593</v>
      </c>
      <c r="B27" s="1003"/>
      <c r="C27" s="2805" t="s">
        <v>1593</v>
      </c>
      <c r="D27" s="2806"/>
      <c r="E27" s="1003"/>
      <c r="F27" s="1010" t="s">
        <v>1593</v>
      </c>
      <c r="G27" s="1003"/>
      <c r="I27" s="1070"/>
      <c r="K27" s="1070"/>
    </row>
    <row r="28" spans="1:15">
      <c r="A28" s="1007" t="s">
        <v>1594</v>
      </c>
      <c r="B28" s="977"/>
      <c r="C28" s="2807" t="s">
        <v>1595</v>
      </c>
      <c r="D28" s="2808"/>
      <c r="E28" s="977"/>
      <c r="F28" s="1891" t="s">
        <v>1595</v>
      </c>
      <c r="G28" s="977"/>
      <c r="I28" s="1070"/>
      <c r="K28" s="1070"/>
    </row>
    <row r="29" spans="1:15">
      <c r="A29" s="1007" t="s">
        <v>1596</v>
      </c>
      <c r="B29" s="977"/>
      <c r="C29" s="2807" t="s">
        <v>1596</v>
      </c>
      <c r="D29" s="2808"/>
      <c r="E29" s="977"/>
      <c r="F29" s="1891" t="s">
        <v>1597</v>
      </c>
      <c r="G29" s="977"/>
      <c r="I29" s="1070"/>
      <c r="K29" s="1070"/>
    </row>
    <row r="30" spans="1:15">
      <c r="A30" s="1007" t="s">
        <v>1598</v>
      </c>
      <c r="B30" s="977"/>
      <c r="C30" s="2796" t="s">
        <v>1599</v>
      </c>
      <c r="D30" s="2065"/>
      <c r="E30" s="1022" t="str">
        <f>E31&amp;" "&amp;E32&amp;" "&amp;E33&amp;" "&amp;E34</f>
        <v xml:space="preserve">   </v>
      </c>
      <c r="F30" s="1891" t="s">
        <v>1600</v>
      </c>
      <c r="G30" s="977"/>
    </row>
    <row r="31" spans="1:15">
      <c r="A31" s="1007" t="s">
        <v>1601</v>
      </c>
      <c r="B31" s="977"/>
      <c r="C31" s="2797"/>
      <c r="D31" s="1890" t="s">
        <v>1602</v>
      </c>
      <c r="E31" s="977"/>
      <c r="F31" s="1891" t="s">
        <v>1603</v>
      </c>
      <c r="G31" s="977"/>
    </row>
    <row r="32" spans="1:15" ht="24.75" thickBot="1">
      <c r="A32" s="1008" t="s">
        <v>1604</v>
      </c>
      <c r="B32" s="1004"/>
      <c r="C32" s="2797"/>
      <c r="D32" s="1890" t="s">
        <v>1605</v>
      </c>
      <c r="E32" s="977"/>
      <c r="F32" s="1891" t="s">
        <v>1606</v>
      </c>
      <c r="G32" s="977"/>
    </row>
    <row r="33" spans="1:7">
      <c r="A33" s="1006" t="s">
        <v>1607</v>
      </c>
      <c r="B33" s="1003"/>
      <c r="C33" s="2797"/>
      <c r="D33" s="1890" t="s">
        <v>1608</v>
      </c>
      <c r="E33" s="977"/>
      <c r="F33" s="1891" t="s">
        <v>1609</v>
      </c>
      <c r="G33" s="977"/>
    </row>
    <row r="34" spans="1:7" ht="13.5" thickBot="1">
      <c r="A34" s="1007" t="s">
        <v>1610</v>
      </c>
      <c r="B34" s="977"/>
      <c r="C34" s="2798"/>
      <c r="D34" s="1890" t="s">
        <v>1611</v>
      </c>
      <c r="E34" s="977"/>
      <c r="F34" s="1892" t="s">
        <v>1612</v>
      </c>
      <c r="G34" s="1005"/>
    </row>
    <row r="35" spans="1:7">
      <c r="A35" s="1007" t="s">
        <v>1563</v>
      </c>
      <c r="B35" s="977"/>
      <c r="C35" s="2807" t="s">
        <v>1613</v>
      </c>
      <c r="D35" s="2808"/>
      <c r="E35" s="977"/>
      <c r="F35" s="1018" t="s">
        <v>1614</v>
      </c>
      <c r="G35" s="1003"/>
    </row>
    <row r="36" spans="1:7" ht="13.5" thickBot="1">
      <c r="A36" s="1007" t="s">
        <v>1615</v>
      </c>
      <c r="B36" s="977"/>
      <c r="C36" s="2809" t="s">
        <v>1616</v>
      </c>
      <c r="D36" s="2810"/>
      <c r="E36" s="1004"/>
      <c r="F36" s="1888" t="s">
        <v>1617</v>
      </c>
      <c r="G36" s="977"/>
    </row>
    <row r="37" spans="1:7" ht="13.5" thickBot="1">
      <c r="A37" s="1007" t="s">
        <v>1618</v>
      </c>
      <c r="B37" s="977"/>
      <c r="C37" s="2794" t="s">
        <v>1619</v>
      </c>
      <c r="D37" s="2066" t="s">
        <v>1603</v>
      </c>
      <c r="E37" s="1003"/>
      <c r="F37" s="1892" t="s">
        <v>1620</v>
      </c>
      <c r="G37" s="1004"/>
    </row>
    <row r="38" spans="1:7">
      <c r="A38" s="1007" t="s">
        <v>1621</v>
      </c>
      <c r="B38" s="977"/>
      <c r="C38" s="2800"/>
      <c r="D38" s="1890" t="s">
        <v>1610</v>
      </c>
      <c r="E38" s="977"/>
      <c r="F38" s="1010" t="s">
        <v>1622</v>
      </c>
      <c r="G38" s="1003"/>
    </row>
    <row r="39" spans="1:7">
      <c r="A39" s="1007" t="s">
        <v>1623</v>
      </c>
      <c r="B39" s="977"/>
      <c r="C39" s="2800" t="s">
        <v>1624</v>
      </c>
      <c r="D39" s="1890" t="s">
        <v>1563</v>
      </c>
      <c r="E39" s="977"/>
      <c r="F39" s="1891" t="s">
        <v>1625</v>
      </c>
      <c r="G39" s="977"/>
    </row>
    <row r="40" spans="1:7" ht="24.75" customHeight="1" thickBot="1">
      <c r="A40" s="1008" t="s">
        <v>1626</v>
      </c>
      <c r="B40" s="1004"/>
      <c r="C40" s="2801"/>
      <c r="D40" s="1893" t="s">
        <v>1567</v>
      </c>
      <c r="E40" s="1004"/>
      <c r="F40" s="1892" t="s">
        <v>1627</v>
      </c>
      <c r="G40" s="1004"/>
    </row>
    <row r="41" spans="1:7">
      <c r="A41" s="1009" t="s">
        <v>1628</v>
      </c>
      <c r="B41" s="1059"/>
      <c r="C41" s="2790" t="s">
        <v>1628</v>
      </c>
      <c r="D41" s="2791"/>
      <c r="E41" s="1059"/>
      <c r="F41" s="1010" t="s">
        <v>1629</v>
      </c>
      <c r="G41" s="1059"/>
    </row>
    <row r="42" spans="1:7">
      <c r="A42" s="1056" t="s">
        <v>1630</v>
      </c>
      <c r="B42" s="1060"/>
      <c r="C42" s="2067"/>
      <c r="D42" s="2068"/>
      <c r="E42" s="1060"/>
      <c r="F42" s="1058"/>
      <c r="G42" s="1060"/>
    </row>
    <row r="43" spans="1:7">
      <c r="A43" s="94" t="s">
        <v>1584</v>
      </c>
      <c r="B43" s="1057"/>
      <c r="C43" s="2067"/>
      <c r="D43" s="2069" t="s">
        <v>1584</v>
      </c>
      <c r="E43" s="1057"/>
      <c r="F43" s="94" t="s">
        <v>1584</v>
      </c>
      <c r="G43" s="1057"/>
    </row>
    <row r="44" spans="1:7">
      <c r="A44" s="94" t="s">
        <v>1585</v>
      </c>
      <c r="B44" s="1057"/>
      <c r="C44" s="2067"/>
      <c r="D44" s="2053" t="s">
        <v>1585</v>
      </c>
      <c r="E44" s="1057"/>
      <c r="F44" s="94" t="s">
        <v>1585</v>
      </c>
      <c r="G44" s="1057"/>
    </row>
    <row r="45" spans="1:7">
      <c r="A45" s="94" t="s">
        <v>1586</v>
      </c>
      <c r="B45" s="1057"/>
      <c r="C45" s="2067"/>
      <c r="D45" s="2053" t="s">
        <v>1586</v>
      </c>
      <c r="E45" s="1057"/>
      <c r="F45" s="94" t="s">
        <v>1586</v>
      </c>
      <c r="G45" s="1057"/>
    </row>
    <row r="46" spans="1:7">
      <c r="A46" s="94" t="s">
        <v>1587</v>
      </c>
      <c r="B46" s="1057"/>
      <c r="C46" s="2067"/>
      <c r="D46" s="2053" t="s">
        <v>1587</v>
      </c>
      <c r="E46" s="1057"/>
      <c r="F46" s="94" t="s">
        <v>1587</v>
      </c>
      <c r="G46" s="1057"/>
    </row>
    <row r="47" spans="1:7">
      <c r="A47" s="1056"/>
      <c r="B47" s="1057"/>
      <c r="C47" s="2067"/>
      <c r="D47" s="2068"/>
      <c r="E47" s="1057"/>
      <c r="F47" s="1058"/>
      <c r="G47" s="1057"/>
    </row>
    <row r="48" spans="1:7" ht="13.5" thickBot="1">
      <c r="A48" s="1008" t="s">
        <v>1631</v>
      </c>
      <c r="B48" s="1004"/>
      <c r="C48" s="2792" t="s">
        <v>1631</v>
      </c>
      <c r="D48" s="2793"/>
      <c r="E48" s="1054"/>
      <c r="F48" s="1892" t="s">
        <v>1632</v>
      </c>
      <c r="G48" s="1004"/>
    </row>
    <row r="49" spans="1:15">
      <c r="A49" s="1007" t="s">
        <v>1633</v>
      </c>
      <c r="B49" s="1053"/>
      <c r="C49" s="2794" t="s">
        <v>1634</v>
      </c>
      <c r="D49" s="2795"/>
      <c r="E49" s="1055"/>
      <c r="F49" s="1083"/>
      <c r="G49" s="1084"/>
    </row>
    <row r="50" spans="1:15" ht="13.5" thickBot="1">
      <c r="A50" s="1007" t="s">
        <v>1635</v>
      </c>
      <c r="B50" s="1053"/>
      <c r="C50" s="2801" t="s">
        <v>1636</v>
      </c>
      <c r="D50" s="2804"/>
      <c r="E50" s="1004"/>
      <c r="F50" s="1020"/>
      <c r="G50" s="1073"/>
    </row>
    <row r="51" spans="1:15">
      <c r="A51" s="1007" t="s">
        <v>1614</v>
      </c>
      <c r="B51" s="977"/>
      <c r="C51" s="1020"/>
      <c r="D51" s="1020"/>
      <c r="E51" s="1020"/>
      <c r="F51" s="1020"/>
      <c r="G51" s="1073"/>
    </row>
    <row r="52" spans="1:15" ht="24.75" thickBot="1">
      <c r="A52" s="1008" t="s">
        <v>1637</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1" t="s">
        <v>0</v>
      </c>
      <c r="B1" s="2821" t="s">
        <v>2</v>
      </c>
      <c r="C1" s="2821" t="s">
        <v>3</v>
      </c>
      <c r="D1" s="2822" t="s">
        <v>67</v>
      </c>
      <c r="E1" s="2822" t="s">
        <v>68</v>
      </c>
      <c r="F1" s="2822"/>
      <c r="G1" s="2822"/>
      <c r="H1" s="2822"/>
      <c r="I1" s="2822"/>
      <c r="J1" s="2822"/>
      <c r="K1" s="2822"/>
      <c r="L1" s="2822"/>
      <c r="M1" s="2822"/>
    </row>
    <row r="2" spans="1:13" ht="27" customHeight="1">
      <c r="A2" s="2821"/>
      <c r="B2" s="2821"/>
      <c r="C2" s="2821"/>
      <c r="D2" s="2822"/>
      <c r="E2" s="2822" t="s">
        <v>51</v>
      </c>
      <c r="F2" s="2822" t="s">
        <v>52</v>
      </c>
      <c r="G2" s="2822"/>
      <c r="H2" s="2822"/>
      <c r="I2" s="2822"/>
      <c r="J2" s="2822" t="s">
        <v>53</v>
      </c>
      <c r="K2" s="2822"/>
      <c r="L2" s="2822"/>
      <c r="M2" s="2822"/>
    </row>
    <row r="3" spans="1:13" ht="28.5">
      <c r="A3" s="2821"/>
      <c r="B3" s="2821"/>
      <c r="C3" s="2821"/>
      <c r="D3" s="2822"/>
      <c r="E3" s="282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2" t="s">
        <v>69</v>
      </c>
      <c r="B9" s="2822"/>
      <c r="C9" s="282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1"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1638</v>
      </c>
      <c r="B1" s="1236"/>
      <c r="C1" s="1236"/>
      <c r="D1" s="1851"/>
      <c r="E1" s="1851"/>
      <c r="AE1" s="1236"/>
      <c r="AF1" s="1236"/>
      <c r="AG1" s="1236"/>
      <c r="AH1" s="1236"/>
      <c r="AI1" s="1236"/>
      <c r="AJ1" s="1236"/>
      <c r="AK1" s="1236"/>
      <c r="AL1" s="1236"/>
      <c r="AM1" s="1236"/>
      <c r="AN1" s="1236"/>
      <c r="AO1" s="1236"/>
    </row>
    <row r="2" spans="1:41" s="2075" customFormat="1" ht="15.75" thickBot="1">
      <c r="A2" s="2072" t="s">
        <v>1639</v>
      </c>
      <c r="B2" s="1208">
        <f>项目基本情况!D2</f>
        <v>43439</v>
      </c>
      <c r="C2" s="1853"/>
      <c r="D2" s="2823" t="s">
        <v>1640</v>
      </c>
      <c r="E2" s="2073"/>
      <c r="F2" s="2074"/>
      <c r="G2" s="2074"/>
      <c r="H2" s="2074"/>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5" customFormat="1" ht="15" customHeight="1" thickBot="1">
      <c r="A3" s="387" t="s">
        <v>1641</v>
      </c>
      <c r="B3" s="2076" t="s">
        <v>2821</v>
      </c>
      <c r="C3" s="1853"/>
      <c r="D3" s="2824"/>
      <c r="E3" s="1187" t="s">
        <v>1642</v>
      </c>
      <c r="F3" s="2074"/>
      <c r="G3" s="2074"/>
      <c r="H3" s="2074"/>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5" customFormat="1" ht="15" thickBot="1">
      <c r="A4" s="1484" t="s">
        <v>1643</v>
      </c>
      <c r="B4" s="2076" t="s">
        <v>2822</v>
      </c>
      <c r="C4" s="1853"/>
      <c r="D4" s="2824"/>
      <c r="E4" s="1187"/>
      <c r="F4" s="2074"/>
      <c r="G4" s="2074"/>
      <c r="H4" s="2074"/>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5" customFormat="1" ht="15.75" thickBot="1">
      <c r="A5" s="2077" t="s">
        <v>1644</v>
      </c>
      <c r="B5" s="1317">
        <f>项目基本情况!C12</f>
        <v>11.66</v>
      </c>
      <c r="C5" s="1853"/>
      <c r="D5" s="2078" t="s">
        <v>1645</v>
      </c>
      <c r="E5" s="393"/>
      <c r="F5" s="2074"/>
      <c r="G5" s="2074"/>
      <c r="H5" s="2074"/>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5" customFormat="1" ht="15.75" thickBot="1">
      <c r="A6" s="2079" t="s">
        <v>1646</v>
      </c>
      <c r="B6" s="1318">
        <f>项目基本情况!C13</f>
        <v>0</v>
      </c>
      <c r="C6" s="1853"/>
      <c r="D6" s="2078" t="s">
        <v>1647</v>
      </c>
      <c r="E6" s="393"/>
      <c r="F6" s="2074"/>
      <c r="G6" s="2074"/>
      <c r="H6" s="2074"/>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5" customFormat="1" ht="15">
      <c r="A7" s="2080"/>
      <c r="B7" s="1853"/>
      <c r="C7" s="1853"/>
      <c r="D7" s="2081"/>
      <c r="E7" s="2081"/>
      <c r="F7" s="2074"/>
      <c r="G7" s="2074"/>
      <c r="H7" s="2074"/>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5" customFormat="1" ht="15">
      <c r="A8" s="2080"/>
      <c r="B8" s="1853"/>
      <c r="C8" s="1853"/>
      <c r="D8" s="2081"/>
      <c r="E8" s="2081"/>
      <c r="F8" s="2074"/>
      <c r="G8" s="2074"/>
      <c r="H8" s="2074"/>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5" customFormat="1" ht="15" thickBot="1">
      <c r="A9" s="1853"/>
      <c r="B9" s="1853"/>
      <c r="C9" s="1853"/>
      <c r="D9" s="2074"/>
      <c r="E9" s="2074"/>
      <c r="F9" s="2074"/>
      <c r="G9" s="2074"/>
      <c r="H9" s="2074"/>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5" customFormat="1" ht="15" thickBot="1">
      <c r="A10" s="2082" t="s">
        <v>1648</v>
      </c>
      <c r="B10" s="2083" t="s">
        <v>2823</v>
      </c>
      <c r="C10" s="1853"/>
      <c r="D10" s="2072" t="s">
        <v>1649</v>
      </c>
      <c r="E10" s="2084" t="s">
        <v>1650</v>
      </c>
      <c r="F10" s="1144" t="s">
        <v>1651</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8" customFormat="1" ht="14.25">
      <c r="A11" s="2085" t="s">
        <v>1652</v>
      </c>
      <c r="B11" s="989">
        <v>70</v>
      </c>
      <c r="C11" s="1853"/>
      <c r="D11" s="2086" t="s">
        <v>1653</v>
      </c>
      <c r="E11" s="34">
        <v>160</v>
      </c>
      <c r="F11" s="1852" t="s">
        <v>1654</v>
      </c>
      <c r="G11" s="1853"/>
      <c r="H11" s="1853"/>
      <c r="I11" s="1853"/>
      <c r="J11" s="1853"/>
      <c r="K11" s="1853"/>
      <c r="L11" s="2087"/>
      <c r="M11" s="2087"/>
      <c r="N11" s="2087"/>
      <c r="O11" s="2087"/>
      <c r="P11" s="2087"/>
      <c r="Q11" s="2087"/>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5" customFormat="1" ht="15">
      <c r="A12" s="2089" t="s">
        <v>1655</v>
      </c>
      <c r="B12" s="2090">
        <v>72686</v>
      </c>
      <c r="C12" s="1853"/>
      <c r="D12" s="2091" t="s">
        <v>1656</v>
      </c>
      <c r="E12" s="37"/>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5" customFormat="1" ht="15" thickBot="1">
      <c r="A13" s="2092" t="s">
        <v>1657</v>
      </c>
      <c r="B13" s="990">
        <f>IF(B12="",B11-(YEAR($B$2)-B26+B23),ROUNDDOWN(MIN((B12-$B$2)/365,B11),2))</f>
        <v>70</v>
      </c>
      <c r="C13" s="2093"/>
      <c r="D13" s="2094" t="s">
        <v>1658</v>
      </c>
      <c r="E13" s="39">
        <f>成本法!C9</f>
        <v>1866</v>
      </c>
      <c r="F13" s="1847" t="s">
        <v>1659</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5" customFormat="1" ht="14.25">
      <c r="A14" s="2089" t="s">
        <v>1660</v>
      </c>
      <c r="B14" s="991">
        <f>IF(ISERROR(ROUND(POWER(1+B15,B11-B13)*(POWER(1+B15,B13)-1)/(POWER(1+B15,B11)-1),3)),0,ROUND(POWER(1+B15,B11-B13)*(POWER(1+B15,B13)-1)/(POWER(1+B15,B11)-1),3))</f>
        <v>1</v>
      </c>
      <c r="C14" s="1853"/>
      <c r="D14" s="2095" t="s">
        <v>1661</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5" customFormat="1" ht="14.25">
      <c r="A15" s="2089" t="s">
        <v>1662</v>
      </c>
      <c r="B15" s="30">
        <v>0.04</v>
      </c>
      <c r="C15" s="1853"/>
      <c r="D15" s="2091" t="s">
        <v>1663</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5" customFormat="1" ht="15" thickBot="1">
      <c r="A16" s="2089" t="s">
        <v>1664</v>
      </c>
      <c r="B16" s="30">
        <v>4.4999999999999998E-2</v>
      </c>
      <c r="C16" s="1853"/>
      <c r="D16" s="2096" t="s">
        <v>1665</v>
      </c>
      <c r="E16" s="710"/>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5" customFormat="1" ht="15" thickBot="1">
      <c r="A17" s="2097" t="s">
        <v>1666</v>
      </c>
      <c r="B17" s="996">
        <v>0.08</v>
      </c>
      <c r="C17" s="1853"/>
      <c r="D17" s="2082" t="s">
        <v>1667</v>
      </c>
      <c r="E17" s="984">
        <v>1500</v>
      </c>
      <c r="F17" s="1236"/>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5" customFormat="1" ht="15" thickBot="1">
      <c r="A18" s="1853"/>
      <c r="B18" s="1853"/>
      <c r="C18" s="1853"/>
      <c r="D18" s="2098" t="str">
        <f>IF(B25=0,"建安总额","在建建安")</f>
        <v>建安总额</v>
      </c>
      <c r="E18" s="985">
        <f>ROUND(B5*E17*IF(B25=0,1,E20),0)</f>
        <v>17490</v>
      </c>
      <c r="F18" s="1319">
        <f>ROUND(E5*E17*IF(B25=0,1,E20),0)</f>
        <v>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5" customFormat="1" ht="15" thickBot="1">
      <c r="A19" s="25" t="s">
        <v>1668</v>
      </c>
      <c r="B19" s="1853"/>
      <c r="C19" s="1853"/>
      <c r="D19" s="2098" t="str">
        <f>IF(B25=0,"——","续建建安")</f>
        <v>——</v>
      </c>
      <c r="E19" s="985" t="str">
        <f>IF(B25=0,"——",ROUND(B5*E17*(1-E20),0))</f>
        <v>——</v>
      </c>
      <c r="F19" s="1319"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5" customFormat="1" ht="14.25">
      <c r="A20" s="2099" t="s">
        <v>1669</v>
      </c>
      <c r="B20" s="31">
        <v>0</v>
      </c>
      <c r="C20" s="1853"/>
      <c r="D20" s="2100" t="str">
        <f>IF(B25=0,"成新率","工程进度")</f>
        <v>成新率</v>
      </c>
      <c r="E20" s="986">
        <v>0.65</v>
      </c>
      <c r="F20" s="1236"/>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5" customFormat="1" ht="14.25">
      <c r="A21" s="2101" t="s">
        <v>1670</v>
      </c>
      <c r="B21" s="32">
        <v>0.5</v>
      </c>
      <c r="C21" s="1853"/>
      <c r="D21" s="2091" t="s">
        <v>1671</v>
      </c>
      <c r="E21" s="40">
        <v>0.01</v>
      </c>
      <c r="F21" s="1850" t="s">
        <v>1672</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5" customFormat="1" ht="14.25">
      <c r="A22" s="2102" t="s">
        <v>1673</v>
      </c>
      <c r="B22" s="1453">
        <v>0.5</v>
      </c>
      <c r="C22" s="1853"/>
      <c r="D22" s="2091" t="s">
        <v>1674</v>
      </c>
      <c r="E22" s="40">
        <v>0.01</v>
      </c>
      <c r="F22" s="1850" t="s">
        <v>1675</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5" customFormat="1" ht="15" thickBot="1">
      <c r="A23" s="2103" t="s">
        <v>1676</v>
      </c>
      <c r="B23" s="33">
        <f>B20+B21</f>
        <v>0.5</v>
      </c>
      <c r="C23" s="1853"/>
      <c r="D23" s="2091" t="s">
        <v>1677</v>
      </c>
      <c r="E23" s="37">
        <v>200</v>
      </c>
      <c r="F23" s="1850" t="s">
        <v>1678</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5" customFormat="1" ht="15" thickBot="1">
      <c r="A24" s="2104" t="s">
        <v>1679</v>
      </c>
      <c r="B24" s="1741">
        <f>B20+B22</f>
        <v>0.5</v>
      </c>
      <c r="C24" s="1853"/>
      <c r="D24" s="2096" t="s">
        <v>1680</v>
      </c>
      <c r="E24" s="2733">
        <v>1.4999999999999999E-2</v>
      </c>
      <c r="F24" s="1850" t="s">
        <v>1681</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3" t="s">
        <v>1682</v>
      </c>
      <c r="B25" s="1452">
        <f>B21-B22</f>
        <v>0</v>
      </c>
      <c r="C25" s="1236"/>
      <c r="D25" s="2086" t="s">
        <v>1683</v>
      </c>
      <c r="E25" s="711">
        <v>0.01</v>
      </c>
      <c r="F25" s="1850" t="s">
        <v>1684</v>
      </c>
      <c r="I25" s="1851"/>
      <c r="AE25" s="1236"/>
      <c r="AF25" s="1236"/>
      <c r="AG25" s="1236"/>
      <c r="AH25" s="1236"/>
      <c r="AI25" s="1236"/>
      <c r="AJ25" s="1236"/>
      <c r="AK25" s="1236"/>
      <c r="AL25" s="1236"/>
      <c r="AM25" s="1236"/>
      <c r="AN25" s="1236"/>
      <c r="AO25" s="1236"/>
    </row>
    <row r="26" spans="1:41" ht="15.75" thickBot="1">
      <c r="A26" s="2105" t="s">
        <v>1685</v>
      </c>
      <c r="B26" s="1093"/>
      <c r="C26" s="1853"/>
      <c r="D26" s="2091" t="s">
        <v>1686</v>
      </c>
      <c r="E26" s="40">
        <v>0.01</v>
      </c>
      <c r="F26" s="1850" t="s">
        <v>1684</v>
      </c>
      <c r="G26" s="2074"/>
      <c r="H26" s="2074"/>
      <c r="I26" s="1853"/>
      <c r="J26" s="1853"/>
      <c r="K26" s="1853"/>
      <c r="L26" s="1853"/>
      <c r="M26" s="1853"/>
      <c r="N26" s="1853"/>
      <c r="AE26" s="1236"/>
      <c r="AF26" s="1236"/>
      <c r="AG26" s="1236"/>
      <c r="AH26" s="1236"/>
      <c r="AI26" s="1236"/>
      <c r="AJ26" s="1236"/>
      <c r="AK26" s="1236"/>
      <c r="AL26" s="1236"/>
      <c r="AM26" s="1236"/>
      <c r="AN26" s="1236"/>
      <c r="AO26" s="1236"/>
    </row>
    <row r="27" spans="1:41" ht="15" thickBot="1">
      <c r="A27" s="1236"/>
      <c r="B27" s="1236"/>
      <c r="C27" s="1236"/>
      <c r="D27" s="2091" t="s">
        <v>1687</v>
      </c>
      <c r="E27" s="352">
        <f ca="1">存贷款利率!G1</f>
        <v>4.3499999999999997E-2</v>
      </c>
      <c r="F27" s="1850" t="s">
        <v>1688</v>
      </c>
      <c r="G27" s="2074"/>
      <c r="H27" s="2074"/>
      <c r="K27" s="1853"/>
      <c r="N27" s="1853"/>
      <c r="AE27" s="1236"/>
      <c r="AF27" s="1236"/>
      <c r="AG27" s="1236"/>
      <c r="AH27" s="1236"/>
      <c r="AI27" s="1236"/>
      <c r="AJ27" s="1236"/>
      <c r="AK27" s="1236"/>
      <c r="AL27" s="1236"/>
      <c r="AM27" s="1236"/>
      <c r="AN27" s="1236"/>
      <c r="AO27" s="1236"/>
    </row>
    <row r="28" spans="1:41" ht="15" thickBot="1">
      <c r="A28" s="2106" t="s">
        <v>1689</v>
      </c>
      <c r="B28" s="2107" t="s">
        <v>2843</v>
      </c>
      <c r="C28" s="1236"/>
      <c r="D28" s="2108" t="s">
        <v>1690</v>
      </c>
      <c r="E28" s="988">
        <v>0.1</v>
      </c>
      <c r="G28" s="2074"/>
      <c r="H28" s="2074"/>
      <c r="K28" s="1853"/>
      <c r="N28" s="1853"/>
      <c r="AE28" s="1236"/>
      <c r="AF28" s="1236"/>
      <c r="AG28" s="1236"/>
      <c r="AH28" s="1236"/>
      <c r="AI28" s="1236"/>
      <c r="AJ28" s="1236"/>
      <c r="AK28" s="1236"/>
      <c r="AL28" s="1236"/>
      <c r="AM28" s="1236"/>
      <c r="AN28" s="1236"/>
      <c r="AO28" s="1236"/>
    </row>
    <row r="29" spans="1:41" ht="14.25">
      <c r="A29" s="2089" t="str">
        <f>IF(B28="租赁期内按合同租金","合同租金","市场租金")</f>
        <v>市场租金</v>
      </c>
      <c r="B29" s="29">
        <v>2600</v>
      </c>
      <c r="C29" s="1236"/>
      <c r="D29" s="2095" t="s">
        <v>1691</v>
      </c>
      <c r="E29" s="987">
        <f>E30+E31</f>
        <v>5.6000000000000001E-2</v>
      </c>
      <c r="F29" s="1847"/>
      <c r="G29" s="2074"/>
      <c r="H29" s="2074"/>
      <c r="K29" s="1853"/>
      <c r="N29" s="1853"/>
      <c r="AE29" s="1236"/>
      <c r="AF29" s="1236"/>
      <c r="AG29" s="1236"/>
      <c r="AH29" s="1236"/>
      <c r="AI29" s="1236"/>
      <c r="AJ29" s="1236"/>
      <c r="AK29" s="1236"/>
      <c r="AL29" s="1236"/>
      <c r="AM29" s="1236"/>
      <c r="AN29" s="1236"/>
      <c r="AO29" s="1236"/>
    </row>
    <row r="30" spans="1:41" ht="14.25">
      <c r="A30" s="2089" t="s">
        <v>1692</v>
      </c>
      <c r="B30" s="1418">
        <f ca="1">存贷款利率!I1</f>
        <v>1.4999999999999999E-2</v>
      </c>
      <c r="C30" s="1236"/>
      <c r="D30" s="2109" t="s">
        <v>1693</v>
      </c>
      <c r="E30" s="41">
        <v>0.05</v>
      </c>
      <c r="F30" s="1858">
        <f>IF(B2&lt;DATE(2016,5,1),0,E30)</f>
        <v>0.05</v>
      </c>
      <c r="G30" s="2074"/>
      <c r="H30" s="2074"/>
      <c r="K30" s="1853"/>
      <c r="N30" s="1853"/>
      <c r="AE30" s="1236"/>
      <c r="AF30" s="1236"/>
      <c r="AG30" s="1236"/>
      <c r="AH30" s="1236"/>
      <c r="AI30" s="1236"/>
      <c r="AJ30" s="1236"/>
      <c r="AK30" s="1236"/>
      <c r="AL30" s="1236"/>
      <c r="AM30" s="1236"/>
      <c r="AN30" s="1236"/>
      <c r="AO30" s="1236"/>
    </row>
    <row r="31" spans="1:41" ht="14.25">
      <c r="A31" s="2089" t="s">
        <v>1694</v>
      </c>
      <c r="B31" s="30">
        <v>0.04</v>
      </c>
      <c r="C31" s="1236"/>
      <c r="D31" s="2109" t="s">
        <v>1695</v>
      </c>
      <c r="E31" s="42">
        <f>E30*(E32+E33+E34)+E35</f>
        <v>6.000000000000001E-3</v>
      </c>
      <c r="F31" s="1847"/>
      <c r="G31" s="2074"/>
      <c r="H31" s="2074"/>
      <c r="K31" s="1853"/>
      <c r="N31" s="1853"/>
      <c r="AE31" s="1236"/>
      <c r="AF31" s="1236"/>
      <c r="AG31" s="1236"/>
      <c r="AH31" s="1236"/>
      <c r="AI31" s="1236"/>
      <c r="AJ31" s="1236"/>
      <c r="AK31" s="1236"/>
      <c r="AL31" s="1236"/>
      <c r="AM31" s="1236"/>
      <c r="AN31" s="1236"/>
      <c r="AO31" s="1236"/>
    </row>
    <row r="32" spans="1:41" ht="14.25">
      <c r="A32" s="2089" t="s">
        <v>1696</v>
      </c>
      <c r="B32" s="30">
        <v>0.05</v>
      </c>
      <c r="C32" s="1236"/>
      <c r="D32" s="2110" t="s">
        <v>1697</v>
      </c>
      <c r="E32" s="43">
        <v>7.0000000000000007E-2</v>
      </c>
      <c r="F32" s="1845" t="s">
        <v>1698</v>
      </c>
      <c r="G32" s="2074"/>
      <c r="H32" s="2074"/>
      <c r="K32" s="1853"/>
      <c r="L32" s="1853"/>
      <c r="M32" s="1853"/>
      <c r="N32" s="1853"/>
      <c r="AE32" s="1236"/>
      <c r="AF32" s="1236"/>
      <c r="AG32" s="1236"/>
      <c r="AH32" s="1236"/>
      <c r="AI32" s="1236"/>
      <c r="AJ32" s="1236"/>
      <c r="AK32" s="1236"/>
      <c r="AL32" s="1236"/>
      <c r="AM32" s="1236"/>
      <c r="AN32" s="1236"/>
      <c r="AO32" s="1236"/>
    </row>
    <row r="33" spans="1:41" ht="14.25">
      <c r="A33" s="2089" t="s">
        <v>1699</v>
      </c>
      <c r="B33" s="1379">
        <f>收益法!J54</f>
        <v>69.5</v>
      </c>
      <c r="C33" s="1236"/>
      <c r="D33" s="2110" t="s">
        <v>1700</v>
      </c>
      <c r="E33" s="41">
        <v>0.03</v>
      </c>
      <c r="F33" s="1844" t="s">
        <v>1701</v>
      </c>
      <c r="G33" s="2074"/>
      <c r="H33" s="2074"/>
      <c r="K33" s="1853"/>
      <c r="L33" s="1853"/>
      <c r="M33" s="1853"/>
      <c r="N33" s="1853"/>
      <c r="AE33" s="1236"/>
      <c r="AF33" s="1236"/>
      <c r="AG33" s="1236"/>
      <c r="AH33" s="1236"/>
      <c r="AI33" s="1236"/>
      <c r="AJ33" s="1236"/>
      <c r="AK33" s="1236"/>
      <c r="AL33" s="1236"/>
      <c r="AM33" s="1236"/>
      <c r="AN33" s="1236"/>
      <c r="AO33" s="1236"/>
    </row>
    <row r="34" spans="1:41" s="2112" customFormat="1" ht="15" thickBot="1">
      <c r="A34" s="2109" t="str">
        <f>IF(B28="租赁期内按合同租金","剩余租赁期","——")</f>
        <v>——</v>
      </c>
      <c r="B34" s="997"/>
      <c r="C34" s="1236"/>
      <c r="D34" s="2110" t="s">
        <v>1702</v>
      </c>
      <c r="E34" s="41">
        <v>0.02</v>
      </c>
      <c r="F34" s="1844" t="s">
        <v>1703</v>
      </c>
      <c r="G34" s="2111"/>
      <c r="H34" s="2111"/>
      <c r="I34" s="1846"/>
      <c r="J34" s="1846"/>
      <c r="K34" s="1853"/>
      <c r="L34" s="1853"/>
      <c r="M34" s="1853"/>
      <c r="N34" s="1853"/>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2" customFormat="1" ht="15.75" thickBot="1">
      <c r="A35" s="2113" t="s">
        <v>1704</v>
      </c>
      <c r="B35" s="993"/>
      <c r="C35" s="1236"/>
      <c r="D35" s="2114" t="s">
        <v>1705</v>
      </c>
      <c r="E35" s="44">
        <v>0</v>
      </c>
      <c r="F35" s="1852" t="s">
        <v>1706</v>
      </c>
      <c r="G35" s="2111"/>
      <c r="H35" s="2111"/>
      <c r="I35" s="1846"/>
      <c r="J35" s="1846"/>
      <c r="K35" s="1853"/>
      <c r="L35" s="1853"/>
      <c r="M35" s="1853"/>
      <c r="N35" s="1853"/>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2" customFormat="1" ht="14.25">
      <c r="A36" s="2115" t="str">
        <f>IF(B28="租赁期内按合同租金","租金","——")</f>
        <v>——</v>
      </c>
      <c r="B36" s="998"/>
      <c r="C36" s="1236"/>
      <c r="D36" s="2116" t="s">
        <v>1707</v>
      </c>
      <c r="E36" s="45">
        <v>0.03</v>
      </c>
      <c r="F36" s="1848" t="s">
        <v>1708</v>
      </c>
      <c r="G36" s="2111"/>
      <c r="H36" s="2111"/>
      <c r="I36" s="1846"/>
      <c r="J36" s="1846"/>
      <c r="K36" s="1853"/>
      <c r="L36" s="1853"/>
      <c r="M36" s="1853"/>
      <c r="N36" s="1853"/>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2" customFormat="1" ht="15" thickBot="1">
      <c r="A37" s="2089" t="str">
        <f>IF(B28="租赁期内按合同租金","年租金增长率","——")</f>
        <v>——</v>
      </c>
      <c r="B37" s="30"/>
      <c r="C37" s="1236"/>
      <c r="D37" s="2096" t="s">
        <v>1709</v>
      </c>
      <c r="E37" s="41">
        <v>5.0000000000000001E-4</v>
      </c>
      <c r="F37" s="1848" t="s">
        <v>1710</v>
      </c>
      <c r="G37" s="2074"/>
      <c r="H37" s="2074"/>
      <c r="I37" s="1853"/>
      <c r="J37" s="1853"/>
      <c r="K37" s="1853"/>
      <c r="L37" s="1853"/>
      <c r="M37" s="1853"/>
      <c r="N37" s="1853"/>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2" customFormat="1" ht="14.25">
      <c r="A38" s="2089" t="str">
        <f>IF(B28="租赁期内按合同租金","空置率","——")</f>
        <v>——</v>
      </c>
      <c r="B38" s="30"/>
      <c r="C38" s="1236"/>
      <c r="D38" s="2117" t="s">
        <v>1711</v>
      </c>
      <c r="E38" s="46">
        <v>1.2E-2</v>
      </c>
      <c r="F38" s="1846"/>
      <c r="G38" s="1851"/>
      <c r="H38" s="1851"/>
      <c r="I38" s="2074"/>
      <c r="J38" s="1853"/>
      <c r="K38" s="1853"/>
      <c r="L38" s="1853"/>
      <c r="M38" s="1853"/>
      <c r="N38" s="1853"/>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2" customFormat="1" ht="15" thickBot="1">
      <c r="A39" s="2089" t="str">
        <f>IF(B28="租赁期内按合同租金","成新率","——")</f>
        <v>——</v>
      </c>
      <c r="B39" s="30"/>
      <c r="C39" s="1236"/>
      <c r="D39" s="2094" t="s">
        <v>1712</v>
      </c>
      <c r="E39" s="47">
        <v>0.12</v>
      </c>
      <c r="F39" s="1846"/>
      <c r="G39" s="2111"/>
      <c r="H39" s="2111"/>
      <c r="I39" s="1846"/>
      <c r="J39" s="1846"/>
      <c r="K39" s="1853"/>
      <c r="L39" s="1853"/>
      <c r="M39" s="1853"/>
      <c r="N39" s="1853"/>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9" t="str">
        <f>IF(B28="租赁期内按合同租金","租赁期外收益期","——")</f>
        <v>——</v>
      </c>
      <c r="B40" s="1192" t="str">
        <f>IF(B28="租赁期内按合同租金",B33-B34,"——")</f>
        <v>——</v>
      </c>
      <c r="C40" s="1236"/>
      <c r="D40" s="2117" t="s">
        <v>1713</v>
      </c>
      <c r="E40" s="48">
        <f>SUMIF(D42:D51,E41,E42:E51)</f>
        <v>0</v>
      </c>
      <c r="F40" s="1846"/>
      <c r="G40" s="2074"/>
      <c r="H40" s="2074"/>
      <c r="I40" s="1853"/>
      <c r="J40" s="1853"/>
      <c r="K40" s="1853"/>
      <c r="L40" s="1853"/>
      <c r="M40" s="1853"/>
      <c r="N40" s="1853"/>
      <c r="AE40" s="1236"/>
      <c r="AF40" s="1236"/>
      <c r="AG40" s="1236"/>
      <c r="AH40" s="1236"/>
      <c r="AI40" s="1236"/>
      <c r="AJ40" s="1236"/>
      <c r="AK40" s="1236"/>
      <c r="AL40" s="1236"/>
      <c r="AM40" s="1236"/>
      <c r="AN40" s="1236"/>
      <c r="AO40" s="1236"/>
    </row>
    <row r="41" spans="1:41" ht="14.25">
      <c r="A41" s="2118" t="s">
        <v>1714</v>
      </c>
      <c r="B41" s="999">
        <v>1</v>
      </c>
      <c r="C41" s="1236"/>
      <c r="D41" s="2091" t="s">
        <v>1715</v>
      </c>
      <c r="E41" s="2119"/>
      <c r="F41" s="1846" t="s">
        <v>1716</v>
      </c>
      <c r="G41" s="2120" t="s">
        <v>1717</v>
      </c>
      <c r="H41" s="2074"/>
      <c r="I41" s="1853"/>
      <c r="J41" s="1853"/>
      <c r="K41" s="1853"/>
      <c r="L41" s="1853"/>
      <c r="M41" s="1853"/>
      <c r="N41" s="1853"/>
      <c r="AE41" s="1236"/>
      <c r="AF41" s="1236"/>
      <c r="AG41" s="1236"/>
      <c r="AH41" s="1236"/>
      <c r="AI41" s="1236"/>
      <c r="AJ41" s="1236"/>
      <c r="AK41" s="1236"/>
      <c r="AL41" s="1236"/>
      <c r="AM41" s="1236"/>
      <c r="AN41" s="1236"/>
      <c r="AO41" s="1236"/>
    </row>
    <row r="42" spans="1:41" ht="14.25">
      <c r="A42" s="2089" t="s">
        <v>1718</v>
      </c>
      <c r="B42" s="992">
        <v>12</v>
      </c>
      <c r="C42" s="1236"/>
      <c r="D42" s="2121" t="s">
        <v>1719</v>
      </c>
      <c r="E42" s="29"/>
      <c r="F42" s="1846">
        <v>30</v>
      </c>
      <c r="G42" s="2074"/>
      <c r="H42" s="2074"/>
      <c r="I42" s="1853"/>
      <c r="J42" s="1853"/>
      <c r="K42" s="1853"/>
      <c r="L42" s="1853"/>
      <c r="M42" s="1853"/>
      <c r="N42" s="1853"/>
      <c r="AE42" s="1236"/>
      <c r="AF42" s="1236"/>
      <c r="AG42" s="1236"/>
      <c r="AH42" s="1236"/>
      <c r="AI42" s="1236"/>
      <c r="AJ42" s="1236"/>
      <c r="AK42" s="1236"/>
      <c r="AL42" s="1236"/>
      <c r="AM42" s="1236"/>
      <c r="AN42" s="1236"/>
      <c r="AO42" s="1236"/>
    </row>
    <row r="43" spans="1:41" ht="14.25">
      <c r="A43" s="2089" t="s">
        <v>1720</v>
      </c>
      <c r="B43" s="29"/>
      <c r="C43" s="1236"/>
      <c r="D43" s="2121" t="s">
        <v>1721</v>
      </c>
      <c r="E43" s="29"/>
      <c r="F43" s="1846">
        <v>24</v>
      </c>
      <c r="G43" s="2074"/>
      <c r="H43" s="2074"/>
      <c r="I43" s="1853"/>
      <c r="J43" s="1853"/>
      <c r="K43" s="1853"/>
      <c r="L43" s="1853"/>
      <c r="M43" s="1853"/>
      <c r="N43" s="1853"/>
      <c r="AE43" s="1236"/>
      <c r="AF43" s="1236"/>
      <c r="AG43" s="1236"/>
      <c r="AH43" s="1236"/>
      <c r="AI43" s="1236"/>
      <c r="AJ43" s="1236"/>
      <c r="AK43" s="1236"/>
      <c r="AL43" s="1236"/>
      <c r="AM43" s="1236"/>
      <c r="AN43" s="1236"/>
      <c r="AO43" s="1236"/>
    </row>
    <row r="44" spans="1:41" ht="14.25">
      <c r="A44" s="2089" t="s">
        <v>1722</v>
      </c>
      <c r="B44" s="1000">
        <v>0.01</v>
      </c>
      <c r="C44" s="1236" t="s">
        <v>967</v>
      </c>
      <c r="D44" s="2121" t="s">
        <v>1723</v>
      </c>
      <c r="E44" s="29"/>
      <c r="F44" s="1846">
        <v>18</v>
      </c>
      <c r="G44" s="1236"/>
      <c r="H44" s="1236"/>
      <c r="I44" s="2074"/>
      <c r="J44" s="1853"/>
      <c r="K44" s="1853"/>
      <c r="L44" s="1853"/>
      <c r="M44" s="1853"/>
      <c r="N44" s="1853"/>
      <c r="AE44" s="1236"/>
      <c r="AF44" s="1236"/>
      <c r="AG44" s="1236"/>
      <c r="AH44" s="1236"/>
      <c r="AI44" s="1236"/>
      <c r="AJ44" s="1236"/>
      <c r="AK44" s="1236"/>
      <c r="AL44" s="1236"/>
      <c r="AM44" s="1236"/>
      <c r="AN44" s="1236"/>
      <c r="AO44" s="1236"/>
    </row>
    <row r="45" spans="1:41" ht="14.25">
      <c r="A45" s="2089" t="s">
        <v>1724</v>
      </c>
      <c r="B45" s="1001">
        <v>1E-3</v>
      </c>
      <c r="C45" s="1236" t="s">
        <v>968</v>
      </c>
      <c r="D45" s="2121" t="s">
        <v>1725</v>
      </c>
      <c r="E45" s="29"/>
      <c r="F45" s="1846">
        <v>12</v>
      </c>
      <c r="G45" s="1236"/>
      <c r="H45" s="1236"/>
      <c r="M45" s="1853"/>
      <c r="N45" s="1853"/>
      <c r="AE45" s="1236"/>
      <c r="AF45" s="1236"/>
      <c r="AG45" s="1236"/>
      <c r="AH45" s="1236"/>
      <c r="AI45" s="1236"/>
      <c r="AJ45" s="1236"/>
      <c r="AK45" s="1236"/>
      <c r="AL45" s="1236"/>
      <c r="AM45" s="1236"/>
      <c r="AN45" s="1236"/>
      <c r="AO45" s="1236"/>
    </row>
    <row r="46" spans="1:41" ht="15" thickBot="1">
      <c r="A46" s="2108" t="s">
        <v>1726</v>
      </c>
      <c r="B46" s="1002">
        <v>0.01</v>
      </c>
      <c r="C46" s="1236" t="s">
        <v>969</v>
      </c>
      <c r="D46" s="2121" t="s">
        <v>1470</v>
      </c>
      <c r="E46" s="29"/>
      <c r="F46" s="1846">
        <v>3</v>
      </c>
      <c r="G46" s="1236"/>
      <c r="H46" s="1236"/>
      <c r="M46" s="1853"/>
      <c r="N46" s="1853"/>
      <c r="AE46" s="1236"/>
      <c r="AF46" s="1236"/>
      <c r="AG46" s="1236"/>
      <c r="AH46" s="1236"/>
      <c r="AI46" s="1236"/>
      <c r="AJ46" s="1236"/>
      <c r="AK46" s="1236"/>
      <c r="AL46" s="1236"/>
      <c r="AM46" s="1236"/>
      <c r="AN46" s="1236"/>
      <c r="AO46" s="1236"/>
    </row>
    <row r="47" spans="1:41" ht="14.25">
      <c r="A47" s="1236"/>
      <c r="B47" s="1236"/>
      <c r="C47" s="1236"/>
      <c r="D47" s="2121" t="s">
        <v>1727</v>
      </c>
      <c r="E47" s="29"/>
      <c r="F47" s="1846">
        <v>1.5</v>
      </c>
      <c r="G47" s="1236"/>
      <c r="H47" s="1236"/>
      <c r="M47" s="1853"/>
      <c r="N47" s="1853"/>
      <c r="AE47" s="1236"/>
      <c r="AF47" s="1236"/>
      <c r="AG47" s="1236"/>
      <c r="AH47" s="1236"/>
      <c r="AI47" s="1236"/>
      <c r="AJ47" s="1236"/>
      <c r="AK47" s="1236"/>
      <c r="AL47" s="1236"/>
      <c r="AM47" s="1236"/>
      <c r="AN47" s="1236"/>
      <c r="AO47" s="1236"/>
    </row>
    <row r="48" spans="1:41" ht="14.25">
      <c r="A48" s="1236"/>
      <c r="B48" s="1236"/>
      <c r="C48" s="1236"/>
      <c r="D48" s="2121" t="s">
        <v>1728</v>
      </c>
      <c r="E48" s="29"/>
      <c r="F48" s="1853"/>
      <c r="G48" s="1236"/>
      <c r="H48" s="1236"/>
      <c r="M48" s="1853"/>
      <c r="N48" s="1853"/>
      <c r="AE48" s="1236"/>
      <c r="AF48" s="1236"/>
      <c r="AG48" s="1236"/>
      <c r="AH48" s="1236"/>
      <c r="AI48" s="1236"/>
      <c r="AJ48" s="1236"/>
      <c r="AK48" s="1236"/>
      <c r="AL48" s="1236"/>
      <c r="AM48" s="1236"/>
      <c r="AN48" s="1236"/>
      <c r="AO48" s="1236"/>
    </row>
    <row r="49" spans="1:41" ht="14.25">
      <c r="A49" s="1236"/>
      <c r="B49" s="1236"/>
      <c r="C49" s="1236"/>
      <c r="D49" s="2121" t="s">
        <v>1729</v>
      </c>
      <c r="E49" s="29"/>
      <c r="F49" s="1853"/>
      <c r="G49" s="1236"/>
      <c r="H49" s="1236"/>
      <c r="M49" s="1853"/>
      <c r="N49" s="1853"/>
      <c r="AE49" s="1236"/>
      <c r="AF49" s="1236"/>
      <c r="AG49" s="1236"/>
      <c r="AH49" s="1236"/>
      <c r="AI49" s="1236"/>
      <c r="AJ49" s="1236"/>
      <c r="AK49" s="1236"/>
      <c r="AL49" s="1236"/>
      <c r="AM49" s="1236"/>
      <c r="AN49" s="1236"/>
      <c r="AO49" s="1236"/>
    </row>
    <row r="50" spans="1:41" ht="14.25">
      <c r="A50" s="1236"/>
      <c r="B50" s="1236"/>
      <c r="C50" s="1236"/>
      <c r="D50" s="2121" t="s">
        <v>1730</v>
      </c>
      <c r="E50" s="29"/>
      <c r="F50" s="1853"/>
      <c r="G50" s="1236"/>
      <c r="H50" s="1236"/>
      <c r="M50" s="1853"/>
      <c r="N50" s="1853"/>
      <c r="AE50" s="1236"/>
      <c r="AF50" s="1236"/>
      <c r="AG50" s="1236"/>
      <c r="AH50" s="1236"/>
      <c r="AI50" s="1236"/>
      <c r="AJ50" s="1236"/>
      <c r="AK50" s="1236"/>
      <c r="AL50" s="1236"/>
      <c r="AM50" s="1236"/>
      <c r="AN50" s="1236"/>
      <c r="AO50" s="1236"/>
    </row>
    <row r="51" spans="1:41" s="1236" customFormat="1" ht="15" thickBot="1">
      <c r="D51" s="2122" t="s">
        <v>1731</v>
      </c>
      <c r="E51" s="49"/>
      <c r="F51" s="1853"/>
      <c r="M51" s="1853"/>
      <c r="N51" s="1853"/>
      <c r="O51" s="84"/>
      <c r="P51" s="84"/>
    </row>
    <row r="52" spans="1:41" s="1236" customFormat="1" ht="14.25">
      <c r="D52" s="2074"/>
      <c r="E52" s="2074"/>
      <c r="F52" s="2074"/>
      <c r="G52" s="2074"/>
      <c r="H52" s="2074"/>
      <c r="I52" s="1853"/>
      <c r="J52" s="1853"/>
      <c r="K52" s="1853"/>
      <c r="L52" s="1853"/>
      <c r="M52" s="1853"/>
      <c r="N52" s="1853"/>
      <c r="O52" s="84"/>
      <c r="P52" s="84"/>
    </row>
    <row r="53" spans="1:41" s="1236" customFormat="1" ht="14.25">
      <c r="D53" s="2074"/>
      <c r="E53" s="2074"/>
      <c r="F53" s="2074"/>
      <c r="G53" s="2074"/>
      <c r="H53" s="2074"/>
      <c r="I53" s="1853"/>
      <c r="J53" s="1853"/>
      <c r="K53" s="1853"/>
      <c r="L53" s="1853"/>
      <c r="M53" s="1853"/>
      <c r="N53" s="1853"/>
      <c r="O53" s="84"/>
      <c r="P53" s="84"/>
    </row>
    <row r="54" spans="1:41" s="1236" customFormat="1" ht="14.25">
      <c r="D54" s="2074"/>
      <c r="E54" s="2074"/>
      <c r="F54" s="2074"/>
      <c r="G54" s="2074"/>
      <c r="H54" s="2074"/>
      <c r="I54" s="1853"/>
      <c r="J54" s="1853"/>
      <c r="K54" s="1853"/>
      <c r="L54" s="1853"/>
      <c r="M54" s="1853"/>
      <c r="N54" s="1853"/>
      <c r="O54" s="84"/>
      <c r="P54" s="84"/>
    </row>
    <row r="55" spans="1:41" s="1236" customFormat="1" ht="14.25">
      <c r="D55" s="2074"/>
      <c r="E55" s="2074"/>
      <c r="F55" s="2074"/>
      <c r="G55" s="2074"/>
      <c r="H55" s="2074"/>
      <c r="I55" s="1853"/>
      <c r="J55" s="1853"/>
      <c r="K55" s="1853"/>
      <c r="L55" s="1853"/>
      <c r="M55" s="1853"/>
      <c r="N55" s="1853"/>
      <c r="O55" s="84"/>
      <c r="P55" s="84"/>
    </row>
    <row r="56" spans="1:41" s="1236" customFormat="1" ht="14.25">
      <c r="D56" s="2074"/>
      <c r="E56" s="2074"/>
      <c r="F56" s="2074"/>
      <c r="G56" s="2074"/>
      <c r="H56" s="2074"/>
      <c r="I56" s="1853"/>
      <c r="J56" s="1853"/>
      <c r="K56" s="1853"/>
      <c r="L56" s="1853"/>
      <c r="M56" s="1853"/>
      <c r="N56" s="1853"/>
      <c r="O56" s="84"/>
      <c r="P56" s="84"/>
    </row>
    <row r="57" spans="1:41" s="1236" customFormat="1" ht="14.25">
      <c r="D57" s="2074"/>
      <c r="E57" s="2074"/>
      <c r="F57" s="2074"/>
      <c r="G57" s="2074"/>
      <c r="H57" s="2074"/>
      <c r="I57" s="1853"/>
      <c r="J57" s="1853"/>
      <c r="K57" s="1853"/>
      <c r="L57" s="1853"/>
      <c r="M57" s="1853"/>
      <c r="N57" s="1853"/>
      <c r="O57" s="84"/>
      <c r="P57" s="84"/>
    </row>
    <row r="58" spans="1:41" s="1236" customFormat="1" ht="14.25">
      <c r="D58" s="2074"/>
      <c r="E58" s="2074"/>
      <c r="F58" s="2074"/>
      <c r="G58" s="2074"/>
      <c r="H58" s="2074"/>
      <c r="I58" s="1853"/>
      <c r="J58" s="1853"/>
      <c r="K58" s="1853"/>
      <c r="L58" s="1853"/>
      <c r="M58" s="1853"/>
      <c r="N58" s="1853"/>
      <c r="O58" s="84"/>
      <c r="P58" s="84"/>
    </row>
    <row r="59" spans="1:41" s="1236" customFormat="1" ht="14.25">
      <c r="D59" s="2074"/>
      <c r="E59" s="2074"/>
      <c r="F59" s="2074"/>
      <c r="G59" s="2074"/>
      <c r="H59" s="2074"/>
      <c r="I59" s="1853"/>
      <c r="J59" s="1853"/>
      <c r="K59" s="1853"/>
      <c r="L59" s="1853"/>
      <c r="M59" s="2123"/>
      <c r="N59" s="1853"/>
      <c r="O59" s="84"/>
      <c r="P59" s="84"/>
    </row>
    <row r="60" spans="1:41" s="1236" customFormat="1" ht="14.25">
      <c r="D60" s="2074"/>
      <c r="E60" s="2074"/>
      <c r="F60" s="2074"/>
      <c r="G60" s="2074"/>
      <c r="H60" s="2074"/>
      <c r="I60" s="1853"/>
      <c r="J60" s="1853"/>
      <c r="K60" s="1853"/>
      <c r="L60" s="1853"/>
      <c r="M60" s="1853"/>
      <c r="N60" s="1853"/>
      <c r="O60" s="84"/>
      <c r="P60" s="84"/>
    </row>
    <row r="61" spans="1:41" s="1236" customFormat="1" ht="14.25">
      <c r="D61" s="2074"/>
      <c r="E61" s="2074"/>
      <c r="F61" s="2074"/>
      <c r="G61" s="2074"/>
      <c r="H61" s="2074"/>
      <c r="I61" s="1853"/>
      <c r="J61" s="1853"/>
      <c r="K61" s="1853"/>
      <c r="L61" s="1853"/>
      <c r="M61" s="1853"/>
      <c r="N61" s="1853"/>
      <c r="O61" s="84"/>
      <c r="P61" s="84"/>
    </row>
    <row r="62" spans="1:41" s="1236" customFormat="1" ht="14.25">
      <c r="D62" s="2074"/>
      <c r="E62" s="2074"/>
      <c r="F62" s="2074"/>
      <c r="G62" s="2074"/>
      <c r="H62" s="2074"/>
      <c r="I62" s="1853"/>
      <c r="J62" s="1853"/>
      <c r="K62" s="1853"/>
      <c r="L62" s="1853"/>
      <c r="M62" s="1853"/>
      <c r="N62" s="1853"/>
      <c r="O62" s="84"/>
      <c r="P62" s="84"/>
    </row>
    <row r="63" spans="1:41" s="1236" customFormat="1" ht="14.25">
      <c r="D63" s="2074"/>
      <c r="E63" s="2074"/>
      <c r="F63" s="2074"/>
      <c r="G63" s="2074"/>
      <c r="H63" s="2074"/>
      <c r="I63" s="1853"/>
      <c r="J63" s="1853"/>
      <c r="K63" s="1853"/>
      <c r="L63" s="1853"/>
      <c r="M63" s="1853"/>
      <c r="N63" s="1853"/>
      <c r="O63" s="84"/>
      <c r="P63" s="84"/>
    </row>
    <row r="64" spans="1:41" s="1236" customFormat="1" ht="14.25">
      <c r="D64" s="2074"/>
      <c r="E64" s="2074"/>
      <c r="F64" s="2074"/>
      <c r="G64" s="2074"/>
      <c r="H64" s="2074"/>
      <c r="I64" s="1853"/>
      <c r="J64" s="1853"/>
      <c r="K64" s="1853"/>
      <c r="L64" s="1853"/>
      <c r="M64" s="1853"/>
      <c r="N64" s="1853"/>
      <c r="O64" s="84"/>
      <c r="P64" s="84"/>
    </row>
    <row r="65" spans="1:16" s="1236" customFormat="1" ht="14.25">
      <c r="D65" s="2074"/>
      <c r="E65" s="2074"/>
      <c r="F65" s="2074"/>
      <c r="G65" s="2074"/>
      <c r="H65" s="2074"/>
      <c r="I65" s="1853"/>
      <c r="J65" s="1853"/>
      <c r="K65" s="1853"/>
      <c r="L65" s="1853"/>
      <c r="M65" s="1853"/>
      <c r="N65" s="1853"/>
      <c r="O65" s="84"/>
      <c r="P65" s="84"/>
    </row>
    <row r="66" spans="1:16" s="1236" customFormat="1" ht="14.25">
      <c r="A66" s="2124"/>
      <c r="D66" s="2074"/>
      <c r="E66" s="2074"/>
      <c r="F66" s="2074"/>
      <c r="G66" s="2074"/>
      <c r="H66" s="2074"/>
      <c r="I66" s="1853"/>
      <c r="J66" s="1853"/>
      <c r="K66" s="1853"/>
      <c r="L66" s="1853"/>
      <c r="M66" s="1853"/>
      <c r="N66" s="1853"/>
      <c r="O66" s="84"/>
      <c r="P66" s="84"/>
    </row>
    <row r="67" spans="1:16" s="1236" customFormat="1" ht="14.25">
      <c r="A67" s="2124"/>
      <c r="D67" s="2074"/>
      <c r="E67" s="2074"/>
      <c r="F67" s="2074"/>
      <c r="G67" s="2074"/>
      <c r="H67" s="2074"/>
      <c r="I67" s="1853"/>
      <c r="J67" s="1853"/>
      <c r="K67" s="1853"/>
      <c r="L67" s="1853"/>
      <c r="M67" s="1853"/>
      <c r="N67" s="1853"/>
      <c r="O67" s="84"/>
      <c r="P67" s="84"/>
    </row>
    <row r="68" spans="1:16" s="1236" customFormat="1" ht="14.25">
      <c r="A68" s="2124"/>
      <c r="D68" s="2074"/>
      <c r="E68" s="2074"/>
      <c r="F68" s="2074"/>
      <c r="G68" s="1851"/>
      <c r="H68" s="1851"/>
      <c r="O68" s="84"/>
      <c r="P68" s="84"/>
    </row>
    <row r="69" spans="1:16" s="1236" customFormat="1">
      <c r="A69" s="2124"/>
      <c r="D69" s="1851"/>
      <c r="E69" s="1851"/>
      <c r="F69" s="1851"/>
      <c r="G69" s="1851"/>
      <c r="H69" s="1851"/>
      <c r="O69" s="84"/>
      <c r="P69" s="84"/>
    </row>
    <row r="70" spans="1:16" s="1236" customFormat="1">
      <c r="A70" s="2124"/>
      <c r="D70" s="1851"/>
      <c r="E70" s="1851"/>
      <c r="F70" s="1851"/>
      <c r="G70" s="1851"/>
      <c r="H70" s="1851"/>
      <c r="O70" s="84"/>
      <c r="P70" s="84"/>
    </row>
    <row r="71" spans="1:16" s="1236" customFormat="1">
      <c r="A71" s="2124"/>
      <c r="D71" s="1851"/>
      <c r="E71" s="1851"/>
      <c r="F71" s="1851"/>
      <c r="G71" s="1851"/>
      <c r="H71" s="1851"/>
      <c r="O71" s="84"/>
      <c r="P71" s="84"/>
    </row>
    <row r="72" spans="1:16" s="1236" customFormat="1">
      <c r="A72" s="2124"/>
      <c r="D72" s="1851"/>
      <c r="E72" s="1851"/>
      <c r="F72" s="1851"/>
      <c r="G72" s="1851"/>
      <c r="H72" s="1851"/>
      <c r="O72" s="84"/>
      <c r="P72" s="84"/>
    </row>
    <row r="73" spans="1:16" s="1236" customFormat="1">
      <c r="A73" s="2124"/>
      <c r="D73" s="1851"/>
      <c r="E73" s="1851"/>
      <c r="F73" s="1851"/>
      <c r="G73" s="1851"/>
      <c r="H73" s="1851"/>
      <c r="O73" s="84"/>
      <c r="P73" s="84"/>
    </row>
    <row r="74" spans="1:16" s="1236" customFormat="1">
      <c r="A74" s="2124"/>
      <c r="D74" s="1851"/>
      <c r="E74" s="1851"/>
      <c r="F74" s="1851"/>
      <c r="G74" s="1851"/>
      <c r="H74" s="1851"/>
      <c r="O74" s="84"/>
      <c r="P74" s="84"/>
    </row>
    <row r="75" spans="1:16" s="1236" customFormat="1">
      <c r="A75" s="2124"/>
      <c r="D75" s="1851"/>
      <c r="E75" s="1851"/>
      <c r="F75" s="1851"/>
      <c r="G75" s="1851"/>
      <c r="H75" s="1851"/>
      <c r="O75" s="84"/>
      <c r="P75" s="84"/>
    </row>
    <row r="76" spans="1:16" s="1236" customFormat="1">
      <c r="A76" s="2124"/>
      <c r="D76" s="1851"/>
      <c r="E76" s="1851"/>
      <c r="F76" s="1851"/>
      <c r="G76" s="1851"/>
      <c r="H76" s="1851"/>
      <c r="O76" s="84"/>
      <c r="P76" s="84"/>
    </row>
    <row r="77" spans="1:16" s="1236" customFormat="1">
      <c r="A77" s="2124"/>
      <c r="D77" s="1851"/>
      <c r="E77" s="1851"/>
      <c r="F77" s="1851"/>
      <c r="G77" s="1851"/>
      <c r="H77" s="1851"/>
      <c r="O77" s="84"/>
      <c r="P77" s="84"/>
    </row>
    <row r="78" spans="1:16" s="1236" customFormat="1">
      <c r="A78" s="2124"/>
      <c r="D78" s="1851"/>
      <c r="E78" s="1851"/>
      <c r="F78" s="1851"/>
      <c r="G78" s="1851"/>
      <c r="H78" s="1851"/>
      <c r="O78" s="84"/>
      <c r="P78" s="84"/>
    </row>
    <row r="79" spans="1:16" s="1236" customFormat="1">
      <c r="A79" s="2124"/>
      <c r="D79" s="1851"/>
      <c r="E79" s="1851"/>
      <c r="F79" s="1851"/>
      <c r="G79" s="1851"/>
      <c r="H79" s="1851"/>
      <c r="O79" s="84"/>
      <c r="P79" s="84"/>
    </row>
    <row r="80" spans="1:16" s="1236" customFormat="1">
      <c r="A80" s="2124"/>
      <c r="D80" s="1851"/>
      <c r="E80" s="1851"/>
      <c r="F80" s="1851"/>
      <c r="G80" s="1851"/>
      <c r="H80" s="1851"/>
      <c r="O80" s="84"/>
      <c r="P80" s="84"/>
    </row>
    <row r="81" spans="1:16" s="1236" customFormat="1">
      <c r="A81" s="2124"/>
      <c r="D81" s="1851"/>
      <c r="E81" s="1851"/>
      <c r="F81" s="1851"/>
      <c r="G81" s="1851"/>
      <c r="H81" s="1851"/>
      <c r="O81" s="84"/>
      <c r="P81" s="84"/>
    </row>
    <row r="82" spans="1:16" s="1236" customFormat="1">
      <c r="A82" s="2124"/>
      <c r="D82" s="1851"/>
      <c r="E82" s="1851"/>
      <c r="F82" s="1851"/>
      <c r="G82" s="1851"/>
      <c r="H82" s="1851"/>
      <c r="O82" s="84"/>
      <c r="P82" s="84"/>
    </row>
    <row r="83" spans="1:16" s="1236" customFormat="1">
      <c r="A83" s="2124"/>
      <c r="D83" s="1851"/>
      <c r="E83" s="1851"/>
      <c r="F83" s="1851"/>
      <c r="G83" s="1851"/>
      <c r="H83" s="1851"/>
      <c r="O83" s="84"/>
      <c r="P83" s="84"/>
    </row>
    <row r="84" spans="1:16" s="1236" customFormat="1">
      <c r="A84" s="2124"/>
      <c r="D84" s="1851"/>
      <c r="E84" s="1851"/>
      <c r="F84" s="1851"/>
      <c r="G84" s="1851"/>
      <c r="H84" s="1851"/>
      <c r="O84" s="84"/>
      <c r="P84" s="84"/>
    </row>
    <row r="85" spans="1:16" s="1236" customFormat="1">
      <c r="A85" s="2124"/>
      <c r="D85" s="1851"/>
      <c r="E85" s="1851"/>
      <c r="F85" s="1851"/>
      <c r="G85" s="1851"/>
      <c r="H85" s="1851"/>
      <c r="O85" s="84"/>
      <c r="P85" s="84"/>
    </row>
    <row r="86" spans="1:16" s="1236" customFormat="1">
      <c r="A86" s="2124"/>
      <c r="D86" s="1851"/>
      <c r="E86" s="1851"/>
      <c r="F86" s="1851"/>
      <c r="G86" s="1851"/>
      <c r="H86" s="1851"/>
      <c r="O86" s="84"/>
      <c r="P86" s="84"/>
    </row>
    <row r="87" spans="1:16" s="1236" customFormat="1">
      <c r="A87" s="2124"/>
      <c r="D87" s="1851"/>
      <c r="E87" s="1851"/>
      <c r="F87" s="1851"/>
      <c r="G87" s="1851"/>
      <c r="H87" s="1851"/>
      <c r="O87" s="84"/>
      <c r="P87" s="84"/>
    </row>
    <row r="88" spans="1:16" s="1236" customFormat="1">
      <c r="A88" s="2124"/>
      <c r="D88" s="1851"/>
      <c r="E88" s="1851"/>
      <c r="F88" s="1851"/>
      <c r="G88" s="1851"/>
      <c r="H88" s="1851"/>
      <c r="O88" s="84"/>
      <c r="P88" s="84"/>
    </row>
    <row r="89" spans="1:16" s="1236" customFormat="1">
      <c r="A89" s="2124"/>
      <c r="D89" s="1851"/>
      <c r="E89" s="1851"/>
      <c r="F89" s="1851"/>
      <c r="G89" s="1851"/>
      <c r="H89" s="1851"/>
      <c r="O89" s="84"/>
      <c r="P89" s="84"/>
    </row>
    <row r="90" spans="1:16" s="1236" customFormat="1">
      <c r="A90" s="2124"/>
      <c r="D90" s="1851"/>
      <c r="E90" s="1851"/>
      <c r="F90" s="1851"/>
      <c r="G90" s="1851"/>
      <c r="H90" s="1851"/>
      <c r="O90" s="84"/>
      <c r="P90" s="84"/>
    </row>
    <row r="91" spans="1:16" s="1236" customFormat="1">
      <c r="A91" s="2124"/>
      <c r="D91" s="1851"/>
      <c r="E91" s="1851"/>
      <c r="F91" s="1851"/>
      <c r="G91" s="1851"/>
      <c r="H91" s="1851"/>
      <c r="O91" s="84"/>
      <c r="P91" s="84"/>
    </row>
    <row r="92" spans="1:16" s="1236" customFormat="1">
      <c r="A92" s="2124"/>
      <c r="D92" s="1851"/>
      <c r="E92" s="1851"/>
      <c r="F92" s="1851"/>
      <c r="G92" s="1851"/>
      <c r="H92" s="1851"/>
      <c r="O92" s="84"/>
      <c r="P92" s="84"/>
    </row>
    <row r="93" spans="1:16" s="1236" customFormat="1">
      <c r="A93" s="2124"/>
      <c r="D93" s="1851"/>
      <c r="E93" s="1851"/>
      <c r="F93" s="1851"/>
      <c r="G93" s="1851"/>
      <c r="H93" s="1851"/>
      <c r="O93" s="84"/>
      <c r="P93" s="84"/>
    </row>
    <row r="94" spans="1:16" s="1236" customFormat="1">
      <c r="A94" s="2124"/>
      <c r="D94" s="1851"/>
      <c r="E94" s="1851"/>
      <c r="F94" s="1851"/>
      <c r="G94" s="1851"/>
      <c r="H94" s="1851"/>
      <c r="O94" s="84"/>
      <c r="P94" s="84"/>
    </row>
    <row r="95" spans="1:16" s="1236" customFormat="1">
      <c r="A95" s="2124"/>
      <c r="D95" s="1851"/>
      <c r="E95" s="1851"/>
      <c r="F95" s="1851"/>
      <c r="G95" s="1851"/>
      <c r="H95" s="1851"/>
      <c r="O95" s="84"/>
      <c r="P95" s="84"/>
    </row>
    <row r="96" spans="1:16" s="1236" customFormat="1">
      <c r="A96" s="2124"/>
      <c r="D96" s="1851"/>
      <c r="E96" s="1851"/>
      <c r="F96" s="1851"/>
      <c r="G96" s="1851"/>
      <c r="H96" s="1851"/>
      <c r="O96" s="84"/>
      <c r="P96" s="84"/>
    </row>
    <row r="97" spans="1:16" s="1236" customFormat="1">
      <c r="A97" s="2124"/>
      <c r="D97" s="1851"/>
      <c r="E97" s="1851"/>
      <c r="F97" s="1851"/>
      <c r="G97" s="1851"/>
      <c r="H97" s="1851"/>
      <c r="O97" s="84"/>
      <c r="P97" s="84"/>
    </row>
    <row r="98" spans="1:16" s="1236" customFormat="1">
      <c r="A98" s="2124"/>
      <c r="D98" s="1851"/>
      <c r="E98" s="1851"/>
      <c r="F98" s="1851"/>
      <c r="G98" s="1851"/>
      <c r="H98" s="1851"/>
      <c r="O98" s="84"/>
      <c r="P98" s="84"/>
    </row>
    <row r="99" spans="1:16" s="1236" customFormat="1">
      <c r="A99" s="2124"/>
      <c r="D99" s="1851"/>
      <c r="E99" s="1851"/>
      <c r="F99" s="1851"/>
      <c r="G99" s="1851"/>
      <c r="H99" s="1851"/>
      <c r="O99" s="84"/>
      <c r="P99" s="84"/>
    </row>
    <row r="100" spans="1:16" s="1236" customFormat="1">
      <c r="A100" s="2124"/>
      <c r="D100" s="1851"/>
      <c r="E100" s="1851"/>
      <c r="F100" s="1851"/>
      <c r="G100" s="1851"/>
      <c r="H100" s="1851"/>
      <c r="O100" s="84"/>
      <c r="P100" s="84"/>
    </row>
    <row r="101" spans="1:16" s="1236" customFormat="1">
      <c r="A101" s="2124"/>
      <c r="D101" s="1851"/>
      <c r="E101" s="1851"/>
      <c r="F101" s="1851"/>
      <c r="G101" s="1851"/>
      <c r="H101" s="1851"/>
      <c r="O101" s="84"/>
      <c r="P101" s="84"/>
    </row>
    <row r="102" spans="1:16" s="1236" customFormat="1">
      <c r="A102" s="2124"/>
      <c r="D102" s="1851"/>
      <c r="E102" s="1851"/>
      <c r="F102" s="1851"/>
      <c r="G102" s="1851"/>
      <c r="H102" s="1851"/>
      <c r="O102" s="84"/>
      <c r="P102" s="84"/>
    </row>
    <row r="103" spans="1:16" s="1236" customFormat="1">
      <c r="A103" s="2124"/>
      <c r="D103" s="1851"/>
      <c r="E103" s="1851"/>
      <c r="F103" s="1851"/>
      <c r="G103" s="1851"/>
      <c r="H103" s="1851"/>
      <c r="O103" s="84"/>
      <c r="P103" s="84"/>
    </row>
    <row r="104" spans="1:16" s="1236" customFormat="1">
      <c r="A104" s="2124"/>
      <c r="D104" s="1851"/>
      <c r="E104" s="1851"/>
      <c r="F104" s="1851"/>
      <c r="G104" s="1851"/>
      <c r="H104" s="1851"/>
      <c r="O104" s="84"/>
      <c r="P104" s="84"/>
    </row>
    <row r="105" spans="1:16" s="1236" customFormat="1">
      <c r="A105" s="2124"/>
      <c r="D105" s="1851"/>
      <c r="E105" s="1851"/>
      <c r="F105" s="1851"/>
      <c r="G105" s="1851"/>
      <c r="H105" s="1851"/>
      <c r="O105" s="84"/>
      <c r="P105" s="84"/>
    </row>
    <row r="106" spans="1:16" s="1236" customFormat="1">
      <c r="A106" s="2124"/>
      <c r="D106" s="1851"/>
      <c r="E106" s="1851"/>
      <c r="F106" s="1851"/>
      <c r="G106" s="1851"/>
      <c r="H106" s="1851"/>
      <c r="O106" s="84"/>
      <c r="P106" s="84"/>
    </row>
    <row r="107" spans="1:16" s="1236" customFormat="1">
      <c r="A107" s="2124"/>
      <c r="D107" s="1851"/>
      <c r="E107" s="1851"/>
      <c r="F107" s="1851"/>
      <c r="G107" s="1851"/>
      <c r="H107" s="1851"/>
      <c r="O107" s="84"/>
      <c r="P107" s="84"/>
    </row>
    <row r="108" spans="1:16" s="1236" customFormat="1">
      <c r="A108" s="2124"/>
      <c r="D108" s="1851"/>
      <c r="E108" s="1851"/>
      <c r="F108" s="1851"/>
      <c r="G108" s="1851"/>
      <c r="H108" s="1851"/>
      <c r="O108" s="84"/>
      <c r="P108" s="84"/>
    </row>
    <row r="109" spans="1:16" s="1236" customFormat="1">
      <c r="A109" s="2124"/>
      <c r="D109" s="1851"/>
      <c r="E109" s="1851"/>
      <c r="F109" s="1851"/>
      <c r="G109" s="1851"/>
      <c r="H109" s="1851"/>
      <c r="O109" s="84"/>
      <c r="P109" s="84"/>
    </row>
    <row r="110" spans="1:16" s="1236" customFormat="1">
      <c r="A110" s="2124"/>
      <c r="D110" s="1851"/>
      <c r="E110" s="1851"/>
      <c r="F110" s="1851"/>
      <c r="G110" s="1851"/>
      <c r="H110" s="1851"/>
      <c r="O110" s="84"/>
      <c r="P110" s="84"/>
    </row>
    <row r="111" spans="1:16" s="1236" customFormat="1">
      <c r="A111" s="2124"/>
      <c r="D111" s="1851"/>
      <c r="E111" s="1851"/>
      <c r="F111" s="1851"/>
      <c r="G111" s="1851"/>
      <c r="H111" s="1851"/>
      <c r="O111" s="84"/>
      <c r="P111" s="84"/>
    </row>
    <row r="112" spans="1:16" s="1236" customFormat="1">
      <c r="A112" s="2124"/>
      <c r="D112" s="1851"/>
      <c r="E112" s="1851"/>
      <c r="F112" s="1851"/>
      <c r="G112" s="1851"/>
      <c r="H112" s="1851"/>
      <c r="O112" s="84"/>
      <c r="P112" s="84"/>
    </row>
    <row r="113" spans="1:16" s="1236" customFormat="1">
      <c r="A113" s="2124"/>
      <c r="D113" s="1851"/>
      <c r="E113" s="1851"/>
      <c r="F113" s="1851"/>
      <c r="G113" s="1851"/>
      <c r="H113" s="1851"/>
      <c r="O113" s="84"/>
      <c r="P113" s="84"/>
    </row>
    <row r="114" spans="1:16" s="1236" customFormat="1">
      <c r="A114" s="2124"/>
      <c r="D114" s="1851"/>
      <c r="E114" s="1851"/>
      <c r="F114" s="1851"/>
      <c r="G114" s="1851"/>
      <c r="H114" s="1851"/>
      <c r="O114" s="84"/>
      <c r="P114" s="84"/>
    </row>
    <row r="115" spans="1:16" s="1236" customFormat="1">
      <c r="A115" s="2124"/>
      <c r="D115" s="1851"/>
      <c r="E115" s="1851"/>
      <c r="F115" s="1851"/>
      <c r="G115" s="1851"/>
      <c r="H115" s="1851"/>
      <c r="O115" s="84"/>
      <c r="P115" s="84"/>
    </row>
    <row r="116" spans="1:16" s="1236" customFormat="1">
      <c r="A116" s="2124"/>
      <c r="D116" s="1851"/>
      <c r="E116" s="1851"/>
      <c r="F116" s="1851"/>
      <c r="G116" s="1851"/>
      <c r="H116" s="1851"/>
      <c r="O116" s="84"/>
      <c r="P116" s="84"/>
    </row>
    <row r="117" spans="1:16" s="1236" customFormat="1">
      <c r="A117" s="2124"/>
      <c r="D117" s="1851"/>
      <c r="E117" s="1851"/>
      <c r="F117" s="1851"/>
      <c r="G117" s="1851"/>
      <c r="H117" s="1851"/>
      <c r="O117" s="84"/>
      <c r="P117" s="84"/>
    </row>
    <row r="118" spans="1:16" s="1236" customFormat="1">
      <c r="A118" s="2124"/>
      <c r="D118" s="1851"/>
      <c r="E118" s="1851"/>
      <c r="F118" s="1851"/>
      <c r="G118" s="1851"/>
      <c r="H118" s="1851"/>
      <c r="O118" s="84"/>
      <c r="P118" s="84"/>
    </row>
    <row r="119" spans="1:16" s="1236" customFormat="1">
      <c r="A119" s="2124"/>
      <c r="D119" s="1851"/>
      <c r="E119" s="1851"/>
      <c r="F119" s="1851"/>
      <c r="G119" s="1851"/>
      <c r="H119" s="1851"/>
      <c r="O119" s="84"/>
      <c r="P119" s="84"/>
    </row>
    <row r="120" spans="1:16" s="1236" customFormat="1">
      <c r="A120" s="2124"/>
      <c r="D120" s="1851"/>
      <c r="E120" s="1851"/>
      <c r="F120" s="1851"/>
      <c r="G120" s="1851"/>
      <c r="H120" s="1851"/>
      <c r="O120" s="84"/>
      <c r="P120" s="84"/>
    </row>
    <row r="121" spans="1:16" s="1236" customFormat="1">
      <c r="A121" s="2124"/>
      <c r="D121" s="1851"/>
      <c r="E121" s="1851"/>
      <c r="F121" s="1851"/>
      <c r="G121" s="1851"/>
      <c r="H121" s="1851"/>
      <c r="O121" s="84"/>
      <c r="P121" s="84"/>
    </row>
    <row r="122" spans="1:16" s="1236" customFormat="1">
      <c r="A122" s="2124"/>
      <c r="D122" s="1851"/>
      <c r="E122" s="1851"/>
      <c r="F122" s="1851"/>
      <c r="G122" s="1851"/>
      <c r="H122" s="1851"/>
      <c r="O122" s="84"/>
      <c r="P122" s="84"/>
    </row>
    <row r="123" spans="1:16" s="1236" customFormat="1">
      <c r="A123" s="2124"/>
      <c r="D123" s="1851"/>
      <c r="E123" s="1851"/>
      <c r="F123" s="1851"/>
      <c r="G123" s="1851"/>
      <c r="H123" s="1851"/>
      <c r="O123" s="84"/>
      <c r="P123" s="84"/>
    </row>
    <row r="124" spans="1:16" s="1236" customFormat="1">
      <c r="A124" s="2124"/>
      <c r="D124" s="1851"/>
      <c r="E124" s="1851"/>
      <c r="F124" s="1851"/>
      <c r="G124" s="1851"/>
      <c r="H124" s="1851"/>
      <c r="O124" s="84"/>
      <c r="P124" s="84"/>
    </row>
    <row r="125" spans="1:16" s="1236" customFormat="1">
      <c r="A125" s="2124"/>
      <c r="D125" s="1851"/>
      <c r="E125" s="1851"/>
      <c r="F125" s="1851"/>
      <c r="G125" s="1851"/>
      <c r="H125" s="1851"/>
      <c r="O125" s="84"/>
      <c r="P125" s="84"/>
    </row>
    <row r="126" spans="1:16" s="1236" customFormat="1">
      <c r="A126" s="2124"/>
      <c r="D126" s="1851"/>
      <c r="E126" s="1851"/>
      <c r="F126" s="1851"/>
      <c r="G126" s="1851"/>
      <c r="H126" s="1851"/>
      <c r="O126" s="84"/>
      <c r="P126" s="84"/>
    </row>
    <row r="127" spans="1:16" s="1236" customFormat="1">
      <c r="A127" s="2124"/>
      <c r="D127" s="1851"/>
      <c r="E127" s="1851"/>
      <c r="F127" s="1851"/>
      <c r="G127" s="1851"/>
      <c r="H127" s="1851"/>
      <c r="O127" s="84"/>
      <c r="P127" s="84"/>
    </row>
    <row r="128" spans="1:16" s="1236" customFormat="1">
      <c r="A128" s="2124"/>
      <c r="D128" s="1851"/>
      <c r="E128" s="1851"/>
      <c r="F128" s="1851"/>
      <c r="G128" s="1851"/>
      <c r="H128" s="1851"/>
      <c r="O128" s="84"/>
      <c r="P128" s="84"/>
    </row>
    <row r="129" spans="1:16" s="1236" customFormat="1">
      <c r="A129" s="2124"/>
      <c r="D129" s="1851"/>
      <c r="E129" s="1851"/>
      <c r="F129" s="1851"/>
      <c r="G129" s="1851"/>
      <c r="H129" s="1851"/>
      <c r="O129" s="84"/>
      <c r="P129" s="84"/>
    </row>
    <row r="130" spans="1:16" s="1236" customFormat="1">
      <c r="A130" s="2124"/>
      <c r="D130" s="1851"/>
      <c r="E130" s="1851"/>
      <c r="F130" s="1851"/>
      <c r="G130" s="1851"/>
      <c r="H130" s="1851"/>
      <c r="O130" s="84"/>
      <c r="P130" s="84"/>
    </row>
    <row r="131" spans="1:16" s="1236" customFormat="1">
      <c r="A131" s="2124"/>
      <c r="D131" s="1851"/>
      <c r="E131" s="1851"/>
      <c r="F131" s="1851"/>
      <c r="G131" s="1851"/>
      <c r="H131" s="1851"/>
      <c r="O131" s="84"/>
      <c r="P131" s="84"/>
    </row>
    <row r="132" spans="1:16" s="1236" customFormat="1">
      <c r="A132" s="2124"/>
      <c r="D132" s="1851"/>
      <c r="E132" s="1851"/>
      <c r="F132" s="1851"/>
      <c r="G132" s="1851"/>
      <c r="H132" s="1851"/>
      <c r="O132" s="84"/>
      <c r="P132" s="84"/>
    </row>
    <row r="133" spans="1:16" s="1236" customFormat="1">
      <c r="A133" s="2124"/>
      <c r="D133" s="1851"/>
      <c r="E133" s="1851"/>
      <c r="F133" s="1851"/>
      <c r="G133" s="1851"/>
      <c r="H133" s="1851"/>
      <c r="O133" s="84"/>
      <c r="P133" s="84"/>
    </row>
    <row r="134" spans="1:16" s="1236" customFormat="1">
      <c r="A134" s="2124"/>
      <c r="D134" s="1851"/>
      <c r="E134" s="1851"/>
      <c r="F134" s="1851"/>
      <c r="G134" s="1851"/>
      <c r="H134" s="1851"/>
      <c r="O134" s="84"/>
      <c r="P134" s="84"/>
    </row>
    <row r="135" spans="1:16" s="1236" customFormat="1">
      <c r="A135" s="2124"/>
      <c r="D135" s="1851"/>
      <c r="E135" s="1851"/>
      <c r="F135" s="1851"/>
      <c r="G135" s="1851"/>
      <c r="H135" s="1851"/>
      <c r="O135" s="84"/>
      <c r="P135" s="84"/>
    </row>
    <row r="136" spans="1:16" s="1236" customFormat="1">
      <c r="A136" s="2124"/>
      <c r="D136" s="1851"/>
      <c r="E136" s="1851"/>
      <c r="F136" s="1851"/>
      <c r="G136" s="1851"/>
      <c r="H136" s="1851"/>
      <c r="O136" s="84"/>
      <c r="P136" s="84"/>
    </row>
    <row r="137" spans="1:16" s="1236" customFormat="1">
      <c r="A137" s="2124"/>
      <c r="D137" s="1851"/>
      <c r="E137" s="1851"/>
      <c r="F137" s="1851"/>
      <c r="G137" s="1851"/>
      <c r="H137" s="1851"/>
      <c r="O137" s="84"/>
      <c r="P137" s="84"/>
    </row>
    <row r="138" spans="1:16" s="1236" customFormat="1">
      <c r="A138" s="2124"/>
      <c r="D138" s="1851"/>
      <c r="E138" s="1851"/>
      <c r="F138" s="1851"/>
      <c r="G138" s="1851"/>
      <c r="H138" s="1851"/>
      <c r="O138" s="84"/>
      <c r="P138" s="84"/>
    </row>
    <row r="139" spans="1:16" s="1236" customFormat="1">
      <c r="A139" s="2124"/>
      <c r="D139" s="1851"/>
      <c r="E139" s="1851"/>
      <c r="F139" s="1851"/>
      <c r="G139" s="1851"/>
      <c r="H139" s="1851"/>
      <c r="O139" s="84"/>
      <c r="P139" s="84"/>
    </row>
    <row r="140" spans="1:16" s="1236" customFormat="1">
      <c r="A140" s="2124"/>
      <c r="D140" s="1851"/>
      <c r="E140" s="1851"/>
      <c r="F140" s="1851"/>
      <c r="G140" s="1851"/>
      <c r="H140" s="1851"/>
      <c r="O140" s="84"/>
      <c r="P140" s="84"/>
    </row>
    <row r="141" spans="1:16" s="1236" customFormat="1">
      <c r="A141" s="2124"/>
      <c r="D141" s="1851"/>
      <c r="E141" s="1851"/>
      <c r="F141" s="1851"/>
      <c r="G141" s="1851"/>
      <c r="H141" s="1851"/>
      <c r="O141" s="84"/>
      <c r="P141" s="84"/>
    </row>
    <row r="142" spans="1:16" s="1236" customFormat="1">
      <c r="A142" s="2124"/>
      <c r="D142" s="1851"/>
      <c r="E142" s="1851"/>
      <c r="F142" s="1851"/>
      <c r="G142" s="1851"/>
      <c r="H142" s="1851"/>
      <c r="O142" s="84"/>
      <c r="P142" s="84"/>
    </row>
    <row r="143" spans="1:16" s="1236" customFormat="1">
      <c r="A143" s="2124"/>
      <c r="D143" s="1851"/>
      <c r="E143" s="1851"/>
      <c r="F143" s="1851"/>
      <c r="G143" s="1851"/>
      <c r="H143" s="1851"/>
      <c r="O143" s="84"/>
      <c r="P143" s="84"/>
    </row>
    <row r="144" spans="1:16" s="1236" customFormat="1">
      <c r="A144" s="2124"/>
      <c r="D144" s="1851"/>
      <c r="E144" s="1851"/>
      <c r="F144" s="1851"/>
      <c r="G144" s="1851"/>
      <c r="H144" s="1851"/>
      <c r="O144" s="84"/>
      <c r="P144" s="84"/>
    </row>
    <row r="145" spans="1:16" s="1236" customFormat="1">
      <c r="A145" s="2124"/>
      <c r="D145" s="1851"/>
      <c r="E145" s="1851"/>
      <c r="F145" s="1851"/>
      <c r="G145" s="1851"/>
      <c r="H145" s="1851"/>
      <c r="O145" s="84"/>
      <c r="P145" s="84"/>
    </row>
    <row r="146" spans="1:16" s="1236" customFormat="1">
      <c r="A146" s="2124"/>
      <c r="D146" s="1851"/>
      <c r="E146" s="1851"/>
      <c r="F146" s="1851"/>
      <c r="G146" s="1851"/>
      <c r="H146" s="1851"/>
      <c r="O146" s="84"/>
      <c r="P146" s="84"/>
    </row>
    <row r="147" spans="1:16" s="1236" customFormat="1">
      <c r="A147" s="2124"/>
      <c r="D147" s="1851"/>
      <c r="E147" s="1851"/>
      <c r="F147" s="1851"/>
      <c r="G147" s="1851"/>
      <c r="H147" s="1851"/>
      <c r="O147" s="84"/>
      <c r="P147" s="84"/>
    </row>
    <row r="148" spans="1:16" s="1236" customFormat="1">
      <c r="A148" s="2124"/>
      <c r="D148" s="1851"/>
      <c r="E148" s="1851"/>
      <c r="F148" s="1851"/>
      <c r="G148" s="1851"/>
      <c r="H148" s="1851"/>
      <c r="O148" s="84"/>
      <c r="P148" s="84"/>
    </row>
    <row r="149" spans="1:16" s="1236" customFormat="1">
      <c r="A149" s="2124"/>
      <c r="D149" s="1851"/>
      <c r="E149" s="1851"/>
      <c r="F149" s="1851"/>
      <c r="G149" s="1851"/>
      <c r="H149" s="1851"/>
      <c r="O149" s="84"/>
      <c r="P149" s="84"/>
    </row>
    <row r="150" spans="1:16" s="1236" customFormat="1">
      <c r="A150" s="2124"/>
      <c r="D150" s="1851"/>
      <c r="E150" s="1851"/>
      <c r="F150" s="1851"/>
      <c r="G150" s="1851"/>
      <c r="H150" s="1851"/>
      <c r="O150" s="84"/>
      <c r="P150" s="84"/>
    </row>
    <row r="151" spans="1:16" s="1236" customFormat="1">
      <c r="A151" s="2124"/>
      <c r="D151" s="1851"/>
      <c r="E151" s="1851"/>
      <c r="F151" s="1851"/>
      <c r="G151" s="1851"/>
      <c r="H151" s="1851"/>
      <c r="O151" s="84"/>
      <c r="P151" s="84"/>
    </row>
    <row r="152" spans="1:16" s="1236" customFormat="1">
      <c r="A152" s="2124"/>
      <c r="D152" s="1851"/>
      <c r="E152" s="1851"/>
      <c r="F152" s="1851"/>
      <c r="G152" s="1851"/>
      <c r="H152" s="1851"/>
      <c r="O152" s="84"/>
      <c r="P152" s="84"/>
    </row>
    <row r="153" spans="1:16" s="1236" customFormat="1">
      <c r="A153" s="2125"/>
      <c r="B153" s="2071"/>
      <c r="D153" s="1851"/>
      <c r="E153" s="1851"/>
      <c r="F153" s="1851"/>
      <c r="G153" s="1851"/>
      <c r="H153" s="1851"/>
      <c r="O153" s="84"/>
      <c r="P153" s="84"/>
    </row>
    <row r="154" spans="1:16" s="1236" customFormat="1">
      <c r="A154" s="2125"/>
      <c r="B154" s="2071"/>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9.5" style="2140"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9"/>
    <col min="30" max="16384" width="9" style="2140"/>
  </cols>
  <sheetData>
    <row r="1" spans="1:29" s="2132" customFormat="1" ht="19.5" thickBot="1">
      <c r="A1" s="2825" t="s">
        <v>1732</v>
      </c>
      <c r="B1" s="2826"/>
      <c r="C1" s="2826"/>
      <c r="D1" s="2826"/>
      <c r="E1" s="2826"/>
      <c r="F1" s="2826"/>
      <c r="G1" s="2826"/>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1733</v>
      </c>
      <c r="D2" s="2136"/>
      <c r="E2" s="2137"/>
      <c r="F2" s="2138"/>
      <c r="G2" s="2135" t="s">
        <v>1734</v>
      </c>
      <c r="H2" s="2139"/>
      <c r="I2" s="2139"/>
      <c r="J2" s="2139"/>
      <c r="K2" s="2139"/>
      <c r="L2" s="2139"/>
      <c r="M2" s="2139"/>
      <c r="N2" s="2139"/>
      <c r="O2" s="2139"/>
      <c r="P2" s="2139"/>
      <c r="Q2" s="2139"/>
      <c r="R2" s="2139"/>
    </row>
    <row r="3" spans="1:29" ht="42.75">
      <c r="A3" s="395" t="s">
        <v>1735</v>
      </c>
      <c r="B3" s="2141" t="s">
        <v>1736</v>
      </c>
      <c r="C3" s="2734" t="s">
        <v>2824</v>
      </c>
      <c r="D3" s="2142"/>
      <c r="E3" s="411" t="s">
        <v>1735</v>
      </c>
      <c r="F3" s="2143" t="s">
        <v>1737</v>
      </c>
      <c r="G3" s="2144" t="s">
        <v>1738</v>
      </c>
      <c r="H3" s="2139"/>
      <c r="I3" s="2139"/>
      <c r="J3" s="2139"/>
      <c r="K3" s="2139"/>
      <c r="L3" s="2139"/>
      <c r="M3" s="2139"/>
      <c r="N3" s="2139"/>
      <c r="O3" s="2139"/>
      <c r="P3" s="2139"/>
      <c r="Q3" s="2139"/>
      <c r="R3" s="2139"/>
    </row>
    <row r="4" spans="1:29" ht="40.5" hidden="1">
      <c r="A4" s="411"/>
      <c r="B4" s="1884" t="s">
        <v>1739</v>
      </c>
      <c r="C4" s="2735"/>
      <c r="D4" s="2142"/>
      <c r="E4" s="2145"/>
      <c r="F4" s="2146" t="s">
        <v>1740</v>
      </c>
      <c r="G4" s="2147" t="s">
        <v>1741</v>
      </c>
      <c r="H4" s="2139"/>
      <c r="I4" s="2139"/>
      <c r="J4" s="2139"/>
      <c r="K4" s="2139"/>
      <c r="L4" s="2139"/>
      <c r="M4" s="2139"/>
      <c r="N4" s="2139"/>
      <c r="O4" s="2139"/>
      <c r="P4" s="2139"/>
      <c r="Q4" s="2139"/>
      <c r="R4" s="2139"/>
    </row>
    <row r="5" spans="1:29" ht="40.5" hidden="1">
      <c r="A5" s="411"/>
      <c r="B5" s="1884" t="s">
        <v>1742</v>
      </c>
      <c r="C5" s="2736" t="s">
        <v>2825</v>
      </c>
      <c r="D5" s="2142"/>
      <c r="E5" s="2145"/>
      <c r="F5" s="1884" t="s">
        <v>1743</v>
      </c>
      <c r="G5" s="2147" t="s">
        <v>1744</v>
      </c>
      <c r="H5" s="2139"/>
      <c r="I5" s="2139"/>
      <c r="J5" s="2139"/>
      <c r="K5" s="2139"/>
      <c r="L5" s="2139"/>
      <c r="M5" s="2139"/>
      <c r="N5" s="2139"/>
      <c r="O5" s="2139"/>
      <c r="P5" s="2139"/>
      <c r="Q5" s="2139"/>
      <c r="R5" s="2139"/>
    </row>
    <row r="6" spans="1:29" ht="81">
      <c r="A6" s="411"/>
      <c r="B6" s="1884" t="s">
        <v>1745</v>
      </c>
      <c r="C6" s="2735" t="s">
        <v>2847</v>
      </c>
      <c r="D6" s="2142"/>
      <c r="E6" s="2145"/>
      <c r="F6" s="1884" t="s">
        <v>1746</v>
      </c>
      <c r="G6" s="2147" t="s">
        <v>1747</v>
      </c>
      <c r="H6" s="2139"/>
      <c r="I6" s="2139"/>
      <c r="J6" s="2139"/>
      <c r="K6" s="2139"/>
      <c r="L6" s="2139"/>
      <c r="M6" s="2139"/>
      <c r="N6" s="2139"/>
      <c r="O6" s="2139"/>
      <c r="P6" s="2139"/>
      <c r="Q6" s="2139"/>
      <c r="R6" s="2139"/>
    </row>
    <row r="7" spans="1:29" ht="149.25" customHeight="1" thickBot="1">
      <c r="A7" s="411"/>
      <c r="B7" s="1884" t="s">
        <v>1743</v>
      </c>
      <c r="C7" s="2735" t="s">
        <v>2848</v>
      </c>
      <c r="D7" s="2148"/>
      <c r="E7" s="2149"/>
      <c r="F7" s="2150" t="s">
        <v>1748</v>
      </c>
      <c r="G7" s="2151" t="s">
        <v>1749</v>
      </c>
      <c r="H7" s="2139"/>
      <c r="I7" s="2139"/>
      <c r="J7" s="2139"/>
      <c r="K7" s="2139"/>
      <c r="L7" s="2139"/>
      <c r="M7" s="2139"/>
      <c r="N7" s="2139"/>
      <c r="O7" s="2139"/>
      <c r="P7" s="2139"/>
      <c r="Q7" s="2139"/>
      <c r="R7" s="2139"/>
    </row>
    <row r="8" spans="1:29" ht="15">
      <c r="A8" s="411"/>
      <c r="B8" s="1884" t="s">
        <v>1746</v>
      </c>
      <c r="C8" s="2737" t="s">
        <v>2842</v>
      </c>
      <c r="D8" s="2148"/>
      <c r="E8" s="2148"/>
      <c r="F8" s="1245"/>
      <c r="G8" s="1245"/>
      <c r="H8" s="2139"/>
      <c r="I8" s="2139"/>
      <c r="J8" s="2139"/>
      <c r="K8" s="2139"/>
      <c r="L8" s="2139"/>
      <c r="M8" s="2139"/>
      <c r="N8" s="2139"/>
      <c r="O8" s="2139"/>
      <c r="P8" s="2139"/>
      <c r="Q8" s="2139"/>
      <c r="R8" s="2139"/>
    </row>
    <row r="9" spans="1:29" ht="67.5">
      <c r="A9" s="411"/>
      <c r="B9" s="1884" t="s">
        <v>1750</v>
      </c>
      <c r="C9" s="2735" t="s">
        <v>2849</v>
      </c>
      <c r="D9" s="2142"/>
      <c r="E9" s="2148"/>
      <c r="F9" s="1245"/>
      <c r="G9" s="1245"/>
      <c r="H9" s="2139"/>
      <c r="I9" s="2139"/>
      <c r="J9" s="2139"/>
      <c r="K9" s="2139"/>
      <c r="L9" s="2139"/>
      <c r="M9" s="2139"/>
      <c r="N9" s="2139"/>
      <c r="O9" s="2139"/>
      <c r="P9" s="2139"/>
      <c r="Q9" s="2139"/>
      <c r="R9" s="2139"/>
    </row>
    <row r="10" spans="1:29" s="35" customFormat="1" ht="15.75" thickBot="1">
      <c r="A10" s="2152"/>
      <c r="B10" s="2153" t="s">
        <v>1751</v>
      </c>
      <c r="C10" s="2154"/>
      <c r="D10" s="2142"/>
      <c r="E10" s="2142"/>
      <c r="F10" s="1245"/>
      <c r="G10" s="1245"/>
      <c r="H10" s="2155"/>
      <c r="I10" s="2156"/>
      <c r="J10" s="2157"/>
      <c r="K10" s="2155"/>
      <c r="L10" s="2156"/>
      <c r="M10" s="2157"/>
      <c r="N10" s="2155"/>
      <c r="O10" s="2156"/>
      <c r="P10" s="2157"/>
      <c r="Q10" s="2155"/>
      <c r="R10" s="2156"/>
      <c r="S10" s="2139"/>
      <c r="T10" s="2139"/>
      <c r="U10" s="2139"/>
      <c r="V10" s="2139"/>
      <c r="W10" s="2139"/>
      <c r="X10" s="2139"/>
      <c r="Y10" s="2139"/>
      <c r="Z10" s="2139"/>
      <c r="AA10" s="2139"/>
      <c r="AB10" s="2139"/>
      <c r="AC10" s="2139"/>
    </row>
    <row r="11" spans="1:29" s="35" customFormat="1" ht="15">
      <c r="A11" s="2158"/>
      <c r="B11" s="2148"/>
      <c r="C11" s="2142"/>
      <c r="D11" s="2142"/>
      <c r="E11" s="2142"/>
      <c r="F11" s="2148"/>
      <c r="G11" s="1265"/>
      <c r="H11" s="2155"/>
      <c r="I11" s="2156"/>
      <c r="J11" s="2157"/>
      <c r="K11" s="2155"/>
      <c r="L11" s="2156"/>
      <c r="M11" s="2157"/>
      <c r="N11" s="2155"/>
      <c r="O11" s="2156"/>
      <c r="P11" s="2157"/>
      <c r="Q11" s="2155"/>
      <c r="R11" s="2156"/>
      <c r="S11" s="2139"/>
      <c r="T11" s="2139"/>
      <c r="U11" s="2139"/>
      <c r="V11" s="2139"/>
      <c r="W11" s="2139"/>
      <c r="X11" s="2139"/>
      <c r="Y11" s="2139"/>
      <c r="Z11" s="2139"/>
      <c r="AA11" s="2139"/>
      <c r="AB11" s="2139"/>
      <c r="AC11" s="2139"/>
    </row>
    <row r="12" spans="1:29" s="2132" customFormat="1" ht="18">
      <c r="A12" s="2158"/>
      <c r="B12" s="2148"/>
      <c r="C12" s="2142"/>
      <c r="D12" s="2159"/>
      <c r="E12" s="2142"/>
      <c r="F12" s="2148"/>
      <c r="G12" s="1265"/>
      <c r="H12" s="2160"/>
      <c r="I12" s="2161"/>
      <c r="J12" s="2160"/>
      <c r="K12" s="2160"/>
      <c r="L12" s="2162"/>
      <c r="M12" s="2160"/>
      <c r="N12" s="2163"/>
      <c r="O12" s="2164"/>
      <c r="P12" s="2163"/>
      <c r="Q12" s="2163"/>
      <c r="R12" s="2130"/>
      <c r="S12" s="2131"/>
      <c r="T12" s="2131"/>
      <c r="U12" s="2131"/>
      <c r="V12" s="2131"/>
      <c r="W12" s="2131"/>
      <c r="X12" s="2131"/>
      <c r="Y12" s="2131"/>
      <c r="Z12" s="2131"/>
      <c r="AA12" s="2131"/>
      <c r="AB12" s="2131"/>
      <c r="AC12" s="2131"/>
    </row>
    <row r="13" spans="1:29" ht="19.5" thickBot="1">
      <c r="A13" s="2165" t="s">
        <v>1752</v>
      </c>
      <c r="B13" s="2159"/>
      <c r="C13" s="2159"/>
      <c r="D13" s="2136"/>
      <c r="E13" s="2159"/>
      <c r="F13" s="2159"/>
      <c r="G13" s="2159"/>
    </row>
    <row r="14" spans="1:29" ht="15.75" thickBot="1">
      <c r="A14" s="2169"/>
      <c r="B14" s="2170"/>
      <c r="C14" s="2171" t="s">
        <v>1753</v>
      </c>
      <c r="D14" s="2142"/>
      <c r="E14" s="2172"/>
      <c r="F14" s="2172"/>
      <c r="G14" s="2135" t="s">
        <v>1754</v>
      </c>
    </row>
    <row r="15" spans="1:29" ht="42.75">
      <c r="A15" s="25" t="s">
        <v>1755</v>
      </c>
      <c r="B15" s="2173" t="s">
        <v>1736</v>
      </c>
      <c r="C15" s="2174" t="str">
        <f>C3</f>
        <v>周边有等居住社区成熟度较好</v>
      </c>
      <c r="D15" s="2142"/>
      <c r="E15" s="2175" t="s">
        <v>1756</v>
      </c>
      <c r="F15" s="2173" t="s">
        <v>1757</v>
      </c>
      <c r="G15" s="51" t="str">
        <f>G3</f>
        <v>估价对象位于XX开发区，园区建设成熟度XX，产业集聚程度XX</v>
      </c>
    </row>
    <row r="16" spans="1:29" ht="42.75">
      <c r="A16" s="629"/>
      <c r="B16" s="1492" t="s">
        <v>1739</v>
      </c>
      <c r="C16" s="2176">
        <f>C4</f>
        <v>0</v>
      </c>
      <c r="D16" s="2142"/>
      <c r="E16" s="2177"/>
      <c r="F16" s="2178" t="s">
        <v>1740</v>
      </c>
      <c r="G16" s="52" t="str">
        <f>G4</f>
        <v>估价对象周边道路状况、公共交通通达情况、停车便捷程度，综合评价交通便捷度较好</v>
      </c>
    </row>
    <row r="17" spans="1:18" ht="42.75">
      <c r="A17" s="629"/>
      <c r="B17" s="1492" t="s">
        <v>1742</v>
      </c>
      <c r="C17" s="2176" t="str">
        <f>C5</f>
        <v>估价对象位于XX商圈，周边办公楼项目较多，入驻率高，办公集聚程度较好</v>
      </c>
      <c r="D17" s="2148"/>
      <c r="E17" s="2177"/>
      <c r="F17" s="2178" t="s">
        <v>1758</v>
      </c>
      <c r="G17" s="2179"/>
    </row>
    <row r="18" spans="1:18" ht="71.25">
      <c r="A18" s="629"/>
      <c r="B18" s="2178" t="s">
        <v>1745</v>
      </c>
      <c r="C18" s="52" t="str">
        <f>C6</f>
        <v>临近城市支路——府右街，紧邻言志胡同，周边有14路、68路等多条公交线路及地铁1、4号线换乘站（西单站），交通状况较好。</v>
      </c>
      <c r="D18" s="2148"/>
      <c r="E18" s="2177"/>
      <c r="F18" s="2178" t="s">
        <v>1748</v>
      </c>
      <c r="G18" s="52" t="str">
        <f>G7</f>
        <v>该园区内是否有污染型企业，绿化情况，卫生条件，整体环境状况判断</v>
      </c>
    </row>
    <row r="19" spans="1:18" ht="28.5">
      <c r="A19" s="629"/>
      <c r="B19" s="2178" t="s">
        <v>1759</v>
      </c>
      <c r="C19" s="2179"/>
      <c r="D19" s="2142"/>
      <c r="E19" s="2177"/>
      <c r="F19" s="1884" t="s">
        <v>1743</v>
      </c>
      <c r="G19" s="52" t="str">
        <f>G5</f>
        <v>估价对象所在区域公共配套设施齐备情况</v>
      </c>
    </row>
    <row r="20" spans="1:18" ht="57">
      <c r="A20" s="629"/>
      <c r="B20" s="2178" t="s">
        <v>1760</v>
      </c>
      <c r="C20" s="2176" t="str">
        <f>C9</f>
        <v>区域自然环境：中南海、南海、护城河；人文环境：国家大剧院、北京图书大厦；综合评价环境状况较好。</v>
      </c>
      <c r="D20" s="2148"/>
      <c r="E20" s="2177"/>
      <c r="F20" s="1884" t="s">
        <v>1761</v>
      </c>
      <c r="G20" s="52" t="str">
        <f>G6</f>
        <v>估价对象所在区域基础设施水平</v>
      </c>
    </row>
    <row r="21" spans="1:18" ht="185.25">
      <c r="A21" s="629"/>
      <c r="B21" s="1884" t="s">
        <v>1743</v>
      </c>
      <c r="C21" s="52" t="str">
        <f>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21" s="2142"/>
      <c r="E21" s="2177"/>
      <c r="F21" s="2178" t="s">
        <v>1762</v>
      </c>
      <c r="G21" s="2180"/>
    </row>
    <row r="22" spans="1:18" ht="15">
      <c r="A22" s="629"/>
      <c r="B22" s="1884" t="s">
        <v>1746</v>
      </c>
      <c r="C22" s="52" t="str">
        <f>C8</f>
        <v>五通</v>
      </c>
      <c r="D22" s="2142"/>
      <c r="E22" s="2177"/>
      <c r="F22" s="2178" t="s">
        <v>1751</v>
      </c>
      <c r="G22" s="2181"/>
    </row>
    <row r="23" spans="1:18" s="2139" customFormat="1" ht="15.75" thickBot="1">
      <c r="A23" s="629"/>
      <c r="B23" s="2178" t="s">
        <v>1762</v>
      </c>
      <c r="C23" s="2180"/>
      <c r="D23" s="2166"/>
      <c r="E23" s="2182"/>
      <c r="F23" s="2183" t="s">
        <v>1763</v>
      </c>
      <c r="G23" s="2184"/>
      <c r="H23" s="2166"/>
      <c r="I23" s="2167"/>
      <c r="J23" s="2166"/>
      <c r="K23" s="2166"/>
      <c r="L23" s="2167"/>
      <c r="M23" s="2166"/>
      <c r="N23" s="2166"/>
      <c r="O23" s="2167"/>
      <c r="P23" s="2166"/>
      <c r="Q23" s="2166"/>
      <c r="R23" s="2168"/>
    </row>
    <row r="24" spans="1:18" s="2139" customFormat="1" ht="15.75" thickBot="1">
      <c r="A24" s="2185"/>
      <c r="B24" s="2183" t="s">
        <v>1764</v>
      </c>
      <c r="C24" s="53">
        <f>C10</f>
        <v>0</v>
      </c>
      <c r="D24" s="2166"/>
      <c r="E24" s="2186"/>
      <c r="F24" s="2186"/>
      <c r="G24" s="2187"/>
      <c r="H24" s="2166"/>
      <c r="I24" s="2167"/>
      <c r="J24" s="2166"/>
      <c r="K24" s="2166"/>
      <c r="L24" s="2167"/>
      <c r="M24" s="2166"/>
      <c r="N24" s="2166"/>
      <c r="O24" s="2167"/>
      <c r="P24" s="2166"/>
      <c r="Q24" s="2166"/>
      <c r="R24" s="2168"/>
    </row>
    <row r="25" spans="1:18" s="2139" customFormat="1">
      <c r="B25" s="2166"/>
      <c r="C25" s="2166"/>
      <c r="D25" s="2166"/>
      <c r="H25" s="2166"/>
      <c r="I25" s="2167"/>
      <c r="J25" s="2166"/>
      <c r="K25" s="2166"/>
      <c r="L25" s="2167"/>
      <c r="M25" s="2166"/>
      <c r="N25" s="2166"/>
      <c r="O25" s="2167"/>
      <c r="P25" s="2166"/>
      <c r="Q25" s="2166"/>
      <c r="R25" s="2168"/>
    </row>
    <row r="26" spans="1:18" s="2139" customFormat="1">
      <c r="B26" s="2166"/>
      <c r="C26" s="2166"/>
      <c r="D26" s="2166"/>
      <c r="H26" s="2166"/>
      <c r="I26" s="2167"/>
      <c r="J26" s="2166"/>
      <c r="K26" s="2166"/>
      <c r="L26" s="2167"/>
      <c r="M26" s="2166"/>
      <c r="N26" s="2166"/>
      <c r="O26" s="2167"/>
      <c r="P26" s="2166"/>
      <c r="Q26" s="2166"/>
      <c r="R26" s="2168"/>
    </row>
    <row r="27" spans="1:18" s="2139" customFormat="1">
      <c r="B27" s="2166"/>
      <c r="C27" s="2166"/>
      <c r="D27" s="2166"/>
      <c r="H27" s="2166"/>
      <c r="I27" s="2167"/>
      <c r="J27" s="2166"/>
      <c r="K27" s="2166"/>
      <c r="L27" s="2167"/>
      <c r="M27" s="2166"/>
      <c r="N27" s="2166"/>
      <c r="O27" s="2167"/>
      <c r="P27" s="2166"/>
      <c r="Q27" s="2166"/>
      <c r="R27" s="2168"/>
    </row>
    <row r="28" spans="1:18" s="2139" customFormat="1">
      <c r="B28" s="2166"/>
      <c r="C28" s="2166"/>
      <c r="D28" s="2166"/>
      <c r="H28" s="2166"/>
      <c r="I28" s="2167"/>
      <c r="J28" s="2166"/>
      <c r="K28" s="2166"/>
      <c r="L28" s="2167"/>
      <c r="M28" s="2166"/>
      <c r="N28" s="2166"/>
      <c r="O28" s="2167"/>
      <c r="P28" s="2166"/>
      <c r="Q28" s="2166"/>
      <c r="R28" s="2168"/>
    </row>
    <row r="29" spans="1:18" s="2139" customFormat="1">
      <c r="B29" s="2166"/>
      <c r="C29" s="2166"/>
      <c r="D29" s="2166"/>
      <c r="H29" s="2166"/>
      <c r="I29" s="2167"/>
      <c r="J29" s="2166"/>
      <c r="K29" s="2166"/>
      <c r="L29" s="2167"/>
      <c r="M29" s="2166"/>
      <c r="N29" s="2166"/>
      <c r="O29" s="2167"/>
      <c r="P29" s="2166"/>
      <c r="Q29" s="2166"/>
      <c r="R29" s="2168"/>
    </row>
    <row r="30" spans="1:18" s="2139" customFormat="1">
      <c r="B30" s="2166"/>
      <c r="C30" s="2166"/>
      <c r="D30" s="2166"/>
      <c r="H30" s="2166"/>
      <c r="I30" s="2167"/>
      <c r="J30" s="2166"/>
      <c r="K30" s="2166"/>
      <c r="L30" s="2167"/>
      <c r="M30" s="2166"/>
      <c r="N30" s="2166"/>
      <c r="O30" s="2167"/>
      <c r="P30" s="2166"/>
      <c r="Q30" s="2166"/>
      <c r="R30" s="2168"/>
    </row>
    <row r="31" spans="1:18" s="2139" customFormat="1">
      <c r="B31" s="2166"/>
      <c r="C31" s="2166"/>
      <c r="D31" s="2166"/>
      <c r="H31" s="2166"/>
      <c r="I31" s="2167"/>
      <c r="J31" s="2166"/>
      <c r="K31" s="2166"/>
      <c r="L31" s="2167"/>
      <c r="M31" s="2166"/>
      <c r="N31" s="2166"/>
      <c r="O31" s="2167"/>
      <c r="P31" s="2166"/>
      <c r="Q31" s="2166"/>
      <c r="R31" s="2168"/>
    </row>
    <row r="32" spans="1:18" s="2139" customFormat="1">
      <c r="B32" s="2166"/>
      <c r="C32" s="2166"/>
      <c r="D32" s="2166"/>
      <c r="H32" s="2166"/>
      <c r="I32" s="2167"/>
      <c r="J32" s="2166"/>
      <c r="K32" s="2166"/>
      <c r="L32" s="2167"/>
      <c r="M32" s="2166"/>
      <c r="N32" s="2166"/>
      <c r="O32" s="2167"/>
      <c r="P32" s="2166"/>
      <c r="Q32" s="2166"/>
      <c r="R32" s="2168"/>
    </row>
    <row r="33" spans="2:18" s="2139" customFormat="1">
      <c r="B33" s="2166"/>
      <c r="C33" s="2166"/>
      <c r="D33" s="2166"/>
      <c r="H33" s="2166"/>
      <c r="I33" s="2167"/>
      <c r="J33" s="2166"/>
      <c r="K33" s="2166"/>
      <c r="L33" s="2167"/>
      <c r="M33" s="2166"/>
      <c r="N33" s="2166"/>
      <c r="O33" s="2167"/>
      <c r="P33" s="2166"/>
      <c r="Q33" s="2166"/>
      <c r="R33" s="2168"/>
    </row>
    <row r="34" spans="2:18" s="2139" customFormat="1">
      <c r="B34" s="2166"/>
      <c r="C34" s="2166"/>
      <c r="D34" s="2166"/>
      <c r="H34" s="2166"/>
      <c r="I34" s="2167"/>
      <c r="J34" s="2166"/>
      <c r="K34" s="2166"/>
      <c r="L34" s="2167"/>
      <c r="M34" s="2166"/>
      <c r="N34" s="2166"/>
      <c r="O34" s="2167"/>
      <c r="P34" s="2166"/>
      <c r="Q34" s="2166"/>
      <c r="R34" s="2168"/>
    </row>
    <row r="35" spans="2:18" s="2139" customFormat="1">
      <c r="B35" s="2166"/>
      <c r="C35" s="2166"/>
      <c r="D35" s="2166"/>
      <c r="H35" s="2166"/>
      <c r="I35" s="2167"/>
      <c r="J35" s="2166"/>
      <c r="K35" s="2166"/>
      <c r="L35" s="2167"/>
      <c r="M35" s="2166"/>
      <c r="N35" s="2166"/>
      <c r="O35" s="2167"/>
      <c r="P35" s="2166"/>
      <c r="Q35" s="2166"/>
      <c r="R35" s="2168"/>
    </row>
    <row r="36" spans="2:18" s="2139" customFormat="1">
      <c r="B36" s="2166"/>
      <c r="C36" s="2166"/>
      <c r="D36" s="2166"/>
      <c r="H36" s="2166"/>
      <c r="I36" s="2167"/>
      <c r="J36" s="2166"/>
      <c r="K36" s="2166"/>
      <c r="L36" s="2167"/>
      <c r="M36" s="2166"/>
      <c r="N36" s="2166"/>
      <c r="O36" s="2167"/>
      <c r="P36" s="2166"/>
      <c r="Q36" s="2166"/>
      <c r="R36" s="2168"/>
    </row>
    <row r="37" spans="2:18" s="2139" customFormat="1">
      <c r="B37" s="2166"/>
      <c r="C37" s="2166"/>
      <c r="D37" s="2166"/>
      <c r="H37" s="2166"/>
      <c r="I37" s="2167"/>
      <c r="J37" s="2166"/>
      <c r="K37" s="2166"/>
      <c r="L37" s="2167"/>
      <c r="M37" s="2166"/>
      <c r="N37" s="2166"/>
      <c r="O37" s="2167"/>
      <c r="P37" s="2166"/>
      <c r="Q37" s="2166"/>
      <c r="R37" s="2168"/>
    </row>
    <row r="38" spans="2:18" s="2139" customFormat="1">
      <c r="B38" s="2166"/>
      <c r="C38" s="2166"/>
      <c r="D38" s="2166"/>
      <c r="E38" s="2166"/>
      <c r="F38" s="2166"/>
      <c r="G38" s="2167"/>
      <c r="H38" s="2166"/>
      <c r="I38" s="2167"/>
      <c r="J38" s="2166"/>
      <c r="K38" s="2166"/>
      <c r="L38" s="2167"/>
      <c r="M38" s="2166"/>
      <c r="N38" s="2166"/>
      <c r="O38" s="2167"/>
      <c r="P38" s="2166"/>
      <c r="Q38" s="2166"/>
      <c r="R38" s="2168"/>
    </row>
    <row r="39" spans="2:18" s="2139" customFormat="1">
      <c r="B39" s="2166"/>
      <c r="C39" s="2166"/>
      <c r="D39" s="2166"/>
      <c r="E39" s="2166"/>
      <c r="F39" s="2166"/>
      <c r="G39" s="2167"/>
      <c r="H39" s="2166"/>
      <c r="I39" s="2167"/>
      <c r="J39" s="2166"/>
      <c r="K39" s="2166"/>
      <c r="L39" s="2167"/>
      <c r="M39" s="2166"/>
      <c r="N39" s="2166"/>
      <c r="O39" s="2167"/>
      <c r="P39" s="2166"/>
      <c r="Q39" s="2166"/>
      <c r="R39" s="2168"/>
    </row>
    <row r="40" spans="2:18" s="2139" customFormat="1">
      <c r="B40" s="2166"/>
      <c r="C40" s="2166"/>
      <c r="D40" s="2166"/>
      <c r="E40" s="2166"/>
      <c r="F40" s="2166"/>
      <c r="G40" s="2167"/>
      <c r="H40" s="2166"/>
      <c r="I40" s="2167"/>
      <c r="J40" s="2166"/>
      <c r="K40" s="2166"/>
      <c r="L40" s="2167"/>
      <c r="M40" s="2166"/>
      <c r="N40" s="2166"/>
      <c r="O40" s="2167"/>
      <c r="P40" s="2166"/>
      <c r="Q40" s="2166"/>
      <c r="R40" s="2168"/>
    </row>
    <row r="41" spans="2:18" s="2139" customFormat="1">
      <c r="B41" s="2166"/>
      <c r="C41" s="2166"/>
      <c r="D41" s="2166"/>
      <c r="E41" s="2166"/>
      <c r="F41" s="2166"/>
      <c r="G41" s="2167"/>
      <c r="H41" s="2166"/>
      <c r="I41" s="2167"/>
      <c r="J41" s="2166"/>
      <c r="K41" s="2166"/>
      <c r="L41" s="2167"/>
      <c r="M41" s="2166"/>
      <c r="N41" s="2166"/>
      <c r="O41" s="2167"/>
      <c r="P41" s="2166"/>
      <c r="Q41" s="2166"/>
      <c r="R41" s="2168"/>
    </row>
    <row r="42" spans="2:18" s="2139" customFormat="1">
      <c r="B42" s="2166"/>
      <c r="C42" s="2166"/>
      <c r="D42" s="2166"/>
      <c r="E42" s="2166"/>
      <c r="F42" s="2166"/>
      <c r="G42" s="2167"/>
      <c r="H42" s="2166"/>
      <c r="I42" s="2167"/>
      <c r="J42" s="2166"/>
      <c r="K42" s="2166"/>
      <c r="L42" s="2167"/>
      <c r="M42" s="2166"/>
      <c r="N42" s="2166"/>
      <c r="O42" s="2167"/>
      <c r="P42" s="2166"/>
      <c r="Q42" s="2166"/>
      <c r="R42" s="2168"/>
    </row>
    <row r="43" spans="2:18" s="2139" customFormat="1">
      <c r="B43" s="2166"/>
      <c r="C43" s="2166"/>
      <c r="D43" s="2166"/>
      <c r="E43" s="2166"/>
      <c r="F43" s="2166"/>
      <c r="G43" s="2167"/>
      <c r="H43" s="2166"/>
      <c r="I43" s="2167"/>
      <c r="J43" s="2166"/>
      <c r="K43" s="2166"/>
      <c r="L43" s="2167"/>
      <c r="M43" s="2166"/>
      <c r="N43" s="2166"/>
      <c r="O43" s="2167"/>
      <c r="P43" s="2166"/>
      <c r="Q43" s="2166"/>
      <c r="R43" s="2168"/>
    </row>
    <row r="44" spans="2:18" s="2139" customFormat="1">
      <c r="B44" s="2166"/>
      <c r="C44" s="2166"/>
      <c r="D44" s="2166"/>
      <c r="E44" s="2166"/>
      <c r="F44" s="2166"/>
      <c r="G44" s="2167"/>
      <c r="H44" s="2166"/>
      <c r="I44" s="2167"/>
      <c r="J44" s="2166"/>
      <c r="K44" s="2166"/>
      <c r="L44" s="2167"/>
      <c r="M44" s="2166"/>
      <c r="N44" s="2166"/>
      <c r="O44" s="2167"/>
      <c r="P44" s="2166"/>
      <c r="Q44" s="2166"/>
      <c r="R44" s="2168"/>
    </row>
    <row r="45" spans="2:18" s="2139" customFormat="1">
      <c r="B45" s="2166"/>
      <c r="C45" s="2166"/>
      <c r="D45" s="2166"/>
      <c r="E45" s="2166"/>
      <c r="F45" s="2166"/>
      <c r="G45" s="2167"/>
      <c r="H45" s="2166"/>
      <c r="I45" s="2167"/>
      <c r="J45" s="2166"/>
      <c r="K45" s="2166"/>
      <c r="L45" s="2167"/>
      <c r="M45" s="2166"/>
      <c r="N45" s="2166"/>
      <c r="O45" s="2167"/>
      <c r="P45" s="2166"/>
      <c r="Q45" s="2166"/>
      <c r="R45" s="2168"/>
    </row>
    <row r="46" spans="2:18" s="2139" customFormat="1">
      <c r="B46" s="2166"/>
      <c r="C46" s="2166"/>
      <c r="D46" s="2166"/>
      <c r="E46" s="2166"/>
      <c r="F46" s="2166"/>
      <c r="G46" s="2167"/>
      <c r="H46" s="2166"/>
      <c r="I46" s="2167"/>
      <c r="J46" s="2166"/>
      <c r="K46" s="2166"/>
      <c r="L46" s="2167"/>
      <c r="M46" s="2166"/>
      <c r="N46" s="2166"/>
      <c r="O46" s="2167"/>
      <c r="P46" s="2166"/>
      <c r="Q46" s="2166"/>
      <c r="R46" s="2168"/>
    </row>
    <row r="47" spans="2:18" s="2139" customFormat="1">
      <c r="B47" s="2166"/>
      <c r="C47" s="2166"/>
      <c r="D47" s="2166"/>
      <c r="E47" s="2166"/>
      <c r="F47" s="2166"/>
      <c r="G47" s="2167"/>
      <c r="H47" s="2166"/>
      <c r="I47" s="2167"/>
      <c r="J47" s="2166"/>
      <c r="K47" s="2166"/>
      <c r="L47" s="2167"/>
      <c r="M47" s="2166"/>
      <c r="N47" s="2166"/>
      <c r="O47" s="2167"/>
      <c r="P47" s="2166"/>
      <c r="Q47" s="2166"/>
      <c r="R47" s="2168"/>
    </row>
    <row r="48" spans="2:18" s="2139" customFormat="1">
      <c r="B48" s="2166"/>
      <c r="C48" s="2166"/>
      <c r="D48" s="2166"/>
      <c r="E48" s="2166"/>
      <c r="F48" s="2166"/>
      <c r="G48" s="2167"/>
      <c r="H48" s="2166"/>
      <c r="I48" s="2167"/>
      <c r="J48" s="2166"/>
      <c r="K48" s="2166"/>
      <c r="L48" s="2167"/>
      <c r="M48" s="2166"/>
      <c r="N48" s="2166"/>
      <c r="O48" s="2167"/>
      <c r="P48" s="2166"/>
      <c r="Q48" s="2166"/>
      <c r="R48" s="2168"/>
    </row>
    <row r="49" spans="2:18" s="2139" customFormat="1">
      <c r="B49" s="2166"/>
      <c r="C49" s="2166"/>
      <c r="D49" s="2166"/>
      <c r="E49" s="2166"/>
      <c r="F49" s="2166"/>
      <c r="G49" s="2167"/>
      <c r="H49" s="2166"/>
      <c r="I49" s="2167"/>
      <c r="J49" s="2166"/>
      <c r="K49" s="2166"/>
      <c r="L49" s="2167"/>
      <c r="M49" s="2166"/>
      <c r="N49" s="2166"/>
      <c r="O49" s="2167"/>
      <c r="P49" s="2166"/>
      <c r="Q49" s="2166"/>
      <c r="R49" s="2168"/>
    </row>
    <row r="50" spans="2:18" s="2139" customFormat="1">
      <c r="B50" s="2166"/>
      <c r="C50" s="2166"/>
      <c r="D50" s="2166"/>
      <c r="E50" s="2166"/>
      <c r="F50" s="2166"/>
      <c r="G50" s="2167"/>
      <c r="H50" s="2166"/>
      <c r="I50" s="2167"/>
      <c r="J50" s="2166"/>
      <c r="K50" s="2166"/>
      <c r="L50" s="2167"/>
      <c r="M50" s="2166"/>
      <c r="N50" s="2166"/>
      <c r="O50" s="2167"/>
      <c r="P50" s="2166"/>
      <c r="Q50" s="2166"/>
      <c r="R50" s="2168"/>
    </row>
    <row r="51" spans="2:18" s="2139" customFormat="1">
      <c r="B51" s="2166"/>
      <c r="C51" s="2166"/>
      <c r="D51" s="2166"/>
      <c r="E51" s="2166"/>
      <c r="F51" s="2166"/>
      <c r="G51" s="2167"/>
      <c r="H51" s="2166"/>
      <c r="I51" s="2167"/>
      <c r="J51" s="2166"/>
      <c r="K51" s="2166"/>
      <c r="L51" s="2167"/>
      <c r="M51" s="2166"/>
      <c r="N51" s="2166"/>
      <c r="O51" s="2167"/>
      <c r="P51" s="2166"/>
      <c r="Q51" s="2166"/>
      <c r="R51" s="2168"/>
    </row>
    <row r="52" spans="2:18" s="2139" customFormat="1">
      <c r="B52" s="2166"/>
      <c r="C52" s="2166"/>
      <c r="D52" s="2166"/>
      <c r="E52" s="2166"/>
      <c r="F52" s="2166"/>
      <c r="G52" s="2167"/>
      <c r="H52" s="2166"/>
      <c r="I52" s="2167"/>
      <c r="J52" s="2166"/>
      <c r="K52" s="2166"/>
      <c r="L52" s="2167"/>
      <c r="M52" s="2166"/>
      <c r="N52" s="2166"/>
      <c r="O52" s="2167"/>
      <c r="P52" s="2166"/>
      <c r="Q52" s="2166"/>
      <c r="R52" s="2168"/>
    </row>
    <row r="53" spans="2:18" s="2139" customFormat="1">
      <c r="B53" s="2166"/>
      <c r="C53" s="2166"/>
      <c r="D53" s="2166"/>
      <c r="E53" s="2166"/>
      <c r="F53" s="2166"/>
      <c r="G53" s="2167"/>
      <c r="H53" s="2166"/>
      <c r="I53" s="2167"/>
      <c r="J53" s="2166"/>
      <c r="K53" s="2166"/>
      <c r="L53" s="2167"/>
      <c r="M53" s="2166"/>
      <c r="N53" s="2166"/>
      <c r="O53" s="2167"/>
      <c r="P53" s="2166"/>
      <c r="Q53" s="2166"/>
      <c r="R53" s="2168"/>
    </row>
    <row r="54" spans="2:18" s="2139" customFormat="1">
      <c r="B54" s="2166"/>
      <c r="C54" s="2166"/>
      <c r="D54" s="2166"/>
      <c r="E54" s="2166"/>
      <c r="F54" s="2166"/>
      <c r="G54" s="2167"/>
      <c r="H54" s="2166"/>
      <c r="I54" s="2167"/>
      <c r="J54" s="2166"/>
      <c r="K54" s="2166"/>
      <c r="L54" s="2167"/>
      <c r="M54" s="2166"/>
      <c r="N54" s="2166"/>
      <c r="O54" s="2167"/>
      <c r="P54" s="2166"/>
      <c r="Q54" s="2166"/>
      <c r="R54" s="2168"/>
    </row>
    <row r="55" spans="2:18" s="2139" customFormat="1">
      <c r="B55" s="2166"/>
      <c r="C55" s="2166"/>
      <c r="D55" s="2166"/>
      <c r="E55" s="2166"/>
      <c r="F55" s="2166"/>
      <c r="G55" s="2167"/>
      <c r="H55" s="2166"/>
      <c r="I55" s="2167"/>
      <c r="J55" s="2166"/>
      <c r="K55" s="2166"/>
      <c r="L55" s="2167"/>
      <c r="M55" s="2166"/>
      <c r="N55" s="2166"/>
      <c r="O55" s="2167"/>
      <c r="P55" s="2166"/>
      <c r="Q55" s="2166"/>
      <c r="R55" s="2168"/>
    </row>
    <row r="56" spans="2:18" s="2139" customFormat="1">
      <c r="B56" s="2166"/>
      <c r="C56" s="2166"/>
      <c r="D56" s="2166"/>
      <c r="E56" s="2166"/>
      <c r="F56" s="2166"/>
      <c r="G56" s="2167"/>
      <c r="H56" s="2166"/>
      <c r="I56" s="2167"/>
      <c r="J56" s="2166"/>
      <c r="K56" s="2166"/>
      <c r="L56" s="2167"/>
      <c r="M56" s="2166"/>
      <c r="N56" s="2166"/>
      <c r="O56" s="2167"/>
      <c r="P56" s="2166"/>
      <c r="Q56" s="2166"/>
      <c r="R56" s="2168"/>
    </row>
    <row r="57" spans="2:18" s="2139" customFormat="1">
      <c r="B57" s="2166"/>
      <c r="C57" s="2166"/>
      <c r="D57" s="2166"/>
      <c r="E57" s="2166"/>
      <c r="F57" s="2166"/>
      <c r="G57" s="2167"/>
      <c r="H57" s="2166"/>
      <c r="I57" s="2167"/>
      <c r="J57" s="2166"/>
      <c r="K57" s="2166"/>
      <c r="L57" s="2167"/>
      <c r="M57" s="2166"/>
      <c r="N57" s="2166"/>
      <c r="O57" s="2167"/>
      <c r="P57" s="2166"/>
      <c r="Q57" s="2166"/>
      <c r="R57" s="2168"/>
    </row>
    <row r="58" spans="2:18" s="2139" customFormat="1">
      <c r="B58" s="2166"/>
      <c r="C58" s="2166"/>
      <c r="D58" s="2166"/>
      <c r="E58" s="2166"/>
      <c r="F58" s="2166"/>
      <c r="G58" s="2167"/>
      <c r="H58" s="2166"/>
      <c r="I58" s="2167"/>
      <c r="J58" s="2166"/>
      <c r="K58" s="2166"/>
      <c r="L58" s="2167"/>
      <c r="M58" s="2166"/>
      <c r="N58" s="2166"/>
      <c r="O58" s="2167"/>
      <c r="P58" s="2166"/>
      <c r="Q58" s="2166"/>
      <c r="R58" s="2168"/>
    </row>
    <row r="59" spans="2:18" s="2139" customFormat="1">
      <c r="B59" s="2166"/>
      <c r="C59" s="2166"/>
      <c r="D59" s="2166"/>
      <c r="E59" s="2166"/>
      <c r="F59" s="2166"/>
      <c r="G59" s="2167"/>
      <c r="H59" s="2166"/>
      <c r="I59" s="2167"/>
      <c r="J59" s="2166"/>
      <c r="K59" s="2166"/>
      <c r="L59" s="2167"/>
      <c r="M59" s="2166"/>
      <c r="N59" s="2166"/>
      <c r="O59" s="2167"/>
      <c r="P59" s="2166"/>
      <c r="Q59" s="2166"/>
      <c r="R59" s="2168"/>
    </row>
    <row r="60" spans="2:18" s="2139" customFormat="1">
      <c r="B60" s="2166"/>
      <c r="C60" s="2166"/>
      <c r="D60" s="2166"/>
      <c r="E60" s="2166"/>
      <c r="F60" s="2166"/>
      <c r="G60" s="2167"/>
      <c r="H60" s="2166"/>
      <c r="I60" s="2167"/>
      <c r="J60" s="2166"/>
      <c r="K60" s="2166"/>
      <c r="L60" s="2167"/>
      <c r="M60" s="2166"/>
      <c r="N60" s="2166"/>
      <c r="O60" s="2167"/>
      <c r="P60" s="2166"/>
      <c r="Q60" s="2166"/>
      <c r="R60" s="2168"/>
    </row>
    <row r="61" spans="2:18" s="2139" customFormat="1">
      <c r="B61" s="2166"/>
      <c r="C61" s="2166"/>
      <c r="D61" s="2166"/>
      <c r="E61" s="2166"/>
      <c r="F61" s="2166"/>
      <c r="G61" s="2167"/>
      <c r="H61" s="2166"/>
      <c r="I61" s="2167"/>
      <c r="J61" s="2166"/>
      <c r="K61" s="2166"/>
      <c r="L61" s="2167"/>
      <c r="M61" s="2166"/>
      <c r="N61" s="2166"/>
      <c r="O61" s="2167"/>
      <c r="P61" s="2166"/>
      <c r="Q61" s="2166"/>
      <c r="R61" s="2168"/>
    </row>
    <row r="62" spans="2:18" s="2139" customFormat="1">
      <c r="B62" s="2166"/>
      <c r="C62" s="2166"/>
      <c r="D62" s="2166"/>
      <c r="E62" s="2166"/>
      <c r="F62" s="2166"/>
      <c r="G62" s="2167"/>
      <c r="H62" s="2166"/>
      <c r="I62" s="2167"/>
      <c r="J62" s="2166"/>
      <c r="K62" s="2166"/>
      <c r="L62" s="2167"/>
      <c r="M62" s="2166"/>
      <c r="N62" s="2166"/>
      <c r="O62" s="2167"/>
      <c r="P62" s="2166"/>
      <c r="Q62" s="2166"/>
      <c r="R62" s="2168"/>
    </row>
    <row r="63" spans="2:18" s="2139" customFormat="1">
      <c r="B63" s="2166"/>
      <c r="C63" s="2166"/>
      <c r="D63" s="2166"/>
      <c r="E63" s="2166"/>
      <c r="F63" s="2166"/>
      <c r="G63" s="2167"/>
      <c r="H63" s="2166"/>
      <c r="I63" s="2167"/>
      <c r="J63" s="2166"/>
      <c r="K63" s="2166"/>
      <c r="L63" s="2167"/>
      <c r="M63" s="2166"/>
      <c r="N63" s="2166"/>
      <c r="O63" s="2167"/>
      <c r="P63" s="2166"/>
      <c r="Q63" s="2166"/>
      <c r="R63" s="2168"/>
    </row>
    <row r="64" spans="2:18" s="2139" customFormat="1">
      <c r="B64" s="2166"/>
      <c r="C64" s="2166"/>
      <c r="D64" s="2166"/>
      <c r="E64" s="2166"/>
      <c r="F64" s="2166"/>
      <c r="G64" s="2167"/>
      <c r="H64" s="2166"/>
      <c r="I64" s="2167"/>
      <c r="J64" s="2166"/>
      <c r="K64" s="2166"/>
      <c r="L64" s="2167"/>
      <c r="M64" s="2166"/>
      <c r="N64" s="2166"/>
      <c r="O64" s="2167"/>
      <c r="P64" s="2166"/>
      <c r="Q64" s="2166"/>
      <c r="R64" s="2168"/>
    </row>
    <row r="65" spans="2:18" s="2139" customFormat="1">
      <c r="B65" s="2166"/>
      <c r="C65" s="2166"/>
      <c r="D65" s="2166"/>
      <c r="E65" s="2166"/>
      <c r="F65" s="2166"/>
      <c r="G65" s="2167"/>
      <c r="H65" s="2166"/>
      <c r="I65" s="2167"/>
      <c r="J65" s="2166"/>
      <c r="K65" s="2166"/>
      <c r="L65" s="2167"/>
      <c r="M65" s="2166"/>
      <c r="N65" s="2166"/>
      <c r="O65" s="2167"/>
      <c r="P65" s="2166"/>
      <c r="Q65" s="2166"/>
      <c r="R65" s="2168"/>
    </row>
    <row r="66" spans="2:18" s="2139" customFormat="1">
      <c r="B66" s="2166"/>
      <c r="C66" s="2166"/>
      <c r="D66" s="2166"/>
      <c r="E66" s="2166"/>
      <c r="F66" s="2166"/>
      <c r="G66" s="2167"/>
      <c r="H66" s="2166"/>
      <c r="I66" s="2167"/>
      <c r="J66" s="2166"/>
      <c r="K66" s="2166"/>
      <c r="L66" s="2167"/>
      <c r="M66" s="2166"/>
      <c r="N66" s="2166"/>
      <c r="O66" s="2167"/>
      <c r="P66" s="2166"/>
      <c r="Q66" s="2166"/>
      <c r="R66" s="2168"/>
    </row>
    <row r="67" spans="2:18" s="2139" customFormat="1">
      <c r="B67" s="2166"/>
      <c r="C67" s="2166"/>
      <c r="D67" s="2166"/>
      <c r="E67" s="2166"/>
      <c r="F67" s="2166"/>
      <c r="G67" s="2167"/>
      <c r="H67" s="2166"/>
      <c r="I67" s="2167"/>
      <c r="J67" s="2166"/>
      <c r="K67" s="2166"/>
      <c r="L67" s="2167"/>
      <c r="M67" s="2166"/>
      <c r="N67" s="2166"/>
      <c r="O67" s="2167"/>
      <c r="P67" s="2166"/>
      <c r="Q67" s="2166"/>
      <c r="R67" s="2168"/>
    </row>
    <row r="68" spans="2:18" s="2139" customFormat="1">
      <c r="B68" s="2166"/>
      <c r="C68" s="2166"/>
      <c r="D68" s="2166"/>
      <c r="E68" s="2166"/>
      <c r="F68" s="2166"/>
      <c r="G68" s="2167"/>
      <c r="H68" s="2166"/>
      <c r="I68" s="2167"/>
      <c r="J68" s="2166"/>
      <c r="K68" s="2166"/>
      <c r="L68" s="2167"/>
      <c r="M68" s="2166"/>
      <c r="N68" s="2166"/>
      <c r="O68" s="2167"/>
      <c r="P68" s="2166"/>
      <c r="Q68" s="2166"/>
      <c r="R68" s="2168"/>
    </row>
    <row r="69" spans="2:18" s="2139" customFormat="1">
      <c r="B69" s="2166"/>
      <c r="C69" s="2166"/>
      <c r="D69" s="2166"/>
      <c r="E69" s="2166"/>
      <c r="F69" s="2166"/>
      <c r="G69" s="2167"/>
      <c r="H69" s="2166"/>
      <c r="I69" s="2167"/>
      <c r="J69" s="2166"/>
      <c r="K69" s="2166"/>
      <c r="L69" s="2167"/>
      <c r="M69" s="2166"/>
      <c r="N69" s="2166"/>
      <c r="O69" s="2167"/>
      <c r="P69" s="2166"/>
      <c r="Q69" s="2166"/>
      <c r="R69" s="2168"/>
    </row>
    <row r="70" spans="2:18" s="2139" customFormat="1">
      <c r="B70" s="2166"/>
      <c r="C70" s="2166"/>
      <c r="D70" s="2166"/>
      <c r="E70" s="2166"/>
      <c r="F70" s="2166"/>
      <c r="G70" s="2167"/>
      <c r="H70" s="2166"/>
      <c r="I70" s="2167"/>
      <c r="J70" s="2166"/>
      <c r="K70" s="2166"/>
      <c r="L70" s="2167"/>
      <c r="M70" s="2166"/>
      <c r="N70" s="2166"/>
      <c r="O70" s="2167"/>
      <c r="P70" s="2166"/>
      <c r="Q70" s="2166"/>
      <c r="R70" s="2168"/>
    </row>
    <row r="71" spans="2:18" s="2139" customFormat="1">
      <c r="B71" s="2166"/>
      <c r="C71" s="2166"/>
      <c r="D71" s="2166"/>
      <c r="E71" s="2166"/>
      <c r="F71" s="2166"/>
      <c r="G71" s="2167"/>
      <c r="H71" s="2166"/>
      <c r="I71" s="2167"/>
      <c r="J71" s="2166"/>
      <c r="K71" s="2166"/>
      <c r="L71" s="2167"/>
      <c r="M71" s="2166"/>
      <c r="N71" s="2166"/>
      <c r="O71" s="2167"/>
      <c r="P71" s="2166"/>
      <c r="Q71" s="2166"/>
      <c r="R71" s="2168"/>
    </row>
    <row r="72" spans="2:18" s="2139" customFormat="1">
      <c r="B72" s="2166"/>
      <c r="C72" s="2166"/>
      <c r="D72" s="2166"/>
      <c r="E72" s="2166"/>
      <c r="F72" s="2166"/>
      <c r="G72" s="2167"/>
      <c r="H72" s="2166"/>
      <c r="I72" s="2167"/>
      <c r="J72" s="2166"/>
      <c r="K72" s="2166"/>
      <c r="L72" s="2167"/>
      <c r="M72" s="2166"/>
      <c r="N72" s="2166"/>
      <c r="O72" s="2167"/>
      <c r="P72" s="2166"/>
      <c r="Q72" s="2166"/>
      <c r="R72" s="2168"/>
    </row>
    <row r="73" spans="2:18" s="2139" customFormat="1">
      <c r="B73" s="2166"/>
      <c r="C73" s="2166"/>
      <c r="D73" s="2166"/>
      <c r="E73" s="2166"/>
      <c r="F73" s="2166"/>
      <c r="G73" s="2167"/>
      <c r="H73" s="2166"/>
      <c r="I73" s="2167"/>
      <c r="J73" s="2166"/>
      <c r="K73" s="2166"/>
      <c r="L73" s="2167"/>
      <c r="M73" s="2166"/>
      <c r="N73" s="2166"/>
      <c r="O73" s="2167"/>
      <c r="P73" s="2166"/>
      <c r="Q73" s="2166"/>
      <c r="R73" s="2168"/>
    </row>
    <row r="74" spans="2:18" s="2139" customFormat="1">
      <c r="B74" s="2166"/>
      <c r="C74" s="2166"/>
      <c r="D74" s="2166"/>
      <c r="E74" s="2166"/>
      <c r="F74" s="2166"/>
      <c r="G74" s="2167"/>
      <c r="H74" s="2166"/>
      <c r="I74" s="2167"/>
      <c r="J74" s="2166"/>
      <c r="K74" s="2166"/>
      <c r="L74" s="2167"/>
      <c r="M74" s="2166"/>
      <c r="N74" s="2166"/>
      <c r="O74" s="2167"/>
      <c r="P74" s="2166"/>
      <c r="Q74" s="2166"/>
      <c r="R74" s="2168"/>
    </row>
    <row r="75" spans="2:18" s="2139" customFormat="1">
      <c r="B75" s="2166"/>
      <c r="C75" s="2166"/>
      <c r="D75" s="2166"/>
      <c r="E75" s="2166"/>
      <c r="F75" s="2166"/>
      <c r="G75" s="2167"/>
      <c r="H75" s="2166"/>
      <c r="I75" s="2167"/>
      <c r="J75" s="2166"/>
      <c r="K75" s="2166"/>
      <c r="L75" s="2167"/>
      <c r="M75" s="2166"/>
      <c r="N75" s="2166"/>
      <c r="O75" s="2167"/>
      <c r="P75" s="2166"/>
      <c r="Q75" s="2166"/>
      <c r="R75" s="2168"/>
    </row>
    <row r="76" spans="2:18" s="2139" customFormat="1">
      <c r="B76" s="2166"/>
      <c r="C76" s="2166"/>
      <c r="D76" s="2166"/>
      <c r="E76" s="2166"/>
      <c r="F76" s="2166"/>
      <c r="G76" s="2167"/>
      <c r="H76" s="2166"/>
      <c r="I76" s="2167"/>
      <c r="J76" s="2166"/>
      <c r="K76" s="2166"/>
      <c r="L76" s="2167"/>
      <c r="M76" s="2166"/>
      <c r="N76" s="2166"/>
      <c r="O76" s="2167"/>
      <c r="P76" s="2166"/>
      <c r="Q76" s="2166"/>
      <c r="R76" s="2168"/>
    </row>
    <row r="77" spans="2:18" s="2139" customFormat="1">
      <c r="B77" s="2166"/>
      <c r="C77" s="2166"/>
      <c r="D77" s="2166"/>
      <c r="E77" s="2166"/>
      <c r="F77" s="2166"/>
      <c r="G77" s="2167"/>
      <c r="H77" s="2166"/>
      <c r="I77" s="2167"/>
      <c r="J77" s="2166"/>
      <c r="K77" s="2166"/>
      <c r="L77" s="2167"/>
      <c r="M77" s="2166"/>
      <c r="N77" s="2166"/>
      <c r="O77" s="2167"/>
      <c r="P77" s="2166"/>
      <c r="Q77" s="2166"/>
      <c r="R77" s="2168"/>
    </row>
    <row r="78" spans="2:18" s="2139" customFormat="1">
      <c r="B78" s="2166"/>
      <c r="C78" s="2166"/>
      <c r="D78" s="2166"/>
      <c r="E78" s="2166"/>
      <c r="F78" s="2166"/>
      <c r="G78" s="2167"/>
      <c r="H78" s="2166"/>
      <c r="I78" s="2167"/>
      <c r="J78" s="2166"/>
      <c r="K78" s="2166"/>
      <c r="L78" s="2167"/>
      <c r="M78" s="2166"/>
      <c r="N78" s="2166"/>
      <c r="O78" s="2167"/>
      <c r="P78" s="2166"/>
      <c r="Q78" s="2166"/>
      <c r="R78" s="2168"/>
    </row>
    <row r="79" spans="2:18" s="2139" customFormat="1">
      <c r="B79" s="2166"/>
      <c r="C79" s="2166"/>
      <c r="D79" s="2166"/>
      <c r="E79" s="2166"/>
      <c r="F79" s="2166"/>
      <c r="G79" s="2167"/>
      <c r="H79" s="2166"/>
      <c r="I79" s="2167"/>
      <c r="J79" s="2166"/>
      <c r="K79" s="2166"/>
      <c r="L79" s="2167"/>
      <c r="M79" s="2166"/>
      <c r="N79" s="2166"/>
      <c r="O79" s="2167"/>
      <c r="P79" s="2166"/>
      <c r="Q79" s="2166"/>
      <c r="R79" s="2168"/>
    </row>
    <row r="80" spans="2:18" s="2139" customFormat="1">
      <c r="B80" s="2166"/>
      <c r="C80" s="2166"/>
      <c r="D80" s="2166"/>
      <c r="E80" s="2166"/>
      <c r="F80" s="2166"/>
      <c r="G80" s="2167"/>
      <c r="H80" s="2166"/>
      <c r="I80" s="2167"/>
      <c r="J80" s="2166"/>
      <c r="K80" s="2166"/>
      <c r="L80" s="2167"/>
      <c r="M80" s="2166"/>
      <c r="N80" s="2166"/>
      <c r="O80" s="2167"/>
      <c r="P80" s="2166"/>
      <c r="Q80" s="2166"/>
      <c r="R80" s="2168"/>
    </row>
    <row r="81" spans="2:18" s="2139" customFormat="1">
      <c r="B81" s="2166"/>
      <c r="C81" s="2166"/>
      <c r="D81" s="2166"/>
      <c r="E81" s="2166"/>
      <c r="F81" s="2166"/>
      <c r="G81" s="2167"/>
      <c r="H81" s="2166"/>
      <c r="I81" s="2167"/>
      <c r="J81" s="2166"/>
      <c r="K81" s="2166"/>
      <c r="L81" s="2167"/>
      <c r="M81" s="2166"/>
      <c r="N81" s="2166"/>
      <c r="O81" s="2167"/>
      <c r="P81" s="2166"/>
      <c r="Q81" s="2166"/>
      <c r="R81" s="2168"/>
    </row>
    <row r="82" spans="2:18" s="2139" customFormat="1">
      <c r="B82" s="2166"/>
      <c r="C82" s="2166"/>
      <c r="D82" s="2166"/>
      <c r="E82" s="2166"/>
      <c r="F82" s="2166"/>
      <c r="G82" s="2167"/>
      <c r="H82" s="2166"/>
      <c r="I82" s="2167"/>
      <c r="J82" s="2166"/>
      <c r="K82" s="2166"/>
      <c r="L82" s="2167"/>
      <c r="M82" s="2166"/>
      <c r="N82" s="2166"/>
      <c r="O82" s="2167"/>
      <c r="P82" s="2166"/>
      <c r="Q82" s="2166"/>
      <c r="R82" s="2168"/>
    </row>
    <row r="83" spans="2:18" s="2139" customFormat="1">
      <c r="B83" s="2166"/>
      <c r="C83" s="2166"/>
      <c r="D83" s="2166"/>
      <c r="E83" s="2166"/>
      <c r="F83" s="2166"/>
      <c r="G83" s="2167"/>
      <c r="H83" s="2166"/>
      <c r="I83" s="2167"/>
      <c r="J83" s="2166"/>
      <c r="K83" s="2166"/>
      <c r="L83" s="2167"/>
      <c r="M83" s="2166"/>
      <c r="N83" s="2166"/>
      <c r="O83" s="2167"/>
      <c r="P83" s="2166"/>
      <c r="Q83" s="2166"/>
      <c r="R83" s="2168"/>
    </row>
    <row r="84" spans="2:18" s="2139" customFormat="1">
      <c r="B84" s="2166"/>
      <c r="C84" s="2166"/>
      <c r="D84" s="2166"/>
      <c r="E84" s="2166"/>
      <c r="F84" s="2166"/>
      <c r="G84" s="2167"/>
      <c r="H84" s="2166"/>
      <c r="I84" s="2167"/>
      <c r="J84" s="2166"/>
      <c r="K84" s="2166"/>
      <c r="L84" s="2167"/>
      <c r="M84" s="2166"/>
      <c r="N84" s="2166"/>
      <c r="O84" s="2167"/>
      <c r="P84" s="2166"/>
      <c r="Q84" s="2166"/>
      <c r="R84" s="2168"/>
    </row>
    <row r="85" spans="2:18" s="2139" customFormat="1">
      <c r="B85" s="2166"/>
      <c r="C85" s="2166"/>
      <c r="D85" s="2166"/>
      <c r="E85" s="2166"/>
      <c r="F85" s="2166"/>
      <c r="G85" s="2167"/>
      <c r="H85" s="2166"/>
      <c r="I85" s="2167"/>
      <c r="J85" s="2166"/>
      <c r="K85" s="2166"/>
      <c r="L85" s="2167"/>
      <c r="M85" s="2166"/>
      <c r="N85" s="2166"/>
      <c r="O85" s="2167"/>
      <c r="P85" s="2166"/>
      <c r="Q85" s="2166"/>
      <c r="R85" s="2168"/>
    </row>
    <row r="86" spans="2:18" s="2139" customFormat="1">
      <c r="B86" s="2166"/>
      <c r="C86" s="2166"/>
      <c r="D86" s="2166"/>
      <c r="E86" s="2166"/>
      <c r="F86" s="2166"/>
      <c r="G86" s="2167"/>
      <c r="H86" s="2166"/>
      <c r="I86" s="2167"/>
      <c r="J86" s="2166"/>
      <c r="K86" s="2166"/>
      <c r="L86" s="2167"/>
      <c r="M86" s="2166"/>
      <c r="N86" s="2166"/>
      <c r="O86" s="2167"/>
      <c r="P86" s="2166"/>
      <c r="Q86" s="2166"/>
      <c r="R86" s="2168"/>
    </row>
    <row r="87" spans="2:18" s="2139" customFormat="1">
      <c r="B87" s="2166"/>
      <c r="C87" s="2166"/>
      <c r="D87" s="2166"/>
      <c r="E87" s="2166"/>
      <c r="F87" s="2166"/>
      <c r="G87" s="2167"/>
      <c r="H87" s="2166"/>
      <c r="I87" s="2167"/>
      <c r="J87" s="2166"/>
      <c r="K87" s="2166"/>
      <c r="L87" s="2167"/>
      <c r="M87" s="2166"/>
      <c r="N87" s="2166"/>
      <c r="O87" s="2167"/>
      <c r="P87" s="2166"/>
      <c r="Q87" s="2166"/>
      <c r="R87" s="2168"/>
    </row>
    <row r="88" spans="2:18" s="2139" customFormat="1">
      <c r="B88" s="2166"/>
      <c r="C88" s="2166"/>
      <c r="D88" s="2166"/>
      <c r="E88" s="2166"/>
      <c r="F88" s="2166"/>
      <c r="G88" s="2167"/>
      <c r="H88" s="2166"/>
      <c r="I88" s="2167"/>
      <c r="J88" s="2166"/>
      <c r="K88" s="2166"/>
      <c r="L88" s="2167"/>
      <c r="M88" s="2166"/>
      <c r="N88" s="2166"/>
      <c r="O88" s="2167"/>
      <c r="P88" s="2166"/>
      <c r="Q88" s="2166"/>
      <c r="R88" s="2168"/>
    </row>
    <row r="89" spans="2:18" s="2139" customFormat="1">
      <c r="B89" s="2166"/>
      <c r="C89" s="2166"/>
      <c r="D89" s="2166"/>
      <c r="E89" s="2166"/>
      <c r="F89" s="2166"/>
      <c r="G89" s="2167"/>
      <c r="H89" s="2166"/>
      <c r="I89" s="2167"/>
      <c r="J89" s="2166"/>
      <c r="K89" s="2166"/>
      <c r="L89" s="2167"/>
      <c r="M89" s="2166"/>
      <c r="N89" s="2166"/>
      <c r="O89" s="2167"/>
      <c r="P89" s="2166"/>
      <c r="Q89" s="2166"/>
      <c r="R89" s="2168"/>
    </row>
    <row r="90" spans="2:18" s="2139" customFormat="1">
      <c r="B90" s="2166"/>
      <c r="C90" s="2166"/>
      <c r="D90" s="2166"/>
      <c r="E90" s="2166"/>
      <c r="F90" s="2166"/>
      <c r="G90" s="2167"/>
      <c r="H90" s="2166"/>
      <c r="I90" s="2167"/>
      <c r="J90" s="2166"/>
      <c r="K90" s="2166"/>
      <c r="L90" s="2167"/>
      <c r="M90" s="2166"/>
      <c r="N90" s="2166"/>
      <c r="O90" s="2167"/>
      <c r="P90" s="2166"/>
      <c r="Q90" s="2166"/>
      <c r="R90" s="2168"/>
    </row>
    <row r="91" spans="2:18" s="2139" customFormat="1">
      <c r="B91" s="2166"/>
      <c r="C91" s="2166"/>
      <c r="D91" s="2166"/>
      <c r="E91" s="2166"/>
      <c r="F91" s="2166"/>
      <c r="G91" s="2167"/>
      <c r="H91" s="2166"/>
      <c r="I91" s="2167"/>
      <c r="J91" s="2166"/>
      <c r="K91" s="2166"/>
      <c r="L91" s="2167"/>
      <c r="M91" s="2166"/>
      <c r="N91" s="2166"/>
      <c r="O91" s="2167"/>
      <c r="P91" s="2166"/>
      <c r="Q91" s="2166"/>
      <c r="R91" s="2168"/>
    </row>
    <row r="92" spans="2:18" s="2139" customFormat="1">
      <c r="B92" s="2166"/>
      <c r="C92" s="2166"/>
      <c r="D92" s="2166"/>
      <c r="E92" s="2166"/>
      <c r="F92" s="2166"/>
      <c r="G92" s="2167"/>
      <c r="H92" s="2166"/>
      <c r="I92" s="2167"/>
      <c r="J92" s="2166"/>
      <c r="K92" s="2166"/>
      <c r="L92" s="2167"/>
      <c r="M92" s="2166"/>
      <c r="N92" s="2166"/>
      <c r="O92" s="2167"/>
      <c r="P92" s="2166"/>
      <c r="Q92" s="2166"/>
      <c r="R92" s="2168"/>
    </row>
    <row r="93" spans="2:18" s="2139" customFormat="1">
      <c r="B93" s="2166"/>
      <c r="C93" s="2166"/>
      <c r="D93" s="2166"/>
      <c r="E93" s="2166"/>
      <c r="F93" s="2166"/>
      <c r="G93" s="2167"/>
      <c r="H93" s="2166"/>
      <c r="I93" s="2167"/>
      <c r="J93" s="2166"/>
      <c r="K93" s="2166"/>
      <c r="L93" s="2167"/>
      <c r="M93" s="2166"/>
      <c r="N93" s="2166"/>
      <c r="O93" s="2167"/>
      <c r="P93" s="2166"/>
      <c r="Q93" s="2166"/>
      <c r="R93" s="2168"/>
    </row>
    <row r="94" spans="2:18" s="2139" customFormat="1">
      <c r="B94" s="2166"/>
      <c r="C94" s="2166"/>
      <c r="D94" s="2166"/>
      <c r="E94" s="2166"/>
      <c r="F94" s="2166"/>
      <c r="G94" s="2167"/>
      <c r="H94" s="2166"/>
      <c r="I94" s="2167"/>
      <c r="J94" s="2166"/>
      <c r="K94" s="2166"/>
      <c r="L94" s="2167"/>
      <c r="M94" s="2166"/>
      <c r="N94" s="2166"/>
      <c r="O94" s="2167"/>
      <c r="P94" s="2166"/>
      <c r="Q94" s="2166"/>
      <c r="R94" s="2168"/>
    </row>
    <row r="95" spans="2:18" s="2139" customFormat="1">
      <c r="B95" s="2166"/>
      <c r="C95" s="2166"/>
      <c r="D95" s="2166"/>
      <c r="E95" s="2166"/>
      <c r="F95" s="2166"/>
      <c r="G95" s="2167"/>
      <c r="H95" s="2166"/>
      <c r="I95" s="2167"/>
      <c r="J95" s="2166"/>
      <c r="K95" s="2166"/>
      <c r="L95" s="2167"/>
      <c r="M95" s="2166"/>
      <c r="N95" s="2166"/>
      <c r="O95" s="2167"/>
      <c r="P95" s="2166"/>
      <c r="Q95" s="2166"/>
      <c r="R95" s="2168"/>
    </row>
    <row r="96" spans="2:18" s="2139" customFormat="1">
      <c r="B96" s="2166"/>
      <c r="C96" s="2166"/>
      <c r="D96" s="2166"/>
      <c r="E96" s="2166"/>
      <c r="F96" s="2166"/>
      <c r="G96" s="2167"/>
      <c r="H96" s="2166"/>
      <c r="I96" s="2167"/>
      <c r="J96" s="2166"/>
      <c r="K96" s="2166"/>
      <c r="L96" s="2167"/>
      <c r="M96" s="2166"/>
      <c r="N96" s="2166"/>
      <c r="O96" s="2167"/>
      <c r="P96" s="2166"/>
      <c r="Q96" s="2166"/>
      <c r="R96" s="2168"/>
    </row>
    <row r="97" spans="2:18" s="2139" customFormat="1">
      <c r="B97" s="2166"/>
      <c r="C97" s="2166"/>
      <c r="D97" s="2166"/>
      <c r="E97" s="2166"/>
      <c r="F97" s="2166"/>
      <c r="G97" s="2167"/>
      <c r="H97" s="2166"/>
      <c r="I97" s="2167"/>
      <c r="J97" s="2166"/>
      <c r="K97" s="2166"/>
      <c r="L97" s="2167"/>
      <c r="M97" s="2166"/>
      <c r="N97" s="2166"/>
      <c r="O97" s="2167"/>
      <c r="P97" s="2166"/>
      <c r="Q97" s="2166"/>
      <c r="R97" s="2168"/>
    </row>
    <row r="98" spans="2:18" s="2139" customFormat="1">
      <c r="B98" s="2166"/>
      <c r="C98" s="2166"/>
      <c r="D98" s="2166"/>
      <c r="E98" s="2166"/>
      <c r="F98" s="2166"/>
      <c r="G98" s="2167"/>
      <c r="H98" s="2166"/>
      <c r="I98" s="2167"/>
      <c r="J98" s="2166"/>
      <c r="K98" s="2166"/>
      <c r="L98" s="2167"/>
      <c r="M98" s="2166"/>
      <c r="N98" s="2166"/>
      <c r="O98" s="2167"/>
      <c r="P98" s="2166"/>
      <c r="Q98" s="2166"/>
      <c r="R98" s="2168"/>
    </row>
    <row r="99" spans="2:18" s="2139" customFormat="1">
      <c r="B99" s="2166"/>
      <c r="C99" s="2166"/>
      <c r="D99" s="2166"/>
      <c r="E99" s="2166"/>
      <c r="F99" s="2166"/>
      <c r="G99" s="2167"/>
      <c r="H99" s="2166"/>
      <c r="I99" s="2167"/>
      <c r="J99" s="2166"/>
      <c r="K99" s="2166"/>
      <c r="L99" s="2167"/>
      <c r="M99" s="2166"/>
      <c r="N99" s="2166"/>
      <c r="O99" s="2167"/>
      <c r="P99" s="2166"/>
      <c r="Q99" s="2166"/>
      <c r="R99" s="2168"/>
    </row>
    <row r="100" spans="2:18" s="2139" customFormat="1">
      <c r="B100" s="2166"/>
      <c r="C100" s="2166"/>
      <c r="D100" s="2166"/>
      <c r="E100" s="2166"/>
      <c r="F100" s="2166"/>
      <c r="G100" s="2167"/>
      <c r="H100" s="2166"/>
      <c r="I100" s="2167"/>
      <c r="J100" s="2166"/>
      <c r="K100" s="2166"/>
      <c r="L100" s="2167"/>
      <c r="M100" s="2166"/>
      <c r="N100" s="2166"/>
      <c r="O100" s="2167"/>
      <c r="P100" s="2166"/>
      <c r="Q100" s="2166"/>
      <c r="R100" s="2168"/>
    </row>
    <row r="101" spans="2:18" s="2139" customFormat="1">
      <c r="B101" s="2166"/>
      <c r="C101" s="2166"/>
      <c r="D101" s="2166"/>
      <c r="E101" s="2166"/>
      <c r="F101" s="2166"/>
      <c r="G101" s="2167"/>
      <c r="H101" s="2166"/>
      <c r="I101" s="2167"/>
      <c r="J101" s="2166"/>
      <c r="K101" s="2166"/>
      <c r="L101" s="2167"/>
      <c r="M101" s="2166"/>
      <c r="N101" s="2166"/>
      <c r="O101" s="2167"/>
      <c r="P101" s="2166"/>
      <c r="Q101" s="2166"/>
      <c r="R101" s="2168"/>
    </row>
    <row r="102" spans="2:18" s="2139" customFormat="1">
      <c r="B102" s="2166"/>
      <c r="C102" s="2166"/>
      <c r="D102" s="2166"/>
      <c r="E102" s="2166"/>
      <c r="F102" s="2166"/>
      <c r="G102" s="2167"/>
      <c r="H102" s="2166"/>
      <c r="I102" s="2167"/>
      <c r="J102" s="2166"/>
      <c r="K102" s="2166"/>
      <c r="L102" s="2167"/>
      <c r="M102" s="2166"/>
      <c r="N102" s="2166"/>
      <c r="O102" s="2167"/>
      <c r="P102" s="2166"/>
      <c r="Q102" s="2166"/>
      <c r="R102" s="2168"/>
    </row>
    <row r="103" spans="2:18" s="2139" customFormat="1">
      <c r="B103" s="2166"/>
      <c r="C103" s="2166"/>
      <c r="D103" s="2166"/>
      <c r="E103" s="2166"/>
      <c r="F103" s="2166"/>
      <c r="G103" s="2167"/>
      <c r="H103" s="2166"/>
      <c r="I103" s="2167"/>
      <c r="J103" s="2166"/>
      <c r="K103" s="2166"/>
      <c r="L103" s="2167"/>
      <c r="M103" s="2166"/>
      <c r="N103" s="2166"/>
      <c r="O103" s="2167"/>
      <c r="P103" s="2166"/>
      <c r="Q103" s="2166"/>
      <c r="R103" s="2168"/>
    </row>
    <row r="104" spans="2:18" s="2139" customFormat="1">
      <c r="B104" s="2166"/>
      <c r="C104" s="2166"/>
      <c r="D104" s="2166"/>
      <c r="E104" s="2166"/>
      <c r="F104" s="2166"/>
      <c r="G104" s="2167"/>
      <c r="H104" s="2166"/>
      <c r="I104" s="2167"/>
      <c r="J104" s="2166"/>
      <c r="K104" s="2166"/>
      <c r="L104" s="2167"/>
      <c r="M104" s="2166"/>
      <c r="N104" s="2166"/>
      <c r="O104" s="2167"/>
      <c r="P104" s="2166"/>
      <c r="Q104" s="2166"/>
      <c r="R104" s="2168"/>
    </row>
    <row r="105" spans="2:18" s="2139" customFormat="1">
      <c r="B105" s="2166"/>
      <c r="C105" s="2166"/>
      <c r="D105" s="2166"/>
      <c r="E105" s="2166"/>
      <c r="F105" s="2166"/>
      <c r="G105" s="2167"/>
      <c r="H105" s="2166"/>
      <c r="I105" s="2167"/>
      <c r="J105" s="2166"/>
      <c r="K105" s="2166"/>
      <c r="L105" s="2167"/>
      <c r="M105" s="2166"/>
      <c r="N105" s="2166"/>
      <c r="O105" s="2167"/>
      <c r="P105" s="2166"/>
      <c r="Q105" s="2166"/>
      <c r="R105" s="2168"/>
    </row>
    <row r="106" spans="2:18" s="2139" customFormat="1">
      <c r="B106" s="2166"/>
      <c r="C106" s="2166"/>
      <c r="D106" s="2166"/>
      <c r="E106" s="2166"/>
      <c r="F106" s="2166"/>
      <c r="G106" s="2167"/>
      <c r="H106" s="2166"/>
      <c r="I106" s="2167"/>
      <c r="J106" s="2166"/>
      <c r="K106" s="2166"/>
      <c r="L106" s="2167"/>
      <c r="M106" s="2166"/>
      <c r="N106" s="2166"/>
      <c r="O106" s="2167"/>
      <c r="P106" s="2166"/>
      <c r="Q106" s="2166"/>
      <c r="R106" s="2168"/>
    </row>
    <row r="107" spans="2:18" s="2139" customFormat="1">
      <c r="B107" s="2166"/>
      <c r="C107" s="2166"/>
      <c r="D107" s="2166"/>
      <c r="E107" s="2166"/>
      <c r="F107" s="2166"/>
      <c r="G107" s="2167"/>
      <c r="H107" s="2166"/>
      <c r="I107" s="2167"/>
      <c r="J107" s="2166"/>
      <c r="K107" s="2166"/>
      <c r="L107" s="2167"/>
      <c r="M107" s="2166"/>
      <c r="N107" s="2166"/>
      <c r="O107" s="2167"/>
      <c r="P107" s="2166"/>
      <c r="Q107" s="2166"/>
      <c r="R107" s="2168"/>
    </row>
    <row r="108" spans="2:18" s="2139" customFormat="1">
      <c r="B108" s="2166"/>
      <c r="C108" s="2166"/>
      <c r="D108" s="2166"/>
      <c r="E108" s="2166"/>
      <c r="F108" s="2166"/>
      <c r="G108" s="2167"/>
      <c r="H108" s="2166"/>
      <c r="I108" s="2167"/>
      <c r="J108" s="2166"/>
      <c r="K108" s="2166"/>
      <c r="L108" s="2167"/>
      <c r="M108" s="2166"/>
      <c r="N108" s="2166"/>
      <c r="O108" s="2167"/>
      <c r="P108" s="2166"/>
      <c r="Q108" s="2166"/>
      <c r="R108" s="2168"/>
    </row>
    <row r="109" spans="2:18" s="2139" customFormat="1">
      <c r="B109" s="2166"/>
      <c r="C109" s="2166"/>
      <c r="D109" s="2166"/>
      <c r="E109" s="2166"/>
      <c r="F109" s="2166"/>
      <c r="G109" s="2167"/>
      <c r="H109" s="2166"/>
      <c r="I109" s="2167"/>
      <c r="J109" s="2166"/>
      <c r="K109" s="2166"/>
      <c r="L109" s="2167"/>
      <c r="M109" s="2166"/>
      <c r="N109" s="2166"/>
      <c r="O109" s="2167"/>
      <c r="P109" s="2166"/>
      <c r="Q109" s="2166"/>
      <c r="R109" s="2168"/>
    </row>
    <row r="110" spans="2:18" s="2139" customFormat="1">
      <c r="B110" s="2166"/>
      <c r="C110" s="2166"/>
      <c r="D110" s="2166"/>
      <c r="E110" s="2166"/>
      <c r="F110" s="2166"/>
      <c r="G110" s="2167"/>
      <c r="H110" s="2166"/>
      <c r="I110" s="2167"/>
      <c r="J110" s="2166"/>
      <c r="K110" s="2166"/>
      <c r="L110" s="2167"/>
      <c r="M110" s="2166"/>
      <c r="N110" s="2166"/>
      <c r="O110" s="2167"/>
      <c r="P110" s="2166"/>
      <c r="Q110" s="2166"/>
      <c r="R110" s="2168"/>
    </row>
    <row r="111" spans="2:18" s="2139" customFormat="1">
      <c r="B111" s="2166"/>
      <c r="C111" s="2166"/>
      <c r="D111" s="2166"/>
      <c r="E111" s="2166"/>
      <c r="F111" s="2166"/>
      <c r="G111" s="2167"/>
      <c r="H111" s="2166"/>
      <c r="I111" s="2167"/>
      <c r="J111" s="2166"/>
      <c r="K111" s="2166"/>
      <c r="L111" s="2167"/>
      <c r="M111" s="2166"/>
      <c r="N111" s="2166"/>
      <c r="O111" s="2167"/>
      <c r="P111" s="2166"/>
      <c r="Q111" s="2166"/>
      <c r="R111" s="2168"/>
    </row>
    <row r="112" spans="2:18" s="2139" customFormat="1">
      <c r="B112" s="2166"/>
      <c r="C112" s="2166"/>
      <c r="D112" s="2166"/>
      <c r="E112" s="2166"/>
      <c r="F112" s="2166"/>
      <c r="G112" s="2167"/>
      <c r="H112" s="2166"/>
      <c r="I112" s="2167"/>
      <c r="J112" s="2166"/>
      <c r="K112" s="2166"/>
      <c r="L112" s="2167"/>
      <c r="M112" s="2166"/>
      <c r="N112" s="2166"/>
      <c r="O112" s="2167"/>
      <c r="P112" s="2166"/>
      <c r="Q112" s="2166"/>
      <c r="R112" s="2168"/>
    </row>
    <row r="113" spans="2:18" s="2139" customFormat="1">
      <c r="B113" s="2166"/>
      <c r="C113" s="2166"/>
      <c r="D113" s="2166"/>
      <c r="E113" s="2166"/>
      <c r="F113" s="2166"/>
      <c r="G113" s="2167"/>
      <c r="H113" s="2166"/>
      <c r="I113" s="2167"/>
      <c r="J113" s="2166"/>
      <c r="K113" s="2166"/>
      <c r="L113" s="2167"/>
      <c r="M113" s="2166"/>
      <c r="N113" s="2166"/>
      <c r="O113" s="2167"/>
      <c r="P113" s="2166"/>
      <c r="Q113" s="2166"/>
      <c r="R113" s="2168"/>
    </row>
    <row r="114" spans="2:18" s="2139" customFormat="1">
      <c r="B114" s="2166"/>
      <c r="C114" s="2166"/>
      <c r="D114" s="2166"/>
      <c r="E114" s="2166"/>
      <c r="F114" s="2166"/>
      <c r="G114" s="2167"/>
      <c r="H114" s="2166"/>
      <c r="I114" s="2167"/>
      <c r="J114" s="2166"/>
      <c r="K114" s="2166"/>
      <c r="L114" s="2167"/>
      <c r="M114" s="2166"/>
      <c r="N114" s="2166"/>
      <c r="O114" s="2167"/>
      <c r="P114" s="2166"/>
      <c r="Q114" s="2166"/>
      <c r="R114" s="2168"/>
    </row>
    <row r="115" spans="2:18" s="2139" customFormat="1">
      <c r="B115" s="2166"/>
      <c r="C115" s="2166"/>
      <c r="D115" s="2166"/>
      <c r="E115" s="2166"/>
      <c r="F115" s="2166"/>
      <c r="G115" s="2167"/>
      <c r="H115" s="2166"/>
      <c r="I115" s="2167"/>
      <c r="J115" s="2166"/>
      <c r="K115" s="2166"/>
      <c r="L115" s="2167"/>
      <c r="M115" s="2166"/>
      <c r="N115" s="2166"/>
      <c r="O115" s="2167"/>
      <c r="P115" s="2166"/>
      <c r="Q115" s="2166"/>
      <c r="R115" s="2168"/>
    </row>
    <row r="116" spans="2:18" s="2139" customFormat="1">
      <c r="B116" s="2166"/>
      <c r="C116" s="2166"/>
      <c r="D116" s="2166"/>
      <c r="E116" s="2166"/>
      <c r="F116" s="2166"/>
      <c r="G116" s="2167"/>
      <c r="H116" s="2166"/>
      <c r="I116" s="2167"/>
      <c r="J116" s="2166"/>
      <c r="K116" s="2166"/>
      <c r="L116" s="2167"/>
      <c r="M116" s="2166"/>
      <c r="N116" s="2166"/>
      <c r="O116" s="2167"/>
      <c r="P116" s="2166"/>
      <c r="Q116" s="2166"/>
      <c r="R116" s="2168"/>
    </row>
    <row r="117" spans="2:18" s="2139" customFormat="1">
      <c r="B117" s="2166"/>
      <c r="C117" s="2166"/>
      <c r="D117" s="2166"/>
      <c r="E117" s="2166"/>
      <c r="F117" s="2166"/>
      <c r="G117" s="2167"/>
      <c r="H117" s="2166"/>
      <c r="I117" s="2167"/>
      <c r="J117" s="2166"/>
      <c r="K117" s="2166"/>
      <c r="L117" s="2167"/>
      <c r="M117" s="2166"/>
      <c r="N117" s="2166"/>
      <c r="O117" s="2167"/>
      <c r="P117" s="2166"/>
      <c r="Q117" s="2166"/>
      <c r="R117" s="2168"/>
    </row>
    <row r="118" spans="2:18" s="2139" customFormat="1">
      <c r="B118" s="2166"/>
      <c r="C118" s="2166"/>
      <c r="D118" s="2166"/>
      <c r="E118" s="2166"/>
      <c r="F118" s="2166"/>
      <c r="G118" s="2167"/>
      <c r="H118" s="2166"/>
      <c r="I118" s="2167"/>
      <c r="J118" s="2166"/>
      <c r="K118" s="2166"/>
      <c r="L118" s="2167"/>
      <c r="M118" s="2166"/>
      <c r="N118" s="2166"/>
      <c r="O118" s="2167"/>
      <c r="P118" s="2166"/>
      <c r="Q118" s="2166"/>
      <c r="R118" s="2168"/>
    </row>
    <row r="119" spans="2:18" s="2139" customFormat="1">
      <c r="B119" s="2166"/>
      <c r="C119" s="2166"/>
      <c r="D119" s="2166"/>
      <c r="E119" s="2166"/>
      <c r="F119" s="2166"/>
      <c r="G119" s="2167"/>
      <c r="H119" s="2166"/>
      <c r="I119" s="2167"/>
      <c r="J119" s="2166"/>
      <c r="K119" s="2166"/>
      <c r="L119" s="2167"/>
      <c r="M119" s="2166"/>
      <c r="N119" s="2166"/>
      <c r="O119" s="2167"/>
      <c r="P119" s="2166"/>
      <c r="Q119" s="2166"/>
      <c r="R119" s="2168"/>
    </row>
    <row r="120" spans="2:18" s="2139" customFormat="1">
      <c r="B120" s="2166"/>
      <c r="C120" s="2166"/>
      <c r="D120" s="2166"/>
      <c r="E120" s="2166"/>
      <c r="F120" s="2166"/>
      <c r="G120" s="2167"/>
      <c r="H120" s="2166"/>
      <c r="I120" s="2167"/>
      <c r="J120" s="2166"/>
      <c r="K120" s="2166"/>
      <c r="L120" s="2167"/>
      <c r="M120" s="2166"/>
      <c r="N120" s="2166"/>
      <c r="O120" s="2167"/>
      <c r="P120" s="2166"/>
      <c r="Q120" s="2166"/>
      <c r="R120" s="2168"/>
    </row>
    <row r="121" spans="2:18" s="2139" customFormat="1">
      <c r="B121" s="2166"/>
      <c r="C121" s="2166"/>
      <c r="D121" s="2166"/>
      <c r="E121" s="2166"/>
      <c r="F121" s="2166"/>
      <c r="G121" s="2167"/>
      <c r="H121" s="2166"/>
      <c r="I121" s="2167"/>
      <c r="J121" s="2166"/>
      <c r="K121" s="2166"/>
      <c r="L121" s="2167"/>
      <c r="M121" s="2166"/>
      <c r="N121" s="2166"/>
      <c r="O121" s="2167"/>
      <c r="P121" s="2166"/>
      <c r="Q121" s="2166"/>
      <c r="R121" s="2168"/>
    </row>
    <row r="122" spans="2:18" s="2139" customFormat="1">
      <c r="B122" s="2166"/>
      <c r="C122" s="2166"/>
      <c r="D122" s="2166"/>
      <c r="E122" s="2166"/>
      <c r="F122" s="2166"/>
      <c r="G122" s="2167"/>
      <c r="H122" s="2166"/>
      <c r="I122" s="2167"/>
      <c r="J122" s="2166"/>
      <c r="K122" s="2166"/>
      <c r="L122" s="2167"/>
      <c r="M122" s="2166"/>
      <c r="N122" s="2166"/>
      <c r="O122" s="2167"/>
      <c r="P122" s="2166"/>
      <c r="Q122" s="2166"/>
      <c r="R122" s="2168"/>
    </row>
    <row r="123" spans="2:18" s="2139" customFormat="1">
      <c r="B123" s="2166"/>
      <c r="C123" s="2166"/>
      <c r="D123" s="2166"/>
      <c r="E123" s="2166"/>
      <c r="F123" s="2166"/>
      <c r="G123" s="2167"/>
      <c r="H123" s="2166"/>
      <c r="I123" s="2167"/>
      <c r="J123" s="2166"/>
      <c r="K123" s="2166"/>
      <c r="L123" s="2167"/>
      <c r="M123" s="2166"/>
      <c r="N123" s="2166"/>
      <c r="O123" s="2167"/>
      <c r="P123" s="2166"/>
      <c r="Q123" s="2166"/>
      <c r="R123" s="2168"/>
    </row>
    <row r="124" spans="2:18" s="2139" customFormat="1">
      <c r="B124" s="2166"/>
      <c r="C124" s="2166"/>
      <c r="D124" s="2166"/>
      <c r="E124" s="2166"/>
      <c r="F124" s="2166"/>
      <c r="G124" s="2167"/>
      <c r="H124" s="2166"/>
      <c r="I124" s="2167"/>
      <c r="J124" s="2166"/>
      <c r="K124" s="2166"/>
      <c r="L124" s="2167"/>
      <c r="M124" s="2166"/>
      <c r="N124" s="2166"/>
      <c r="O124" s="2167"/>
      <c r="P124" s="2166"/>
      <c r="Q124" s="2166"/>
      <c r="R124" s="2168"/>
    </row>
    <row r="125" spans="2:18" s="2139" customFormat="1">
      <c r="B125" s="2166"/>
      <c r="C125" s="2166"/>
      <c r="D125" s="2166"/>
      <c r="E125" s="2166"/>
      <c r="F125" s="2166"/>
      <c r="G125" s="2167"/>
      <c r="H125" s="2166"/>
      <c r="I125" s="2167"/>
      <c r="J125" s="2166"/>
      <c r="K125" s="2166"/>
      <c r="L125" s="2167"/>
      <c r="M125" s="2166"/>
      <c r="N125" s="2166"/>
      <c r="O125" s="2167"/>
      <c r="P125" s="2166"/>
      <c r="Q125" s="2166"/>
      <c r="R125" s="2168"/>
    </row>
    <row r="126" spans="2:18" s="2139" customFormat="1">
      <c r="B126" s="2166"/>
      <c r="C126" s="2166"/>
      <c r="D126" s="2166"/>
      <c r="E126" s="2166"/>
      <c r="F126" s="2166"/>
      <c r="G126" s="2167"/>
      <c r="H126" s="2166"/>
      <c r="I126" s="2167"/>
      <c r="J126" s="2166"/>
      <c r="K126" s="2166"/>
      <c r="L126" s="2167"/>
      <c r="M126" s="2166"/>
      <c r="N126" s="2166"/>
      <c r="O126" s="2167"/>
      <c r="P126" s="2166"/>
      <c r="Q126" s="2166"/>
      <c r="R126" s="2168"/>
    </row>
    <row r="127" spans="2:18" s="2139" customFormat="1">
      <c r="B127" s="2166"/>
      <c r="C127" s="2166"/>
      <c r="D127" s="2166"/>
      <c r="E127" s="2166"/>
      <c r="F127" s="2166"/>
      <c r="G127" s="2167"/>
      <c r="H127" s="2166"/>
      <c r="I127" s="2167"/>
      <c r="J127" s="2166"/>
      <c r="K127" s="2166"/>
      <c r="L127" s="2167"/>
      <c r="M127" s="2166"/>
      <c r="N127" s="2166"/>
      <c r="O127" s="2167"/>
      <c r="P127" s="2166"/>
      <c r="Q127" s="2166"/>
      <c r="R127" s="2168"/>
    </row>
    <row r="128" spans="2:18" s="2139" customFormat="1">
      <c r="B128" s="2166"/>
      <c r="C128" s="2166"/>
      <c r="D128" s="2166"/>
      <c r="E128" s="2166"/>
      <c r="F128" s="2166"/>
      <c r="G128" s="2167"/>
      <c r="H128" s="2166"/>
      <c r="I128" s="2167"/>
      <c r="J128" s="2166"/>
      <c r="K128" s="2166"/>
      <c r="L128" s="2167"/>
      <c r="M128" s="2166"/>
      <c r="N128" s="2166"/>
      <c r="O128" s="2167"/>
      <c r="P128" s="2166"/>
      <c r="Q128" s="2166"/>
      <c r="R128" s="2168"/>
    </row>
    <row r="129" spans="2:18" s="2139" customFormat="1">
      <c r="B129" s="2166"/>
      <c r="C129" s="2166"/>
      <c r="D129" s="2166"/>
      <c r="E129" s="2166"/>
      <c r="F129" s="2166"/>
      <c r="G129" s="2167"/>
      <c r="H129" s="2166"/>
      <c r="I129" s="2167"/>
      <c r="J129" s="2166"/>
      <c r="K129" s="2166"/>
      <c r="L129" s="2167"/>
      <c r="M129" s="2166"/>
      <c r="N129" s="2166"/>
      <c r="O129" s="2167"/>
      <c r="P129" s="2166"/>
      <c r="Q129" s="2166"/>
      <c r="R129" s="2168"/>
    </row>
    <row r="130" spans="2:18" s="2139" customFormat="1">
      <c r="B130" s="2166"/>
      <c r="C130" s="2166"/>
      <c r="D130" s="2166"/>
      <c r="E130" s="2166"/>
      <c r="F130" s="2166"/>
      <c r="G130" s="2167"/>
      <c r="H130" s="2166"/>
      <c r="I130" s="2167"/>
      <c r="J130" s="2166"/>
      <c r="K130" s="2166"/>
      <c r="L130" s="2167"/>
      <c r="M130" s="2166"/>
      <c r="N130" s="2166"/>
      <c r="O130" s="2167"/>
      <c r="P130" s="2166"/>
      <c r="Q130" s="2166"/>
      <c r="R130" s="2168"/>
    </row>
    <row r="131" spans="2:18" s="2139" customFormat="1">
      <c r="B131" s="2166"/>
      <c r="C131" s="2166"/>
      <c r="D131" s="2166"/>
      <c r="E131" s="2166"/>
      <c r="F131" s="2166"/>
      <c r="G131" s="2167"/>
      <c r="H131" s="2166"/>
      <c r="I131" s="2167"/>
      <c r="J131" s="2166"/>
      <c r="K131" s="2166"/>
      <c r="L131" s="2167"/>
      <c r="M131" s="2166"/>
      <c r="N131" s="2166"/>
      <c r="O131" s="2167"/>
      <c r="P131" s="2166"/>
      <c r="Q131" s="2166"/>
      <c r="R131" s="2168"/>
    </row>
    <row r="132" spans="2:18" s="2139" customFormat="1">
      <c r="B132" s="2166"/>
      <c r="C132" s="2166"/>
      <c r="D132" s="2166"/>
      <c r="E132" s="2166"/>
      <c r="F132" s="2166"/>
      <c r="G132" s="2167"/>
      <c r="H132" s="2166"/>
      <c r="I132" s="2167"/>
      <c r="J132" s="2166"/>
      <c r="K132" s="2166"/>
      <c r="L132" s="2167"/>
      <c r="M132" s="2166"/>
      <c r="N132" s="2166"/>
      <c r="O132" s="2167"/>
      <c r="P132" s="2166"/>
      <c r="Q132" s="2166"/>
      <c r="R132" s="2168"/>
    </row>
    <row r="133" spans="2:18" s="2139" customFormat="1">
      <c r="B133" s="2166"/>
      <c r="C133" s="2166"/>
      <c r="D133" s="2166"/>
      <c r="E133" s="2166"/>
      <c r="F133" s="2166"/>
      <c r="G133" s="2167"/>
      <c r="H133" s="2166"/>
      <c r="I133" s="2167"/>
      <c r="J133" s="2166"/>
      <c r="K133" s="2166"/>
      <c r="L133" s="2167"/>
      <c r="M133" s="2166"/>
      <c r="N133" s="2166"/>
      <c r="O133" s="2167"/>
      <c r="P133" s="2166"/>
      <c r="Q133" s="2166"/>
      <c r="R133" s="2168"/>
    </row>
    <row r="134" spans="2:18" s="2139" customFormat="1">
      <c r="B134" s="2166"/>
      <c r="C134" s="2166"/>
      <c r="D134" s="2166"/>
      <c r="E134" s="2166"/>
      <c r="F134" s="2166"/>
      <c r="G134" s="2167"/>
      <c r="H134" s="2166"/>
      <c r="I134" s="2167"/>
      <c r="J134" s="2166"/>
      <c r="K134" s="2166"/>
      <c r="L134" s="2167"/>
      <c r="M134" s="2166"/>
      <c r="N134" s="2166"/>
      <c r="O134" s="2167"/>
      <c r="P134" s="2166"/>
      <c r="Q134" s="2166"/>
      <c r="R134" s="2168"/>
    </row>
    <row r="135" spans="2:18" s="2139" customFormat="1">
      <c r="B135" s="2166"/>
      <c r="C135" s="2166"/>
      <c r="D135" s="2166"/>
      <c r="E135" s="2166"/>
      <c r="F135" s="2166"/>
      <c r="G135" s="2167"/>
      <c r="H135" s="2166"/>
      <c r="I135" s="2167"/>
      <c r="J135" s="2166"/>
      <c r="K135" s="2166"/>
      <c r="L135" s="2167"/>
      <c r="M135" s="2166"/>
      <c r="N135" s="2166"/>
      <c r="O135" s="2167"/>
      <c r="P135" s="2166"/>
      <c r="Q135" s="2166"/>
      <c r="R135" s="2168"/>
    </row>
    <row r="136" spans="2:18" s="2139" customFormat="1">
      <c r="B136" s="2166"/>
      <c r="C136" s="2166"/>
      <c r="D136" s="2166"/>
      <c r="E136" s="2166"/>
      <c r="F136" s="2166"/>
      <c r="G136" s="2167"/>
      <c r="H136" s="2166"/>
      <c r="I136" s="2167"/>
      <c r="J136" s="2166"/>
      <c r="K136" s="2166"/>
      <c r="L136" s="2167"/>
      <c r="M136" s="2166"/>
      <c r="N136" s="2166"/>
      <c r="O136" s="2167"/>
      <c r="P136" s="2166"/>
      <c r="Q136" s="2166"/>
      <c r="R136" s="2168"/>
    </row>
    <row r="137" spans="2:18" s="2139" customFormat="1">
      <c r="B137" s="2166"/>
      <c r="C137" s="2166"/>
      <c r="D137" s="2166"/>
      <c r="E137" s="2166"/>
      <c r="F137" s="2166"/>
      <c r="G137" s="2167"/>
      <c r="H137" s="2166"/>
      <c r="I137" s="2167"/>
      <c r="J137" s="2166"/>
      <c r="K137" s="2166"/>
      <c r="L137" s="2167"/>
      <c r="M137" s="2166"/>
      <c r="N137" s="2166"/>
      <c r="O137" s="2167"/>
      <c r="P137" s="2166"/>
      <c r="Q137" s="2166"/>
      <c r="R137" s="2168"/>
    </row>
    <row r="138" spans="2:18" s="2139" customFormat="1">
      <c r="B138" s="2166"/>
      <c r="C138" s="2166"/>
      <c r="D138" s="2166"/>
      <c r="E138" s="2166"/>
      <c r="F138" s="2166"/>
      <c r="G138" s="2167"/>
      <c r="H138" s="2166"/>
      <c r="I138" s="2167"/>
      <c r="J138" s="2166"/>
      <c r="K138" s="2166"/>
      <c r="L138" s="2167"/>
      <c r="M138" s="2166"/>
      <c r="N138" s="2166"/>
      <c r="O138" s="2167"/>
      <c r="P138" s="2166"/>
      <c r="Q138" s="2166"/>
      <c r="R138" s="2168"/>
    </row>
    <row r="139" spans="2:18" s="2139" customFormat="1">
      <c r="B139" s="2166"/>
      <c r="C139" s="2166"/>
      <c r="D139" s="2166"/>
      <c r="E139" s="2166"/>
      <c r="F139" s="2166"/>
      <c r="G139" s="2167"/>
      <c r="H139" s="2166"/>
      <c r="I139" s="2167"/>
      <c r="J139" s="2166"/>
      <c r="K139" s="2166"/>
      <c r="L139" s="2167"/>
      <c r="M139" s="2166"/>
      <c r="N139" s="2166"/>
      <c r="O139" s="2167"/>
      <c r="P139" s="2166"/>
      <c r="Q139" s="2166"/>
      <c r="R139" s="2168"/>
    </row>
    <row r="140" spans="2:18" s="2139" customFormat="1">
      <c r="B140" s="2166"/>
      <c r="C140" s="2166"/>
      <c r="D140" s="2166"/>
      <c r="E140" s="2166"/>
      <c r="F140" s="2166"/>
      <c r="G140" s="2167"/>
      <c r="H140" s="2166"/>
      <c r="I140" s="2167"/>
      <c r="J140" s="2166"/>
      <c r="K140" s="2166"/>
      <c r="L140" s="2167"/>
      <c r="M140" s="2166"/>
      <c r="N140" s="2166"/>
      <c r="O140" s="2167"/>
      <c r="P140" s="2166"/>
      <c r="Q140" s="2166"/>
      <c r="R140" s="2168"/>
    </row>
    <row r="141" spans="2:18" s="2139" customFormat="1">
      <c r="B141" s="2166"/>
      <c r="C141" s="2166"/>
      <c r="D141" s="2166"/>
      <c r="E141" s="2166"/>
      <c r="F141" s="2166"/>
      <c r="G141" s="2167"/>
      <c r="H141" s="2166"/>
      <c r="I141" s="2167"/>
      <c r="J141" s="2166"/>
      <c r="K141" s="2166"/>
      <c r="L141" s="2167"/>
      <c r="M141" s="2166"/>
      <c r="N141" s="2166"/>
      <c r="O141" s="2167"/>
      <c r="P141" s="2166"/>
      <c r="Q141" s="2166"/>
      <c r="R141" s="2168"/>
    </row>
    <row r="142" spans="2:18" s="2139" customFormat="1">
      <c r="B142" s="2166"/>
      <c r="C142" s="2166"/>
      <c r="D142" s="2166"/>
      <c r="E142" s="2166"/>
      <c r="F142" s="2166"/>
      <c r="G142" s="2167"/>
      <c r="H142" s="2166"/>
      <c r="I142" s="2167"/>
      <c r="J142" s="2166"/>
      <c r="K142" s="2166"/>
      <c r="L142" s="2167"/>
      <c r="M142" s="2166"/>
      <c r="N142" s="2166"/>
      <c r="O142" s="2167"/>
      <c r="P142" s="2166"/>
      <c r="Q142" s="2166"/>
      <c r="R142" s="2168"/>
    </row>
    <row r="143" spans="2:18" s="2139" customFormat="1">
      <c r="B143" s="2166"/>
      <c r="C143" s="2166"/>
      <c r="D143" s="2166"/>
      <c r="E143" s="2166"/>
      <c r="F143" s="2166"/>
      <c r="G143" s="2167"/>
      <c r="H143" s="2166"/>
      <c r="I143" s="2167"/>
      <c r="J143" s="2166"/>
      <c r="K143" s="2166"/>
      <c r="L143" s="2167"/>
      <c r="M143" s="2166"/>
      <c r="N143" s="2166"/>
      <c r="O143" s="2167"/>
      <c r="P143" s="2166"/>
      <c r="Q143" s="2166"/>
      <c r="R143" s="2168"/>
    </row>
    <row r="144" spans="2:18" s="2139" customFormat="1">
      <c r="B144" s="2166"/>
      <c r="C144" s="2166"/>
      <c r="D144" s="2166"/>
      <c r="E144" s="2166"/>
      <c r="F144" s="2166"/>
      <c r="G144" s="2167"/>
      <c r="H144" s="2166"/>
      <c r="I144" s="2167"/>
      <c r="J144" s="2166"/>
      <c r="K144" s="2166"/>
      <c r="L144" s="2167"/>
      <c r="M144" s="2166"/>
      <c r="N144" s="2166"/>
      <c r="O144" s="2167"/>
      <c r="P144" s="2166"/>
      <c r="Q144" s="2166"/>
      <c r="R144" s="2168"/>
    </row>
    <row r="145" spans="2:18" s="2139" customFormat="1">
      <c r="B145" s="2166"/>
      <c r="C145" s="2166"/>
      <c r="D145" s="2166"/>
      <c r="E145" s="2166"/>
      <c r="F145" s="2166"/>
      <c r="G145" s="2167"/>
      <c r="H145" s="2166"/>
      <c r="I145" s="2167"/>
      <c r="J145" s="2166"/>
      <c r="K145" s="2166"/>
      <c r="L145" s="2167"/>
      <c r="M145" s="2166"/>
      <c r="N145" s="2166"/>
      <c r="O145" s="2167"/>
      <c r="P145" s="2166"/>
      <c r="Q145" s="2166"/>
      <c r="R145" s="2168"/>
    </row>
    <row r="146" spans="2:18" s="2139" customFormat="1">
      <c r="B146" s="2166"/>
      <c r="C146" s="2166"/>
      <c r="D146" s="2166"/>
      <c r="E146" s="2166"/>
      <c r="F146" s="2166"/>
      <c r="G146" s="2167"/>
      <c r="H146" s="2166"/>
      <c r="I146" s="2167"/>
      <c r="J146" s="2166"/>
      <c r="K146" s="2166"/>
      <c r="L146" s="2167"/>
      <c r="M146" s="2166"/>
      <c r="N146" s="2166"/>
      <c r="O146" s="2167"/>
      <c r="P146" s="2166"/>
      <c r="Q146" s="2166"/>
      <c r="R146" s="2168"/>
    </row>
    <row r="147" spans="2:18" s="2139" customFormat="1">
      <c r="B147" s="2166"/>
      <c r="C147" s="2166"/>
      <c r="D147" s="2166"/>
      <c r="E147" s="2166"/>
      <c r="F147" s="2166"/>
      <c r="G147" s="2167"/>
      <c r="H147" s="2166"/>
      <c r="I147" s="2167"/>
      <c r="J147" s="2166"/>
      <c r="K147" s="2166"/>
      <c r="L147" s="2167"/>
      <c r="M147" s="2166"/>
      <c r="N147" s="2166"/>
      <c r="O147" s="2167"/>
      <c r="P147" s="2166"/>
      <c r="Q147" s="2166"/>
      <c r="R147" s="2168"/>
    </row>
    <row r="148" spans="2:18" s="2139" customFormat="1">
      <c r="B148" s="2166"/>
      <c r="C148" s="2166"/>
      <c r="D148" s="2166"/>
      <c r="E148" s="2166"/>
      <c r="F148" s="2166"/>
      <c r="G148" s="2167"/>
      <c r="H148" s="2166"/>
      <c r="I148" s="2167"/>
      <c r="J148" s="2166"/>
      <c r="K148" s="2166"/>
      <c r="L148" s="2167"/>
      <c r="M148" s="2166"/>
      <c r="N148" s="2166"/>
      <c r="O148" s="2167"/>
      <c r="P148" s="2166"/>
      <c r="Q148" s="2166"/>
      <c r="R148" s="2168"/>
    </row>
    <row r="149" spans="2:18" s="2139" customFormat="1">
      <c r="B149" s="2166"/>
      <c r="C149" s="2166"/>
      <c r="D149" s="2166"/>
      <c r="E149" s="2166"/>
      <c r="F149" s="2166"/>
      <c r="G149" s="2167"/>
      <c r="H149" s="2166"/>
      <c r="I149" s="2167"/>
      <c r="J149" s="2166"/>
      <c r="K149" s="2166"/>
      <c r="L149" s="2167"/>
      <c r="M149" s="2166"/>
      <c r="N149" s="2166"/>
      <c r="O149" s="2167"/>
      <c r="P149" s="2166"/>
      <c r="Q149" s="2166"/>
      <c r="R149" s="2168"/>
    </row>
    <row r="150" spans="2:18" s="2139" customFormat="1">
      <c r="B150" s="2166"/>
      <c r="C150" s="2166"/>
      <c r="D150" s="2166"/>
      <c r="E150" s="2166"/>
      <c r="F150" s="2166"/>
      <c r="G150" s="2167"/>
      <c r="H150" s="2166"/>
      <c r="I150" s="2167"/>
      <c r="J150" s="2166"/>
      <c r="K150" s="2166"/>
      <c r="L150" s="2167"/>
      <c r="M150" s="2166"/>
      <c r="N150" s="2166"/>
      <c r="O150" s="2167"/>
      <c r="P150" s="2166"/>
      <c r="Q150" s="2166"/>
      <c r="R150" s="2168"/>
    </row>
    <row r="151" spans="2:18" s="2139" customFormat="1">
      <c r="B151" s="2166"/>
      <c r="C151" s="2166"/>
      <c r="D151" s="2166"/>
      <c r="E151" s="2166"/>
      <c r="F151" s="2166"/>
      <c r="G151" s="2167"/>
      <c r="H151" s="2166"/>
      <c r="I151" s="2167"/>
      <c r="J151" s="2166"/>
      <c r="K151" s="2166"/>
      <c r="L151" s="2167"/>
      <c r="M151" s="2166"/>
      <c r="N151" s="2166"/>
      <c r="O151" s="2167"/>
      <c r="P151" s="2166"/>
      <c r="Q151" s="2166"/>
      <c r="R151" s="2168"/>
    </row>
    <row r="152" spans="2:18" s="2139" customFormat="1">
      <c r="B152" s="2166"/>
      <c r="C152" s="2166"/>
      <c r="D152" s="2166"/>
      <c r="E152" s="2166"/>
      <c r="F152" s="2166"/>
      <c r="G152" s="2167"/>
      <c r="H152" s="2166"/>
      <c r="I152" s="2167"/>
      <c r="J152" s="2166"/>
      <c r="K152" s="2166"/>
      <c r="L152" s="2167"/>
      <c r="M152" s="2166"/>
      <c r="N152" s="2166"/>
      <c r="O152" s="2167"/>
      <c r="P152" s="2166"/>
      <c r="Q152" s="2166"/>
      <c r="R152" s="2168"/>
    </row>
    <row r="153" spans="2:18" s="2139" customFormat="1">
      <c r="B153" s="2166"/>
      <c r="C153" s="2166"/>
      <c r="D153" s="2166"/>
      <c r="E153" s="2166"/>
      <c r="F153" s="2166"/>
      <c r="G153" s="2167"/>
      <c r="H153" s="2166"/>
      <c r="I153" s="2167"/>
      <c r="J153" s="2166"/>
      <c r="K153" s="2166"/>
      <c r="L153" s="2167"/>
      <c r="M153" s="2166"/>
      <c r="N153" s="2166"/>
      <c r="O153" s="2167"/>
      <c r="P153" s="2166"/>
      <c r="Q153" s="2166"/>
      <c r="R153" s="2168"/>
    </row>
    <row r="154" spans="2:18" s="2139" customFormat="1">
      <c r="B154" s="2166"/>
      <c r="C154" s="2166"/>
      <c r="D154" s="2166"/>
      <c r="E154" s="2166"/>
      <c r="F154" s="2166"/>
      <c r="G154" s="2167"/>
      <c r="H154" s="2166"/>
      <c r="I154" s="2167"/>
      <c r="J154" s="2166"/>
      <c r="K154" s="2166"/>
      <c r="L154" s="2167"/>
      <c r="M154" s="2166"/>
      <c r="N154" s="2166"/>
      <c r="O154" s="2167"/>
      <c r="P154" s="2166"/>
      <c r="Q154" s="2166"/>
      <c r="R154" s="2168"/>
    </row>
    <row r="155" spans="2:18" s="2139" customFormat="1">
      <c r="B155" s="2166"/>
      <c r="C155" s="2166"/>
      <c r="D155" s="2166"/>
      <c r="E155" s="2166"/>
      <c r="F155" s="2166"/>
      <c r="G155" s="2167"/>
      <c r="H155" s="2166"/>
      <c r="I155" s="2167"/>
      <c r="J155" s="2166"/>
      <c r="K155" s="2166"/>
      <c r="L155" s="2167"/>
      <c r="M155" s="2166"/>
      <c r="N155" s="2166"/>
      <c r="O155" s="2167"/>
      <c r="P155" s="2166"/>
      <c r="Q155" s="2166"/>
      <c r="R155" s="2168"/>
    </row>
    <row r="156" spans="2:18" s="2139" customFormat="1">
      <c r="B156" s="2166"/>
      <c r="C156" s="2166"/>
      <c r="D156" s="2166"/>
      <c r="E156" s="2166"/>
      <c r="F156" s="2166"/>
      <c r="G156" s="2167"/>
      <c r="H156" s="2166"/>
      <c r="I156" s="2167"/>
      <c r="J156" s="2166"/>
      <c r="K156" s="2166"/>
      <c r="L156" s="2167"/>
      <c r="M156" s="2166"/>
      <c r="N156" s="2166"/>
      <c r="O156" s="2167"/>
      <c r="P156" s="2166"/>
      <c r="Q156" s="2166"/>
      <c r="R156" s="2168"/>
    </row>
    <row r="157" spans="2:18" s="2139" customFormat="1">
      <c r="B157" s="2166"/>
      <c r="C157" s="2166"/>
      <c r="D157" s="2166"/>
      <c r="E157" s="2166"/>
      <c r="F157" s="2166"/>
      <c r="G157" s="2167"/>
      <c r="H157" s="2166"/>
      <c r="I157" s="2167"/>
      <c r="J157" s="2166"/>
      <c r="K157" s="2166"/>
      <c r="L157" s="2167"/>
      <c r="M157" s="2166"/>
      <c r="N157" s="2166"/>
      <c r="O157" s="2167"/>
      <c r="P157" s="2166"/>
      <c r="Q157" s="2166"/>
      <c r="R157" s="2168"/>
    </row>
    <row r="158" spans="2:18" s="2139" customFormat="1">
      <c r="B158" s="2166"/>
      <c r="C158" s="2166"/>
      <c r="D158" s="2166"/>
      <c r="E158" s="2166"/>
      <c r="F158" s="2166"/>
      <c r="G158" s="2167"/>
      <c r="H158" s="2166"/>
      <c r="I158" s="2167"/>
      <c r="J158" s="2166"/>
      <c r="K158" s="2166"/>
      <c r="L158" s="2167"/>
      <c r="M158" s="2166"/>
      <c r="N158" s="2166"/>
      <c r="O158" s="2167"/>
      <c r="P158" s="2166"/>
      <c r="Q158" s="2166"/>
      <c r="R158" s="2168"/>
    </row>
    <row r="159" spans="2:18" s="2139" customFormat="1">
      <c r="B159" s="2166"/>
      <c r="C159" s="2166"/>
      <c r="D159" s="2166"/>
      <c r="E159" s="2166"/>
      <c r="F159" s="2166"/>
      <c r="G159" s="2167"/>
      <c r="H159" s="2166"/>
      <c r="I159" s="2167"/>
      <c r="J159" s="2166"/>
      <c r="K159" s="2166"/>
      <c r="L159" s="2167"/>
      <c r="M159" s="2166"/>
      <c r="N159" s="2166"/>
      <c r="O159" s="2167"/>
      <c r="P159" s="2166"/>
      <c r="Q159" s="2166"/>
      <c r="R159" s="2168"/>
    </row>
    <row r="160" spans="2:18" s="2139" customFormat="1">
      <c r="B160" s="2166"/>
      <c r="C160" s="2166"/>
      <c r="D160" s="2166"/>
      <c r="E160" s="2166"/>
      <c r="F160" s="2166"/>
      <c r="G160" s="2167"/>
      <c r="H160" s="2166"/>
      <c r="I160" s="2167"/>
      <c r="J160" s="2166"/>
      <c r="K160" s="2166"/>
      <c r="L160" s="2167"/>
      <c r="M160" s="2166"/>
      <c r="N160" s="2166"/>
      <c r="O160" s="2167"/>
      <c r="P160" s="2166"/>
      <c r="Q160" s="2166"/>
      <c r="R160" s="2168"/>
    </row>
    <row r="161" spans="2:18" s="2139" customFormat="1">
      <c r="B161" s="2166"/>
      <c r="C161" s="2166"/>
      <c r="D161" s="2166"/>
      <c r="E161" s="2166"/>
      <c r="F161" s="2166"/>
      <c r="G161" s="2167"/>
      <c r="H161" s="2166"/>
      <c r="I161" s="2167"/>
      <c r="J161" s="2166"/>
      <c r="K161" s="2166"/>
      <c r="L161" s="2167"/>
      <c r="M161" s="2166"/>
      <c r="N161" s="2166"/>
      <c r="O161" s="2167"/>
      <c r="P161" s="2166"/>
      <c r="Q161" s="2166"/>
      <c r="R161" s="2168"/>
    </row>
    <row r="162" spans="2:18" s="2139" customFormat="1">
      <c r="B162" s="2166"/>
      <c r="C162" s="2166"/>
      <c r="D162" s="2166"/>
      <c r="E162" s="2166"/>
      <c r="F162" s="2166"/>
      <c r="G162" s="2167"/>
      <c r="H162" s="2166"/>
      <c r="I162" s="2167"/>
      <c r="J162" s="2166"/>
      <c r="K162" s="2166"/>
      <c r="L162" s="2167"/>
      <c r="M162" s="2166"/>
      <c r="N162" s="2166"/>
      <c r="O162" s="2167"/>
      <c r="P162" s="2166"/>
      <c r="Q162" s="2166"/>
      <c r="R162" s="2168"/>
    </row>
    <row r="163" spans="2:18" s="2139" customFormat="1">
      <c r="B163" s="2166"/>
      <c r="C163" s="2166"/>
      <c r="D163" s="2166"/>
      <c r="E163" s="2166"/>
      <c r="F163" s="2166"/>
      <c r="G163" s="2167"/>
      <c r="H163" s="2166"/>
      <c r="I163" s="2167"/>
      <c r="J163" s="2166"/>
      <c r="K163" s="2166"/>
      <c r="L163" s="2167"/>
      <c r="M163" s="2166"/>
      <c r="N163" s="2166"/>
      <c r="O163" s="2167"/>
      <c r="P163" s="2166"/>
      <c r="Q163" s="2166"/>
      <c r="R163" s="2168"/>
    </row>
    <row r="164" spans="2:18" s="2139" customFormat="1">
      <c r="B164" s="2166"/>
      <c r="C164" s="2166"/>
      <c r="D164" s="2166"/>
      <c r="E164" s="2166"/>
      <c r="F164" s="2166"/>
      <c r="G164" s="2167"/>
      <c r="H164" s="2166"/>
      <c r="I164" s="2167"/>
      <c r="J164" s="2166"/>
      <c r="K164" s="2166"/>
      <c r="L164" s="2167"/>
      <c r="M164" s="2166"/>
      <c r="N164" s="2166"/>
      <c r="O164" s="2167"/>
      <c r="P164" s="2166"/>
      <c r="Q164" s="2166"/>
      <c r="R164" s="2168"/>
    </row>
    <row r="165" spans="2:18" s="2139" customFormat="1">
      <c r="B165" s="2166"/>
      <c r="C165" s="2166"/>
      <c r="D165" s="2166"/>
      <c r="E165" s="2166"/>
      <c r="F165" s="2166"/>
      <c r="G165" s="2167"/>
      <c r="H165" s="2166"/>
      <c r="I165" s="2167"/>
      <c r="J165" s="2166"/>
      <c r="K165" s="2166"/>
      <c r="L165" s="2167"/>
      <c r="M165" s="2166"/>
      <c r="N165" s="2166"/>
      <c r="O165" s="2167"/>
      <c r="P165" s="2166"/>
      <c r="Q165" s="2166"/>
      <c r="R165" s="2168"/>
    </row>
    <row r="166" spans="2:18" s="2139" customFormat="1">
      <c r="B166" s="2166"/>
      <c r="C166" s="2166"/>
      <c r="D166" s="2166"/>
      <c r="E166" s="2166"/>
      <c r="F166" s="2166"/>
      <c r="G166" s="2167"/>
      <c r="H166" s="2166"/>
      <c r="I166" s="2167"/>
      <c r="J166" s="2166"/>
      <c r="K166" s="2166"/>
      <c r="L166" s="2167"/>
      <c r="M166" s="2166"/>
      <c r="N166" s="2166"/>
      <c r="O166" s="2167"/>
      <c r="P166" s="2166"/>
      <c r="Q166" s="2166"/>
      <c r="R166" s="2168"/>
    </row>
    <row r="167" spans="2:18" s="2139" customFormat="1">
      <c r="B167" s="2166"/>
      <c r="C167" s="2166"/>
      <c r="D167" s="2166"/>
      <c r="E167" s="2166"/>
      <c r="F167" s="2166"/>
      <c r="G167" s="2167"/>
      <c r="H167" s="2166"/>
      <c r="I167" s="2167"/>
      <c r="J167" s="2166"/>
      <c r="K167" s="2166"/>
      <c r="L167" s="2167"/>
      <c r="M167" s="2166"/>
      <c r="N167" s="2166"/>
      <c r="O167" s="2167"/>
      <c r="P167" s="2166"/>
      <c r="Q167" s="2166"/>
      <c r="R167" s="2168"/>
    </row>
    <row r="168" spans="2:18" s="2139" customFormat="1">
      <c r="B168" s="2166"/>
      <c r="C168" s="2166"/>
      <c r="D168" s="2166"/>
      <c r="E168" s="2166"/>
      <c r="F168" s="2166"/>
      <c r="G168" s="2167"/>
      <c r="H168" s="2166"/>
      <c r="I168" s="2167"/>
      <c r="J168" s="2166"/>
      <c r="K168" s="2166"/>
      <c r="L168" s="2167"/>
      <c r="M168" s="2166"/>
      <c r="N168" s="2166"/>
      <c r="O168" s="2167"/>
      <c r="P168" s="2166"/>
      <c r="Q168" s="2166"/>
      <c r="R168" s="2168"/>
    </row>
    <row r="169" spans="2:18" s="2139" customFormat="1">
      <c r="B169" s="2166"/>
      <c r="C169" s="2166"/>
      <c r="D169" s="2166"/>
      <c r="E169" s="2166"/>
      <c r="F169" s="2166"/>
      <c r="G169" s="2167"/>
      <c r="H169" s="2166"/>
      <c r="I169" s="2167"/>
      <c r="J169" s="2166"/>
      <c r="K169" s="2166"/>
      <c r="L169" s="2167"/>
      <c r="M169" s="2166"/>
      <c r="N169" s="2166"/>
      <c r="O169" s="2167"/>
      <c r="P169" s="2166"/>
      <c r="Q169" s="2166"/>
      <c r="R169" s="2168"/>
    </row>
    <row r="170" spans="2:18" s="2139" customFormat="1">
      <c r="B170" s="2166"/>
      <c r="C170" s="2166"/>
      <c r="D170" s="2166"/>
      <c r="E170" s="2166"/>
      <c r="F170" s="2166"/>
      <c r="G170" s="2167"/>
      <c r="H170" s="2166"/>
      <c r="I170" s="2167"/>
      <c r="J170" s="2166"/>
      <c r="K170" s="2166"/>
      <c r="L170" s="2167"/>
      <c r="M170" s="2166"/>
      <c r="N170" s="2166"/>
      <c r="O170" s="2167"/>
      <c r="P170" s="2166"/>
      <c r="Q170" s="2166"/>
      <c r="R170" s="2168"/>
    </row>
    <row r="171" spans="2:18" s="2139" customFormat="1">
      <c r="B171" s="2166"/>
      <c r="C171" s="2166"/>
      <c r="D171" s="2166"/>
      <c r="E171" s="2166"/>
      <c r="F171" s="2166"/>
      <c r="G171" s="2167"/>
      <c r="H171" s="2166"/>
      <c r="I171" s="2167"/>
      <c r="J171" s="2166"/>
      <c r="K171" s="2166"/>
      <c r="L171" s="2167"/>
      <c r="M171" s="2166"/>
      <c r="N171" s="2166"/>
      <c r="O171" s="2167"/>
      <c r="P171" s="2166"/>
      <c r="Q171" s="2166"/>
      <c r="R171" s="2168"/>
    </row>
    <row r="172" spans="2:18" s="2139" customFormat="1">
      <c r="B172" s="2166"/>
      <c r="C172" s="2166"/>
      <c r="D172" s="2166"/>
      <c r="E172" s="2166"/>
      <c r="F172" s="2166"/>
      <c r="G172" s="2167"/>
      <c r="H172" s="2166"/>
      <c r="I172" s="2167"/>
      <c r="J172" s="2166"/>
      <c r="K172" s="2166"/>
      <c r="L172" s="2167"/>
      <c r="M172" s="2166"/>
      <c r="N172" s="2166"/>
      <c r="O172" s="2167"/>
      <c r="P172" s="2166"/>
      <c r="Q172" s="2166"/>
      <c r="R172" s="2168"/>
    </row>
    <row r="173" spans="2:18" s="2139" customFormat="1">
      <c r="B173" s="2166"/>
      <c r="C173" s="2166"/>
      <c r="D173" s="2166"/>
      <c r="E173" s="2166"/>
      <c r="F173" s="2166"/>
      <c r="G173" s="2167"/>
      <c r="H173" s="2166"/>
      <c r="I173" s="2167"/>
      <c r="J173" s="2166"/>
      <c r="K173" s="2166"/>
      <c r="L173" s="2167"/>
      <c r="M173" s="2166"/>
      <c r="N173" s="2166"/>
      <c r="O173" s="2167"/>
      <c r="P173" s="2166"/>
      <c r="Q173" s="2166"/>
      <c r="R173" s="2168"/>
    </row>
    <row r="174" spans="2:18" s="2139" customFormat="1">
      <c r="B174" s="2166"/>
      <c r="C174" s="2166"/>
      <c r="D174" s="2166"/>
      <c r="E174" s="2166"/>
      <c r="F174" s="2166"/>
      <c r="G174" s="2167"/>
      <c r="H174" s="2166"/>
      <c r="I174" s="2167"/>
      <c r="J174" s="2166"/>
      <c r="K174" s="2166"/>
      <c r="L174" s="2167"/>
      <c r="M174" s="2166"/>
      <c r="N174" s="2166"/>
      <c r="O174" s="2167"/>
      <c r="P174" s="2166"/>
      <c r="Q174" s="2166"/>
      <c r="R174" s="2168"/>
    </row>
    <row r="175" spans="2:18" s="2139" customFormat="1">
      <c r="B175" s="2166"/>
      <c r="C175" s="2166"/>
      <c r="D175" s="2166"/>
      <c r="E175" s="2166"/>
      <c r="F175" s="2166"/>
      <c r="G175" s="2167"/>
      <c r="H175" s="2166"/>
      <c r="I175" s="2167"/>
      <c r="J175" s="2166"/>
      <c r="K175" s="2166"/>
      <c r="L175" s="2167"/>
      <c r="M175" s="2166"/>
      <c r="N175" s="2166"/>
      <c r="O175" s="2167"/>
      <c r="P175" s="2166"/>
      <c r="Q175" s="2166"/>
      <c r="R175" s="2168"/>
    </row>
    <row r="176" spans="2:18" s="2139" customFormat="1">
      <c r="B176" s="2166"/>
      <c r="C176" s="2166"/>
      <c r="D176" s="2166"/>
      <c r="E176" s="2166"/>
      <c r="F176" s="2166"/>
      <c r="G176" s="2167"/>
      <c r="H176" s="2166"/>
      <c r="I176" s="2167"/>
      <c r="J176" s="2166"/>
      <c r="K176" s="2166"/>
      <c r="L176" s="2167"/>
      <c r="M176" s="2166"/>
      <c r="N176" s="2166"/>
      <c r="O176" s="2167"/>
      <c r="P176" s="2166"/>
      <c r="Q176" s="2166"/>
      <c r="R176" s="2168"/>
    </row>
    <row r="177" spans="1:18" s="2139" customFormat="1">
      <c r="B177" s="2166"/>
      <c r="C177" s="2166"/>
      <c r="D177" s="2166"/>
      <c r="E177" s="2166"/>
      <c r="F177" s="2166"/>
      <c r="G177" s="2167"/>
      <c r="H177" s="2166"/>
      <c r="I177" s="2167"/>
      <c r="J177" s="2166"/>
      <c r="K177" s="2166"/>
      <c r="L177" s="2167"/>
      <c r="M177" s="2166"/>
      <c r="N177" s="2166"/>
      <c r="O177" s="2167"/>
      <c r="P177" s="2166"/>
      <c r="Q177" s="2166"/>
      <c r="R177" s="2168"/>
    </row>
    <row r="178" spans="1:18" s="2139" customFormat="1">
      <c r="B178" s="2166"/>
      <c r="C178" s="2166"/>
      <c r="D178" s="2166"/>
      <c r="E178" s="2166"/>
      <c r="F178" s="2166"/>
      <c r="G178" s="2167"/>
      <c r="H178" s="2166"/>
      <c r="I178" s="2167"/>
      <c r="J178" s="2166"/>
      <c r="K178" s="2166"/>
      <c r="L178" s="2167"/>
      <c r="M178" s="2166"/>
      <c r="N178" s="2166"/>
      <c r="O178" s="2167"/>
      <c r="P178" s="2166"/>
      <c r="Q178" s="2166"/>
      <c r="R178" s="2168"/>
    </row>
    <row r="179" spans="1:18" s="2139" customFormat="1">
      <c r="B179" s="2166"/>
      <c r="C179" s="2166"/>
      <c r="D179" s="2166"/>
      <c r="E179" s="2166"/>
      <c r="F179" s="2166"/>
      <c r="G179" s="2167"/>
      <c r="H179" s="2166"/>
      <c r="I179" s="2167"/>
      <c r="J179" s="2166"/>
      <c r="K179" s="2166"/>
      <c r="L179" s="2167"/>
      <c r="M179" s="2166"/>
      <c r="N179" s="2166"/>
      <c r="O179" s="2167"/>
      <c r="P179" s="2166"/>
      <c r="Q179" s="2166"/>
      <c r="R179" s="2168"/>
    </row>
    <row r="180" spans="1:18" s="2139" customFormat="1">
      <c r="B180" s="2166"/>
      <c r="C180" s="2166"/>
      <c r="D180" s="2166"/>
      <c r="E180" s="2166"/>
      <c r="F180" s="2166"/>
      <c r="G180" s="2167"/>
      <c r="H180" s="2166"/>
      <c r="I180" s="2167"/>
      <c r="J180" s="2166"/>
      <c r="K180" s="2166"/>
      <c r="L180" s="2167"/>
      <c r="M180" s="2166"/>
      <c r="N180" s="2166"/>
      <c r="O180" s="2167"/>
      <c r="P180" s="2166"/>
      <c r="Q180" s="2166"/>
      <c r="R180" s="2168"/>
    </row>
    <row r="181" spans="1:18" s="2139" customFormat="1">
      <c r="B181" s="2166"/>
      <c r="C181" s="2166"/>
      <c r="D181" s="2166"/>
      <c r="E181" s="2166"/>
      <c r="F181" s="2166"/>
      <c r="G181" s="2167"/>
      <c r="H181" s="2166"/>
      <c r="I181" s="2167"/>
      <c r="J181" s="2166"/>
      <c r="K181" s="2166"/>
      <c r="L181" s="2167"/>
      <c r="M181" s="2166"/>
      <c r="N181" s="2166"/>
      <c r="O181" s="2167"/>
      <c r="P181" s="2166"/>
      <c r="Q181" s="2166"/>
      <c r="R181" s="2168"/>
    </row>
    <row r="182" spans="1:18" s="2139" customFormat="1">
      <c r="B182" s="2166"/>
      <c r="C182" s="2166"/>
      <c r="D182" s="2166"/>
      <c r="E182" s="2166"/>
      <c r="F182" s="2166"/>
      <c r="G182" s="2167"/>
      <c r="H182" s="2166"/>
      <c r="I182" s="2167"/>
      <c r="J182" s="2166"/>
      <c r="K182" s="2166"/>
      <c r="L182" s="2167"/>
      <c r="M182" s="2166"/>
      <c r="N182" s="2166"/>
      <c r="O182" s="2167"/>
      <c r="P182" s="2166"/>
      <c r="Q182" s="2166"/>
      <c r="R182" s="2168"/>
    </row>
    <row r="183" spans="1:18" s="2139" customFormat="1">
      <c r="B183" s="2166"/>
      <c r="C183" s="2166"/>
      <c r="D183" s="2166"/>
      <c r="E183" s="2166"/>
      <c r="F183" s="2166"/>
      <c r="G183" s="2167"/>
      <c r="H183" s="2166"/>
      <c r="I183" s="2167"/>
      <c r="J183" s="2166"/>
      <c r="K183" s="2166"/>
      <c r="L183" s="2167"/>
      <c r="M183" s="2166"/>
      <c r="N183" s="2166"/>
      <c r="O183" s="2167"/>
      <c r="P183" s="2166"/>
      <c r="Q183" s="2166"/>
      <c r="R183" s="2168"/>
    </row>
    <row r="184" spans="1:18" s="2139" customFormat="1">
      <c r="B184" s="2166"/>
      <c r="C184" s="2166"/>
      <c r="D184" s="2166"/>
      <c r="E184" s="2166"/>
      <c r="F184" s="2166"/>
      <c r="G184" s="2167"/>
      <c r="H184" s="2166"/>
      <c r="I184" s="2167"/>
      <c r="J184" s="2166"/>
      <c r="K184" s="2166"/>
      <c r="L184" s="2167"/>
      <c r="M184" s="2166"/>
      <c r="N184" s="2166"/>
      <c r="O184" s="2167"/>
      <c r="P184" s="2166"/>
      <c r="Q184" s="2166"/>
      <c r="R184" s="2168"/>
    </row>
    <row r="185" spans="1:18" s="2139"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9"/>
      <c r="B186" s="2166"/>
      <c r="C186" s="2166"/>
      <c r="E186" s="2166"/>
      <c r="F186" s="2166"/>
      <c r="G186" s="2167"/>
    </row>
    <row r="187" spans="1:18">
      <c r="A187" s="2139"/>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1828" t="s">
        <v>1222</v>
      </c>
      <c r="B1" s="1828">
        <f>SUM(B14:B23)</f>
        <v>11.66</v>
      </c>
      <c r="C1" s="1829"/>
      <c r="D1" s="1829"/>
      <c r="E1" s="1829"/>
      <c r="F1" s="1829"/>
      <c r="G1" s="1833"/>
    </row>
    <row r="2" spans="1:9" ht="16.5">
      <c r="A2" s="1828" t="s">
        <v>1223</v>
      </c>
      <c r="B2" s="1828">
        <f>SUM(C14:C23)</f>
        <v>0</v>
      </c>
      <c r="C2" s="1829"/>
      <c r="D2" s="1829"/>
      <c r="E2" s="1829"/>
      <c r="F2" s="1829"/>
      <c r="G2" s="1833"/>
    </row>
    <row r="3" spans="1:9" ht="16.5">
      <c r="A3" s="1828" t="s">
        <v>1224</v>
      </c>
      <c r="B3" s="1831">
        <f>项目基本情况!D2</f>
        <v>43439</v>
      </c>
      <c r="C3" s="1829"/>
      <c r="D3" s="1829"/>
      <c r="E3" s="1829"/>
      <c r="F3" s="1829"/>
      <c r="G3" s="1833"/>
    </row>
    <row r="4" spans="1:9" ht="33">
      <c r="A4" s="1828" t="s">
        <v>1225</v>
      </c>
      <c r="B4" s="1828" t="s">
        <v>1226</v>
      </c>
      <c r="C4" s="1828" t="s">
        <v>1227</v>
      </c>
      <c r="D4" s="1828" t="s">
        <v>1228</v>
      </c>
      <c r="E4" s="1829"/>
      <c r="F4" s="1833"/>
      <c r="G4" s="1833"/>
    </row>
    <row r="5" spans="1:9" ht="16.5">
      <c r="A5" s="1828" t="s">
        <v>1229</v>
      </c>
      <c r="B5" s="1828">
        <f ca="1">SUM(D14:D23)</f>
        <v>150.35069999999999</v>
      </c>
      <c r="C5" s="1828">
        <f ca="1">ROUND(B5*10000/$B$1,0)</f>
        <v>128946</v>
      </c>
      <c r="D5" s="1828" t="e">
        <f ca="1">ROUND(B5*10000/$B$2,0)</f>
        <v>#DIV/0!</v>
      </c>
      <c r="E5" s="1829"/>
      <c r="F5" s="1833"/>
      <c r="G5" s="1833"/>
    </row>
    <row r="6" spans="1:9" ht="16.5">
      <c r="A6" s="1828" t="s">
        <v>1230</v>
      </c>
      <c r="B6" s="1828">
        <f ca="1">SUM(G14:G23)</f>
        <v>150.35069999999999</v>
      </c>
      <c r="C6" s="1828">
        <f t="shared" ref="C6:C8" ca="1" si="0">ROUND(B6*10000/$B$1,0)</f>
        <v>128946</v>
      </c>
      <c r="D6" s="1828" t="e">
        <f t="shared" ref="D6:D8" ca="1" si="1">ROUND(B6*10000/$B$2,0)</f>
        <v>#DIV/0!</v>
      </c>
      <c r="E6" s="1829"/>
      <c r="F6" s="1833"/>
      <c r="G6" s="1833"/>
    </row>
    <row r="7" spans="1:9" ht="16.5">
      <c r="A7" s="1828" t="s">
        <v>1231</v>
      </c>
      <c r="B7" s="1828" t="e">
        <f>SUM(H14:H23)</f>
        <v>#VALUE!</v>
      </c>
      <c r="C7" s="1828" t="e">
        <f>ROUND(B7*10000/$B$1,0)</f>
        <v>#VALUE!</v>
      </c>
      <c r="D7" s="1828" t="e">
        <f t="shared" si="1"/>
        <v>#VALUE!</v>
      </c>
      <c r="E7" s="1829"/>
      <c r="F7" s="1833"/>
      <c r="G7" s="1833"/>
    </row>
    <row r="8" spans="1:9" ht="16.5">
      <c r="A8" s="1828" t="s">
        <v>1232</v>
      </c>
      <c r="B8" s="1828" t="e">
        <f>SUM(I14:I23)</f>
        <v>#VALUE!</v>
      </c>
      <c r="C8" s="1828" t="e">
        <f t="shared" si="0"/>
        <v>#VALUE!</v>
      </c>
      <c r="D8" s="1828" t="e">
        <f t="shared" si="1"/>
        <v>#VALUE!</v>
      </c>
      <c r="E8" s="1829"/>
      <c r="F8" s="1833"/>
      <c r="G8" s="1833"/>
    </row>
    <row r="9" spans="1:9" ht="16.5">
      <c r="A9" s="1828" t="s">
        <v>1233</v>
      </c>
      <c r="B9" s="1834"/>
      <c r="C9" s="1829"/>
      <c r="D9" s="1829"/>
      <c r="E9" s="1829"/>
      <c r="F9" s="1833"/>
      <c r="G9" s="1833"/>
    </row>
    <row r="10" spans="1:9" ht="16.5">
      <c r="A10" s="1828" t="s">
        <v>1234</v>
      </c>
      <c r="B10" s="1834"/>
      <c r="C10" s="1829"/>
      <c r="D10" s="1829"/>
      <c r="E10" s="1829"/>
      <c r="F10" s="1833"/>
      <c r="G10" s="1833"/>
    </row>
    <row r="11" spans="1:9" ht="16.5">
      <c r="A11" s="1828" t="s">
        <v>1249</v>
      </c>
      <c r="B11" s="1834"/>
      <c r="C11" s="1829"/>
      <c r="D11" s="1829"/>
      <c r="E11" s="1829"/>
      <c r="F11" s="1833"/>
      <c r="G11" s="1833"/>
    </row>
    <row r="12" spans="1:9" ht="16.5">
      <c r="A12" s="1829"/>
      <c r="B12" s="1829"/>
      <c r="C12" s="1829"/>
      <c r="D12" s="1829"/>
      <c r="E12" s="1829"/>
      <c r="F12" s="1833"/>
      <c r="G12" s="1833"/>
    </row>
    <row r="13" spans="1:9" ht="33">
      <c r="A13" s="1838" t="s">
        <v>1248</v>
      </c>
      <c r="B13" s="1832" t="s">
        <v>1222</v>
      </c>
      <c r="C13" s="1832" t="s">
        <v>1223</v>
      </c>
      <c r="D13" s="1832" t="s">
        <v>1235</v>
      </c>
      <c r="E13" s="1828" t="s">
        <v>1227</v>
      </c>
      <c r="F13" s="1828" t="s">
        <v>1228</v>
      </c>
      <c r="G13" s="1832" t="s">
        <v>1236</v>
      </c>
      <c r="H13" s="1832" t="s">
        <v>1237</v>
      </c>
      <c r="I13" s="1832" t="s">
        <v>1238</v>
      </c>
    </row>
    <row r="14" spans="1:9" ht="16.5">
      <c r="A14" s="1835" t="s">
        <v>2815</v>
      </c>
      <c r="B14" s="1832">
        <f>项目基本情况!C12</f>
        <v>11.66</v>
      </c>
      <c r="C14" s="1832">
        <f>项目基本情况!C13</f>
        <v>0</v>
      </c>
      <c r="D14" s="1832">
        <f ca="1">IF('数据-取费表'!B3="万元",IF(A14="估价对象1（结果表）",结果表!H121,'结果表 (1修多)'!H124),IF(A14="估价对象1（结果表）",结果表!H121,'结果表 (1修多)'!H124)/10000)</f>
        <v>150.35069999999999</v>
      </c>
      <c r="E14" s="1832">
        <f ca="1">ROUND(D14*10000/B14,0)</f>
        <v>128946</v>
      </c>
      <c r="F14" s="1832" t="e">
        <f ca="1">ROUND(D14*10000/C14,0)</f>
        <v>#DIV/0!</v>
      </c>
      <c r="G14" s="1832">
        <f ca="1">IF('数据-取费表'!B3="万元",IF(A14="估价对象1（结果表）",结果表!D125,'结果表 (1修多)'!D128),IF(A14="估价对象1（结果表）",结果表!D125,'结果表 (1修多)'!D128)/10000)</f>
        <v>150.35069999999999</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1239</v>
      </c>
      <c r="B15" s="1836"/>
      <c r="C15" s="1836"/>
      <c r="D15" s="1836"/>
      <c r="E15" s="1832" t="e">
        <f t="shared" ref="E15:E23" si="2">ROUND(D15*10000/B15,0)</f>
        <v>#DIV/0!</v>
      </c>
      <c r="F15" s="1832" t="e">
        <f t="shared" ref="F15:F23" si="3">ROUND(D15*10000/C15,0)</f>
        <v>#DIV/0!</v>
      </c>
      <c r="G15" s="1837"/>
      <c r="H15" s="1837"/>
      <c r="I15" s="1836"/>
    </row>
    <row r="16" spans="1:9" ht="16.5">
      <c r="A16" s="1830" t="s">
        <v>1240</v>
      </c>
      <c r="B16" s="1836"/>
      <c r="C16" s="1836"/>
      <c r="D16" s="1836"/>
      <c r="E16" s="1832" t="e">
        <f t="shared" si="2"/>
        <v>#DIV/0!</v>
      </c>
      <c r="F16" s="1832" t="e">
        <f t="shared" si="3"/>
        <v>#DIV/0!</v>
      </c>
      <c r="G16" s="1837"/>
      <c r="H16" s="1837"/>
      <c r="I16" s="1836"/>
    </row>
    <row r="17" spans="1:9" ht="16.5">
      <c r="A17" s="1830" t="s">
        <v>1241</v>
      </c>
      <c r="B17" s="1836"/>
      <c r="C17" s="1836"/>
      <c r="D17" s="1836"/>
      <c r="E17" s="1832" t="e">
        <f t="shared" si="2"/>
        <v>#DIV/0!</v>
      </c>
      <c r="F17" s="1832" t="e">
        <f t="shared" si="3"/>
        <v>#DIV/0!</v>
      </c>
      <c r="G17" s="1837"/>
      <c r="H17" s="1837"/>
      <c r="I17" s="1836"/>
    </row>
    <row r="18" spans="1:9" ht="16.5">
      <c r="A18" s="1830" t="s">
        <v>1242</v>
      </c>
      <c r="B18" s="1836"/>
      <c r="C18" s="1836"/>
      <c r="D18" s="1836"/>
      <c r="E18" s="1832" t="e">
        <f t="shared" si="2"/>
        <v>#DIV/0!</v>
      </c>
      <c r="F18" s="1832" t="e">
        <f t="shared" si="3"/>
        <v>#DIV/0!</v>
      </c>
      <c r="G18" s="1836"/>
      <c r="H18" s="1836"/>
      <c r="I18" s="1836"/>
    </row>
    <row r="19" spans="1:9" ht="16.5">
      <c r="A19" s="1830" t="s">
        <v>1243</v>
      </c>
      <c r="B19" s="1836"/>
      <c r="C19" s="1836"/>
      <c r="D19" s="1836"/>
      <c r="E19" s="1832" t="e">
        <f t="shared" si="2"/>
        <v>#DIV/0!</v>
      </c>
      <c r="F19" s="1832" t="e">
        <f t="shared" si="3"/>
        <v>#DIV/0!</v>
      </c>
      <c r="G19" s="1836"/>
      <c r="H19" s="1836"/>
      <c r="I19" s="1836"/>
    </row>
    <row r="20" spans="1:9" ht="16.5">
      <c r="A20" s="1830" t="s">
        <v>1244</v>
      </c>
      <c r="B20" s="1836"/>
      <c r="C20" s="1836"/>
      <c r="D20" s="1836"/>
      <c r="E20" s="1832" t="e">
        <f t="shared" si="2"/>
        <v>#DIV/0!</v>
      </c>
      <c r="F20" s="1832" t="e">
        <f t="shared" si="3"/>
        <v>#DIV/0!</v>
      </c>
      <c r="G20" s="1836"/>
      <c r="H20" s="1836"/>
      <c r="I20" s="1836"/>
    </row>
    <row r="21" spans="1:9" ht="16.5">
      <c r="A21" s="1830" t="s">
        <v>1245</v>
      </c>
      <c r="B21" s="1836"/>
      <c r="C21" s="1836"/>
      <c r="D21" s="1836"/>
      <c r="E21" s="1832" t="e">
        <f t="shared" si="2"/>
        <v>#DIV/0!</v>
      </c>
      <c r="F21" s="1832" t="e">
        <f t="shared" si="3"/>
        <v>#DIV/0!</v>
      </c>
      <c r="G21" s="1836"/>
      <c r="H21" s="1836"/>
      <c r="I21" s="1836"/>
    </row>
    <row r="22" spans="1:9" ht="16.5">
      <c r="A22" s="1830" t="s">
        <v>1246</v>
      </c>
      <c r="B22" s="1836"/>
      <c r="C22" s="1836"/>
      <c r="D22" s="1836"/>
      <c r="E22" s="1832" t="e">
        <f t="shared" si="2"/>
        <v>#DIV/0!</v>
      </c>
      <c r="F22" s="1832" t="e">
        <f t="shared" si="3"/>
        <v>#DIV/0!</v>
      </c>
      <c r="G22" s="1836"/>
      <c r="H22" s="1836"/>
      <c r="I22" s="1836"/>
    </row>
    <row r="23" spans="1:9" ht="16.5">
      <c r="A23" s="1830" t="s">
        <v>1247</v>
      </c>
      <c r="B23" s="1836"/>
      <c r="C23" s="1836"/>
      <c r="D23" s="1836"/>
      <c r="E23" s="1828" t="e">
        <f t="shared" si="2"/>
        <v>#DIV/0!</v>
      </c>
      <c r="F23" s="1828" t="e">
        <f t="shared" si="3"/>
        <v>#DIV/0!</v>
      </c>
      <c r="G23" s="1836"/>
      <c r="H23" s="1836"/>
      <c r="I23" s="1836"/>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0" sqref="G20"/>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1765</v>
      </c>
      <c r="B1" s="2192"/>
      <c r="C1" s="2192"/>
      <c r="D1" s="2192"/>
      <c r="E1" s="2192"/>
      <c r="F1" s="2192"/>
      <c r="G1" s="2192"/>
      <c r="H1" s="2192"/>
      <c r="I1" s="2192"/>
    </row>
    <row r="2" spans="1:12" ht="21.75" customHeight="1">
      <c r="A2" s="2891" t="str">
        <f>项目基本情况!B1</f>
        <v>北京市预评估</v>
      </c>
      <c r="B2" s="2891"/>
      <c r="C2" s="2891"/>
      <c r="D2" s="2891"/>
      <c r="E2" s="2891"/>
      <c r="F2" s="2891"/>
      <c r="G2" s="2891"/>
      <c r="H2" s="2891"/>
      <c r="I2" s="2891"/>
    </row>
    <row r="3" spans="1:12" ht="12.75">
      <c r="A3" s="2894" t="s">
        <v>1766</v>
      </c>
      <c r="B3" s="2895"/>
      <c r="C3" s="2895"/>
      <c r="D3" s="2895"/>
      <c r="E3" s="2895"/>
      <c r="F3" s="2895"/>
      <c r="G3" s="2895"/>
      <c r="H3" s="2895"/>
      <c r="I3" s="2895"/>
    </row>
    <row r="4" spans="1:12" ht="14.25">
      <c r="A4" s="2194" t="s">
        <v>1767</v>
      </c>
      <c r="B4" s="2195" t="s">
        <v>1768</v>
      </c>
      <c r="C4" s="2196" t="s">
        <v>2826</v>
      </c>
      <c r="D4" s="2196" t="s">
        <v>2827</v>
      </c>
      <c r="E4" s="2875" t="s">
        <v>1769</v>
      </c>
      <c r="F4" s="2876"/>
      <c r="G4" s="2876"/>
      <c r="H4" s="2876"/>
      <c r="I4" s="2886"/>
      <c r="K4" s="1843" t="str">
        <f>IF(ISNUMBER(FIND("比较法",结果表!C4)),"比较法",IF(ISNUMBER(FIND("成本法",结果表!C4)),"成本法",IF(ISNUMBER(FIND("假设开发法",结果表!C4)),"假设开发法",IF(ISNUMBER(FIND("收益法",结果表!C4)),"收益法","基准地价系数修正法"))))</f>
        <v>收益法</v>
      </c>
      <c r="L4" s="1843" t="str">
        <f>IF(ISNUMBER(FIND("比较法",结果表!D4)),"比较法",IF(ISNUMBER(FIND("成本法",结果表!D4)),"成本法",IF(ISNUMBER(FIND("假设开发法",结果表!D4)),"假设开发法",IF(ISNUMBER(FIND("收益法",结果表!D4)),"收益法","基准地价系数修正法"))))</f>
        <v>成本法</v>
      </c>
    </row>
    <row r="5" spans="1:12" ht="12.75">
      <c r="A5" s="2868" t="s">
        <v>1770</v>
      </c>
      <c r="B5" s="2830">
        <v>25</v>
      </c>
      <c r="C5" s="2879">
        <v>80</v>
      </c>
      <c r="D5" s="2893">
        <f>100-C5</f>
        <v>20</v>
      </c>
      <c r="E5" s="56" t="s">
        <v>1771</v>
      </c>
      <c r="F5" s="2197"/>
      <c r="G5" s="2197"/>
      <c r="H5" s="2197"/>
      <c r="I5" s="2198"/>
    </row>
    <row r="6" spans="1:12" ht="12.75">
      <c r="A6" s="2868"/>
      <c r="B6" s="2830"/>
      <c r="C6" s="2896"/>
      <c r="D6" s="2893"/>
      <c r="E6" s="56" t="s">
        <v>1772</v>
      </c>
      <c r="F6" s="2197"/>
      <c r="G6" s="2197"/>
      <c r="H6" s="2197"/>
      <c r="I6" s="2198"/>
    </row>
    <row r="7" spans="1:12" ht="12.75">
      <c r="A7" s="2868"/>
      <c r="B7" s="2830"/>
      <c r="C7" s="2880"/>
      <c r="D7" s="2893"/>
      <c r="E7" s="56" t="s">
        <v>1773</v>
      </c>
      <c r="F7" s="2197"/>
      <c r="G7" s="2197"/>
      <c r="H7" s="2197"/>
      <c r="I7" s="2198"/>
    </row>
    <row r="8" spans="1:12" ht="12.75">
      <c r="A8" s="2868" t="s">
        <v>1774</v>
      </c>
      <c r="B8" s="2830">
        <v>15</v>
      </c>
      <c r="C8" s="2879"/>
      <c r="D8" s="2893"/>
      <c r="E8" s="56" t="s">
        <v>1775</v>
      </c>
      <c r="F8" s="2197"/>
      <c r="G8" s="2197"/>
      <c r="H8" s="2197"/>
      <c r="I8" s="2198"/>
    </row>
    <row r="9" spans="1:12" ht="12.75">
      <c r="A9" s="2868"/>
      <c r="B9" s="2830"/>
      <c r="C9" s="2880"/>
      <c r="D9" s="2893"/>
      <c r="E9" s="56" t="s">
        <v>1776</v>
      </c>
      <c r="F9" s="2197"/>
      <c r="G9" s="2197"/>
      <c r="H9" s="2197"/>
      <c r="I9" s="2198"/>
    </row>
    <row r="10" spans="1:12" ht="12.75">
      <c r="A10" s="2868" t="s">
        <v>1777</v>
      </c>
      <c r="B10" s="2830">
        <v>15</v>
      </c>
      <c r="C10" s="2879"/>
      <c r="D10" s="2893"/>
      <c r="E10" s="56" t="s">
        <v>1778</v>
      </c>
      <c r="F10" s="2197"/>
      <c r="G10" s="2197"/>
      <c r="H10" s="2197"/>
      <c r="I10" s="2198"/>
    </row>
    <row r="11" spans="1:12" ht="12.75">
      <c r="A11" s="2868"/>
      <c r="B11" s="2830"/>
      <c r="C11" s="2880"/>
      <c r="D11" s="2893"/>
      <c r="E11" s="56" t="s">
        <v>1779</v>
      </c>
      <c r="F11" s="2197"/>
      <c r="G11" s="2197"/>
      <c r="H11" s="2197"/>
      <c r="I11" s="2198"/>
    </row>
    <row r="12" spans="1:12" ht="12.75">
      <c r="A12" s="2868" t="s">
        <v>1780</v>
      </c>
      <c r="B12" s="2830">
        <v>15</v>
      </c>
      <c r="C12" s="2879"/>
      <c r="D12" s="2893"/>
      <c r="E12" s="56" t="s">
        <v>1781</v>
      </c>
      <c r="F12" s="2197"/>
      <c r="G12" s="2197"/>
      <c r="H12" s="2197"/>
      <c r="I12" s="2198"/>
    </row>
    <row r="13" spans="1:12" ht="12.75">
      <c r="A13" s="2868"/>
      <c r="B13" s="2830"/>
      <c r="C13" s="2880"/>
      <c r="D13" s="2893"/>
      <c r="E13" s="56" t="s">
        <v>1782</v>
      </c>
      <c r="F13" s="2197"/>
      <c r="G13" s="2197"/>
      <c r="H13" s="2197"/>
      <c r="I13" s="2198"/>
    </row>
    <row r="14" spans="1:12" ht="12.75">
      <c r="A14" s="2868" t="s">
        <v>1783</v>
      </c>
      <c r="B14" s="2830">
        <v>30</v>
      </c>
      <c r="C14" s="2879"/>
      <c r="D14" s="2893"/>
      <c r="E14" s="56" t="s">
        <v>1784</v>
      </c>
      <c r="F14" s="2197"/>
      <c r="G14" s="2197"/>
      <c r="H14" s="2197"/>
      <c r="I14" s="2198"/>
    </row>
    <row r="15" spans="1:12" ht="12.75">
      <c r="A15" s="2868"/>
      <c r="B15" s="2830"/>
      <c r="C15" s="2896"/>
      <c r="D15" s="2893"/>
      <c r="E15" s="56" t="s">
        <v>1785</v>
      </c>
      <c r="F15" s="2197"/>
      <c r="G15" s="2197"/>
      <c r="H15" s="2197"/>
      <c r="I15" s="2198"/>
    </row>
    <row r="16" spans="1:12" ht="12.75">
      <c r="A16" s="2868"/>
      <c r="B16" s="2830"/>
      <c r="C16" s="2880"/>
      <c r="D16" s="2893"/>
      <c r="E16" s="56" t="s">
        <v>1786</v>
      </c>
      <c r="F16" s="2197"/>
      <c r="G16" s="2197"/>
      <c r="H16" s="2197"/>
      <c r="I16" s="2198"/>
    </row>
    <row r="17" spans="1:35" ht="15">
      <c r="A17" s="2199" t="s">
        <v>1787</v>
      </c>
      <c r="B17" s="2200"/>
      <c r="C17" s="57">
        <f>SUM(C5:C16)</f>
        <v>80</v>
      </c>
      <c r="D17" s="57">
        <f>SUM(D5:D16)</f>
        <v>20</v>
      </c>
      <c r="E17" s="2192"/>
      <c r="F17" s="2192"/>
      <c r="G17" s="2192"/>
      <c r="H17" s="2192"/>
      <c r="I17" s="2192"/>
    </row>
    <row r="18" spans="1:35" ht="15.75" thickBot="1">
      <c r="A18" s="2201" t="s">
        <v>1788</v>
      </c>
      <c r="B18" s="2202"/>
      <c r="C18" s="58">
        <f>ROUND(C17/SUM(C17:D17),2)</f>
        <v>0.8</v>
      </c>
      <c r="D18" s="58">
        <f>1-C18</f>
        <v>0.19999999999999996</v>
      </c>
      <c r="E18" s="2192"/>
      <c r="F18" s="2192"/>
      <c r="G18" s="2192"/>
      <c r="H18" s="2192"/>
      <c r="I18" s="2192"/>
    </row>
    <row r="19" spans="1:35" ht="15">
      <c r="A19" s="2203" t="s">
        <v>1789</v>
      </c>
      <c r="B19" s="2204" t="s">
        <v>1790</v>
      </c>
      <c r="C19" s="59">
        <f ca="1">SUMIF(INDIRECT("'"&amp;C4&amp;"'"&amp;"!A:A"),结果表!B19,INDIRECT("'"&amp;C4&amp;"'"&amp;"!B:B"))</f>
        <v>1580155</v>
      </c>
      <c r="D19" s="60">
        <f ca="1">SUMIF(INDIRECT("'"&amp;D4&amp;"'"&amp;"!A:A"),结果表!B19,INDIRECT("'"&amp;D4&amp;"'"&amp;"!B:B"))</f>
        <v>1196915</v>
      </c>
      <c r="E19" s="2203" t="s">
        <v>1791</v>
      </c>
      <c r="F19" s="2204" t="s">
        <v>1790</v>
      </c>
      <c r="G19" s="61">
        <f ca="1">ROUND(C19*$C$18+D19*$D$18,0)</f>
        <v>1503507</v>
      </c>
      <c r="H19" s="2205" t="str">
        <f>'数据-取费表'!B3</f>
        <v>元</v>
      </c>
      <c r="I19" s="2192"/>
      <c r="J19" s="2738">
        <f ca="1">ROUND(J20*项目基本情况!C12,0)</f>
        <v>1267325</v>
      </c>
    </row>
    <row r="20" spans="1:35" ht="15">
      <c r="A20" s="2206"/>
      <c r="B20" s="2207" t="s">
        <v>1792</v>
      </c>
      <c r="C20" s="62">
        <f ca="1">SUMIF(INDIRECT("'"&amp;C4&amp;"'"&amp;"!A:A"),结果表!B20,INDIRECT("'"&amp;C4&amp;"'"&amp;"!B:B"))</f>
        <v>135519</v>
      </c>
      <c r="D20" s="63">
        <f ca="1">SUMIF(INDIRECT("'"&amp;D4&amp;"'"&amp;"!A:A"),结果表!B20,INDIRECT("'"&amp;D4&amp;"'"&amp;"!B:B"))</f>
        <v>102651</v>
      </c>
      <c r="E20" s="2206"/>
      <c r="F20" s="2207" t="s">
        <v>1792</v>
      </c>
      <c r="G20" s="64">
        <f ca="1">ROUND(C20*$C$18+D20*$D$18,0)</f>
        <v>128945</v>
      </c>
      <c r="H20" s="2208" t="s">
        <v>1793</v>
      </c>
      <c r="I20" s="2192"/>
      <c r="J20" s="1310">
        <f ca="1">ROUND(G20-基准地价修正!C30,0)</f>
        <v>108690</v>
      </c>
    </row>
    <row r="21" spans="1:35" ht="15" customHeight="1" thickBot="1">
      <c r="A21" s="2209"/>
      <c r="B21" s="2210"/>
      <c r="C21" s="770"/>
      <c r="D21" s="771"/>
      <c r="E21" s="2209"/>
      <c r="F21" s="2210"/>
      <c r="G21" s="65"/>
      <c r="H21" s="2211"/>
      <c r="I21" s="2192"/>
    </row>
    <row r="22" spans="1:35" ht="15" thickBot="1">
      <c r="A22" s="2212" t="s">
        <v>1794</v>
      </c>
      <c r="B22" s="2213"/>
      <c r="C22" s="2214"/>
      <c r="D22" s="772">
        <f ca="1">IF(C19&lt;D19,D19/C19-1,C19/D19-1)</f>
        <v>0.32018982133234197</v>
      </c>
      <c r="E22" s="2192"/>
      <c r="F22" s="2192"/>
      <c r="G22" s="2192"/>
      <c r="H22" s="2192"/>
      <c r="I22" s="2192"/>
    </row>
    <row r="23" spans="1:35" ht="13.5" thickBot="1">
      <c r="A23" s="2192"/>
      <c r="B23" s="2192"/>
      <c r="C23" s="2192"/>
      <c r="D23" s="2192"/>
      <c r="E23" s="2192"/>
      <c r="F23" s="2192"/>
      <c r="G23" s="2192"/>
      <c r="H23" s="2192"/>
      <c r="I23" s="2192"/>
    </row>
    <row r="24" spans="1:35" ht="21.75" customHeight="1">
      <c r="A24" s="2899" t="s">
        <v>1795</v>
      </c>
      <c r="B24" s="2204" t="s">
        <v>1790</v>
      </c>
      <c r="C24" s="61">
        <f>D30</f>
        <v>0</v>
      </c>
      <c r="D24" s="993"/>
      <c r="E24" s="2192"/>
      <c r="F24" s="2192"/>
      <c r="G24" s="2192"/>
      <c r="H24" s="2192"/>
      <c r="I24" s="2192"/>
    </row>
    <row r="25" spans="1:35" ht="21.75" customHeight="1">
      <c r="A25" s="2900"/>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1800</v>
      </c>
      <c r="B30" s="67"/>
      <c r="C30" s="67"/>
      <c r="D30" s="67"/>
      <c r="E30" s="2709" t="s">
        <v>2796</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thickBot="1">
      <c r="A32" s="2220" t="s">
        <v>1801</v>
      </c>
      <c r="B32" s="2221" t="str">
        <f>'数据-取费表'!B4</f>
        <v>总价</v>
      </c>
      <c r="C32" s="1144">
        <f ca="1">IF(B32="总价",G19-C24,G20-C25)</f>
        <v>1503507</v>
      </c>
      <c r="D32" s="2192" t="str">
        <f>IF(B32="楼面单价","元/平方米",H19)</f>
        <v>元</v>
      </c>
      <c r="E32" s="2192"/>
      <c r="F32" s="2192"/>
      <c r="G32" s="2192"/>
      <c r="H32" s="2192"/>
      <c r="I32" s="2192"/>
    </row>
    <row r="33" spans="1:16" ht="15">
      <c r="A33" s="2222" t="s">
        <v>1802</v>
      </c>
      <c r="B33" s="2223"/>
      <c r="C33" s="2224"/>
      <c r="D33" s="2225"/>
      <c r="E33" s="2226" t="s">
        <v>1803</v>
      </c>
      <c r="F33" s="2227" t="str">
        <f>IF(B32="楼面单价","取值（单价）","取值（总价）")</f>
        <v>取值（总价）</v>
      </c>
      <c r="G33" s="2192"/>
      <c r="H33" s="2192"/>
      <c r="I33" s="2192"/>
    </row>
    <row r="34" spans="1:16" ht="15">
      <c r="A34" s="2228"/>
      <c r="B34" s="2229" t="s">
        <v>1804</v>
      </c>
      <c r="C34" s="72">
        <f ca="1">IF(D33="自定义",F34,C32-C35)</f>
        <v>1488472</v>
      </c>
      <c r="D34" s="1090">
        <f ca="1">IF(D33="自定义",ROUND(C34/C32,3),1-D35)</f>
        <v>0.99</v>
      </c>
      <c r="E34" s="2230" t="s">
        <v>1805</v>
      </c>
      <c r="F34" s="1826">
        <v>2000</v>
      </c>
      <c r="G34" s="2192"/>
      <c r="H34" s="2192"/>
      <c r="I34" s="2192"/>
    </row>
    <row r="35" spans="1:16" ht="15.75" thickBot="1">
      <c r="A35" s="2231"/>
      <c r="B35" s="2232" t="s">
        <v>1806</v>
      </c>
      <c r="C35" s="73">
        <f ca="1">IF(D33="自定义",F35,ROUND(C32*D35,0))</f>
        <v>15035</v>
      </c>
      <c r="D35" s="1089">
        <f ca="1">IF(D33="自定义",ROUND(C35/C32,3),IF(D33="成本法成本比率",成本法!C56,IF(D33="收益法收益比率",收益法!J38,收益法!J41)))</f>
        <v>0.01</v>
      </c>
      <c r="E35" s="2233" t="s">
        <v>1807</v>
      </c>
      <c r="F35" s="79">
        <v>4460</v>
      </c>
      <c r="G35" s="2192"/>
      <c r="H35" s="2192"/>
      <c r="I35" s="2192"/>
    </row>
    <row r="36" spans="1:16" ht="15.75" thickBot="1">
      <c r="A36" s="2881" t="s">
        <v>1808</v>
      </c>
      <c r="B36" s="2234" t="s">
        <v>1809</v>
      </c>
      <c r="C36" s="69">
        <v>0</v>
      </c>
      <c r="D36" s="2235"/>
      <c r="E36" s="2236"/>
      <c r="F36" s="2236"/>
      <c r="G36" s="2192"/>
      <c r="H36" s="2192"/>
      <c r="I36" s="2192"/>
    </row>
    <row r="37" spans="1:16" ht="15.75" thickBot="1">
      <c r="A37" s="2882"/>
      <c r="B37" s="2237" t="s">
        <v>1810</v>
      </c>
      <c r="C37" s="71">
        <v>0</v>
      </c>
      <c r="D37" s="2202"/>
      <c r="E37" s="2202"/>
      <c r="F37" s="2236"/>
      <c r="G37" s="2202"/>
      <c r="H37" s="2202"/>
      <c r="I37" s="2202"/>
    </row>
    <row r="38" spans="1:16" ht="15.75" thickBot="1">
      <c r="A38" s="2883"/>
      <c r="B38" s="2238" t="s">
        <v>1811</v>
      </c>
      <c r="C38" s="712">
        <v>0</v>
      </c>
      <c r="D38" s="2239" t="s">
        <v>1812</v>
      </c>
      <c r="E38" s="2202"/>
      <c r="F38" s="2236"/>
      <c r="G38" s="2202"/>
      <c r="H38" s="2202"/>
      <c r="I38" s="2202"/>
    </row>
    <row r="39" spans="1:16" ht="15">
      <c r="A39" s="2206" t="s">
        <v>1813</v>
      </c>
      <c r="B39" s="2240" t="s">
        <v>1797</v>
      </c>
      <c r="C39" s="2241" t="s">
        <v>1798</v>
      </c>
      <c r="D39" s="2241" t="s">
        <v>1814</v>
      </c>
      <c r="E39" s="2242" t="s">
        <v>1799</v>
      </c>
      <c r="F39" s="2236"/>
      <c r="G39" s="2202"/>
      <c r="H39" s="2202"/>
      <c r="I39" s="2202"/>
    </row>
    <row r="40" spans="1:16" ht="14.25">
      <c r="A40" s="2243" t="s">
        <v>1815</v>
      </c>
      <c r="B40" s="74"/>
      <c r="C40" s="75"/>
      <c r="D40" s="75"/>
      <c r="E40" s="76"/>
      <c r="F40" s="2236"/>
      <c r="G40" s="2202"/>
      <c r="H40" s="2202"/>
      <c r="I40" s="2202"/>
    </row>
    <row r="41" spans="1:16" ht="14.25">
      <c r="A41" s="2243" t="s">
        <v>1816</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1817</v>
      </c>
      <c r="B44" s="2249"/>
      <c r="C44" s="2249"/>
      <c r="D44" s="2250"/>
      <c r="E44" s="2250"/>
      <c r="F44" s="2251"/>
      <c r="G44" s="2251"/>
      <c r="H44" s="2251"/>
      <c r="I44" s="2251"/>
      <c r="J44" s="2252" t="s">
        <v>1818</v>
      </c>
      <c r="K44" s="2253"/>
      <c r="L44" s="2253"/>
      <c r="M44" s="2253"/>
      <c r="N44" s="2253"/>
      <c r="O44" s="2253"/>
      <c r="P44" s="1843"/>
    </row>
    <row r="45" spans="1:16" ht="14.25" customHeight="1" thickBot="1">
      <c r="A45" s="2887" t="s">
        <v>1819</v>
      </c>
      <c r="B45" s="2888"/>
      <c r="C45" s="2889"/>
      <c r="D45" s="80">
        <f ca="1">ROUND(I102*F45,0)</f>
        <v>1503507</v>
      </c>
      <c r="E45" s="81" t="s">
        <v>1820</v>
      </c>
      <c r="F45" s="82">
        <v>1</v>
      </c>
      <c r="G45" s="83" t="s">
        <v>1821</v>
      </c>
      <c r="H45" s="2192"/>
      <c r="I45" s="2192"/>
      <c r="J45" s="2949" t="s">
        <v>1822</v>
      </c>
      <c r="K45" s="2949"/>
      <c r="L45" s="2949"/>
      <c r="M45" s="2949"/>
      <c r="N45" s="2949"/>
      <c r="O45" s="2949"/>
      <c r="P45" s="1843"/>
    </row>
    <row r="46" spans="1:16" ht="14.25" customHeight="1">
      <c r="A46" s="2872" t="s">
        <v>1823</v>
      </c>
      <c r="B46" s="2873"/>
      <c r="C46" s="2873"/>
      <c r="D46" s="2873"/>
      <c r="E46" s="2873"/>
      <c r="F46" s="2873"/>
      <c r="G46" s="2874"/>
      <c r="H46" s="2254"/>
      <c r="I46" s="1143"/>
      <c r="J46" s="1880">
        <v>1</v>
      </c>
      <c r="K46" s="2949" t="s">
        <v>1824</v>
      </c>
      <c r="L46" s="2949"/>
      <c r="M46" s="2950" t="str">
        <f>项目基本情况!B1</f>
        <v>北京市预评估</v>
      </c>
      <c r="N46" s="2950"/>
      <c r="O46" s="2950"/>
      <c r="P46" s="1843"/>
    </row>
    <row r="47" spans="1:16" ht="12" customHeight="1">
      <c r="A47" s="85" t="s">
        <v>1825</v>
      </c>
      <c r="B47" s="86"/>
      <c r="C47" s="87"/>
      <c r="D47" s="88" t="s">
        <v>1826</v>
      </c>
      <c r="E47" s="14" t="s">
        <v>1827</v>
      </c>
      <c r="F47" s="89" t="s">
        <v>1828</v>
      </c>
      <c r="G47" s="90" t="s">
        <v>1829</v>
      </c>
      <c r="H47" s="2254"/>
      <c r="I47" s="1143"/>
      <c r="J47" s="1880">
        <v>2</v>
      </c>
      <c r="K47" s="2949" t="s">
        <v>1830</v>
      </c>
      <c r="L47" s="2949"/>
      <c r="M47" s="2951">
        <f>'数据-取费表'!B2</f>
        <v>43439</v>
      </c>
      <c r="N47" s="2951"/>
      <c r="O47" s="2951"/>
      <c r="P47" s="1843"/>
    </row>
    <row r="48" spans="1:16" ht="25.5">
      <c r="A48" s="2884" t="s">
        <v>1831</v>
      </c>
      <c r="B48" s="2885"/>
      <c r="C48" s="2885"/>
      <c r="D48" s="56">
        <f ca="1">IF(H48="情况1",0,IF(H48="情况2",D52,IF(H48="情况3",D53,IF(H48="情况4",D54))))</f>
        <v>80187</v>
      </c>
      <c r="E48" s="1890" t="str">
        <f>IF(H48="情况4","(销售额-原购置价)×税（费）率","销售额×税（费）率")</f>
        <v>销售额×税（费）率</v>
      </c>
      <c r="F48" s="91">
        <f>IF(H48="情况1","免征",'数据-取费表'!E29)</f>
        <v>5.6000000000000001E-2</v>
      </c>
      <c r="G48" s="2255" t="s">
        <v>1832</v>
      </c>
      <c r="H48" s="2256" t="s">
        <v>1833</v>
      </c>
      <c r="I48" s="2254"/>
      <c r="J48" s="1880">
        <v>3</v>
      </c>
      <c r="K48" s="2949" t="s">
        <v>1834</v>
      </c>
      <c r="L48" s="2949"/>
      <c r="M48" s="2950">
        <f ca="1">I102</f>
        <v>1503507</v>
      </c>
      <c r="N48" s="2950"/>
      <c r="O48" s="2950"/>
      <c r="P48" s="1843"/>
    </row>
    <row r="49" spans="1:16" ht="25.5" customHeight="1">
      <c r="A49" s="92" t="s">
        <v>1835</v>
      </c>
      <c r="B49" s="2877" t="s">
        <v>1836</v>
      </c>
      <c r="C49" s="2877"/>
      <c r="D49" s="93">
        <v>0</v>
      </c>
      <c r="E49" s="13" t="s">
        <v>1837</v>
      </c>
      <c r="F49" s="18" t="s">
        <v>48</v>
      </c>
      <c r="G49" s="2942"/>
      <c r="H49" s="2192"/>
      <c r="I49" s="2257"/>
      <c r="J49" s="1880">
        <v>4</v>
      </c>
      <c r="K49" s="2949" t="str">
        <f>IF(项目基本情况!F5="房地产抵押价值","房地产抵押价值","抵押担保权已注销时的房地产抵押价值")</f>
        <v>抵押担保权已注销时的房地产抵押价值</v>
      </c>
      <c r="L49" s="2949"/>
      <c r="M49" s="2950" t="str">
        <f>IF(项目基本情况!F5="房地产抵押价值",I110,I112)</f>
        <v>——</v>
      </c>
      <c r="N49" s="2950"/>
      <c r="O49" s="2950"/>
      <c r="P49" s="1843"/>
    </row>
    <row r="50" spans="1:16" ht="25.5" customHeight="1">
      <c r="A50" s="94"/>
      <c r="B50" s="2877" t="s">
        <v>1838</v>
      </c>
      <c r="C50" s="2877"/>
      <c r="D50" s="95"/>
      <c r="E50" s="21"/>
      <c r="F50" s="96"/>
      <c r="G50" s="2943"/>
      <c r="H50" s="2192"/>
      <c r="I50" s="2257"/>
      <c r="J50" s="2949" t="s">
        <v>1839</v>
      </c>
      <c r="K50" s="2949"/>
      <c r="L50" s="2949"/>
      <c r="M50" s="2949"/>
      <c r="N50" s="2949"/>
      <c r="O50" s="2949"/>
      <c r="P50" s="1843"/>
    </row>
    <row r="51" spans="1:16" ht="12" customHeight="1">
      <c r="A51" s="97"/>
      <c r="B51" s="2877" t="s">
        <v>1840</v>
      </c>
      <c r="C51" s="2877"/>
      <c r="D51" s="98"/>
      <c r="E51" s="20"/>
      <c r="F51" s="96"/>
      <c r="G51" s="2944"/>
      <c r="H51" s="2192"/>
      <c r="I51" s="2257"/>
      <c r="J51" s="2258" t="s">
        <v>1841</v>
      </c>
      <c r="K51" s="2949" t="s">
        <v>1842</v>
      </c>
      <c r="L51" s="2949"/>
      <c r="M51" s="2258" t="s">
        <v>1843</v>
      </c>
      <c r="N51" s="2258" t="s">
        <v>1844</v>
      </c>
      <c r="O51" s="2258" t="s">
        <v>1845</v>
      </c>
      <c r="P51" s="1843"/>
    </row>
    <row r="52" spans="1:16" ht="24" customHeight="1">
      <c r="A52" s="99" t="s">
        <v>1846</v>
      </c>
      <c r="B52" s="2877" t="s">
        <v>1847</v>
      </c>
      <c r="C52" s="2877"/>
      <c r="D52" s="98">
        <f ca="1">ROUND(D45*'数据-取费表'!E29/(1+'数据-取费表'!F30),0)</f>
        <v>80187</v>
      </c>
      <c r="E52" s="10" t="s">
        <v>1848</v>
      </c>
      <c r="F52" s="100">
        <f>'数据-取费表'!E29</f>
        <v>5.6000000000000001E-2</v>
      </c>
      <c r="G52" s="2259"/>
      <c r="H52" s="2192"/>
      <c r="I52" s="2257"/>
      <c r="J52" s="1880">
        <v>1</v>
      </c>
      <c r="K52" s="2909" t="s">
        <v>1849</v>
      </c>
      <c r="L52" s="2909"/>
      <c r="M52" s="778">
        <f ca="1">D48</f>
        <v>80187</v>
      </c>
      <c r="N52" s="1880" t="str">
        <f>E48</f>
        <v>销售额×税（费）率</v>
      </c>
      <c r="O52" s="779">
        <f>F48</f>
        <v>5.6000000000000001E-2</v>
      </c>
      <c r="P52" s="1843"/>
    </row>
    <row r="53" spans="1:16" ht="12" customHeight="1">
      <c r="A53" s="99" t="s">
        <v>1850</v>
      </c>
      <c r="B53" s="2878" t="s">
        <v>1851</v>
      </c>
      <c r="C53" s="2808"/>
      <c r="D53" s="98">
        <f ca="1">ROUND(D45*'数据-取费表'!E29/(1+'数据-取费表'!F30),0)</f>
        <v>80187</v>
      </c>
      <c r="E53" s="10" t="s">
        <v>1848</v>
      </c>
      <c r="F53" s="100">
        <f>'数据-取费表'!E29</f>
        <v>5.6000000000000001E-2</v>
      </c>
      <c r="G53" s="2259"/>
      <c r="H53" s="2192"/>
      <c r="I53" s="2257"/>
      <c r="J53" s="1880">
        <v>2</v>
      </c>
      <c r="K53" s="2909" t="s">
        <v>1852</v>
      </c>
      <c r="L53" s="2909"/>
      <c r="M53" s="778">
        <f t="shared" ref="M53:O54" ca="1" si="1">D55</f>
        <v>752</v>
      </c>
      <c r="N53" s="1880" t="str">
        <f t="shared" si="1"/>
        <v>销售额×税（费）率</v>
      </c>
      <c r="O53" s="779">
        <f t="shared" si="1"/>
        <v>5.0000000000000001E-4</v>
      </c>
      <c r="P53" s="1843"/>
    </row>
    <row r="54" spans="1:16" ht="12" customHeight="1">
      <c r="A54" s="99" t="s">
        <v>1853</v>
      </c>
      <c r="B54" s="2878" t="s">
        <v>1854</v>
      </c>
      <c r="C54" s="2808"/>
      <c r="D54" s="98">
        <f ca="1">C68</f>
        <v>80187</v>
      </c>
      <c r="E54" s="20" t="s">
        <v>1855</v>
      </c>
      <c r="F54" s="100">
        <f>'数据-取费表'!E29</f>
        <v>5.6000000000000001E-2</v>
      </c>
      <c r="G54" s="2259"/>
      <c r="H54" s="2260"/>
      <c r="I54" s="2257"/>
      <c r="J54" s="1880">
        <v>3</v>
      </c>
      <c r="K54" s="2909" t="s">
        <v>1856</v>
      </c>
      <c r="L54" s="2909"/>
      <c r="M54" s="778">
        <f t="shared" ca="1" si="1"/>
        <v>850985</v>
      </c>
      <c r="N54" s="1880" t="str">
        <f t="shared" si="1"/>
        <v>增值额×税（费）率</v>
      </c>
      <c r="O54" s="780" t="str">
        <f t="shared" si="1"/>
        <v>——</v>
      </c>
      <c r="P54" s="1843"/>
    </row>
    <row r="55" spans="1:16" ht="24" customHeight="1">
      <c r="A55" s="2800" t="s">
        <v>1857</v>
      </c>
      <c r="B55" s="2885"/>
      <c r="C55" s="2885"/>
      <c r="D55" s="101">
        <f ca="1">IF(H55="个人住宅",0,ROUND(D45*I55,0))</f>
        <v>752</v>
      </c>
      <c r="E55" s="10" t="s">
        <v>1858</v>
      </c>
      <c r="F55" s="100">
        <f>IF(H55="正常",I55,"免征")</f>
        <v>5.0000000000000001E-4</v>
      </c>
      <c r="G55" s="2259"/>
      <c r="H55" s="2256" t="s">
        <v>1859</v>
      </c>
      <c r="I55" s="102">
        <f>'数据-取费表'!E37</f>
        <v>5.0000000000000001E-4</v>
      </c>
      <c r="J55" s="1880">
        <f>IF(H59="非个人房产","",4)</f>
        <v>4</v>
      </c>
      <c r="K55" s="2909" t="str">
        <f>IF(H59="非个人房产","——","个人所得税")</f>
        <v>个人所得税</v>
      </c>
      <c r="L55" s="2909"/>
      <c r="M55" s="781">
        <f ca="1">D59</f>
        <v>15035</v>
      </c>
      <c r="N55" s="1883" t="str">
        <f>E59</f>
        <v>销售额×税（费）率</v>
      </c>
      <c r="O55" s="782">
        <f>F59</f>
        <v>0.01</v>
      </c>
      <c r="P55" s="1843"/>
    </row>
    <row r="56" spans="1:16" ht="24.75">
      <c r="A56" s="2800" t="s">
        <v>1860</v>
      </c>
      <c r="B56" s="2885"/>
      <c r="C56" s="2885"/>
      <c r="D56" s="101">
        <f ca="1">IF(H56="个人住宅",D57,D58)</f>
        <v>850985</v>
      </c>
      <c r="E56" s="10" t="s">
        <v>1861</v>
      </c>
      <c r="F56" s="100" t="str">
        <f>IF(H56="正常",F58,"免征")</f>
        <v>——</v>
      </c>
      <c r="G56" s="2261" t="s">
        <v>1862</v>
      </c>
      <c r="H56" s="2262" t="s">
        <v>1859</v>
      </c>
      <c r="I56" s="1021"/>
      <c r="J56" s="1880" t="str">
        <f>IF(项目基本情况!I6="上海银行",IF(J55="",4,J55+1),"")</f>
        <v/>
      </c>
      <c r="K56" s="2927" t="str">
        <f>IF(项目基本情况!I6="上海银行","其他处置费用","")</f>
        <v/>
      </c>
      <c r="L56" s="2928"/>
      <c r="M56" s="778" t="str">
        <f>IF(项目基本情况!I6="上海银行",M69,"")</f>
        <v/>
      </c>
      <c r="N56" s="2940" t="str">
        <f>IF(项目基本情况!I6="上海银行","包含处置中涉及的律师、诉讼、拍卖、评估等费用","")</f>
        <v/>
      </c>
      <c r="O56" s="2941"/>
      <c r="P56" s="1843"/>
    </row>
    <row r="57" spans="1:16" ht="12.75">
      <c r="A57" s="99" t="s">
        <v>1835</v>
      </c>
      <c r="B57" s="2875" t="s">
        <v>1863</v>
      </c>
      <c r="C57" s="2886"/>
      <c r="D57" s="103">
        <v>0</v>
      </c>
      <c r="E57" s="13" t="s">
        <v>1837</v>
      </c>
      <c r="F57" s="70"/>
      <c r="G57" s="2259"/>
      <c r="H57" s="1021"/>
      <c r="I57" s="1021"/>
      <c r="J57" s="2909">
        <f>IF(AND(J55="",J56=""),4,IF(项目基本情况!I6="上海银行",J56+1,J55+1))</f>
        <v>5</v>
      </c>
      <c r="K57" s="2909" t="s">
        <v>1864</v>
      </c>
      <c r="L57" s="2263" t="s">
        <v>1865</v>
      </c>
      <c r="M57" s="783"/>
      <c r="N57" s="784">
        <f ca="1">SUMIF(M52:M56,"&lt;9e307")</f>
        <v>946959</v>
      </c>
      <c r="O57" s="2264"/>
      <c r="P57" s="1839" t="e">
        <f ca="1">N57/M49</f>
        <v>#VALUE!</v>
      </c>
    </row>
    <row r="58" spans="1:16" ht="24.75">
      <c r="A58" s="99" t="s">
        <v>1846</v>
      </c>
      <c r="B58" s="2875" t="s">
        <v>1866</v>
      </c>
      <c r="C58" s="2876"/>
      <c r="D58" s="101">
        <f ca="1">IF(H58="转让取得",C81,C97)</f>
        <v>850985</v>
      </c>
      <c r="E58" s="10" t="s">
        <v>1861</v>
      </c>
      <c r="F58" s="14" t="s">
        <v>48</v>
      </c>
      <c r="G58" s="2259"/>
      <c r="H58" s="2262" t="s">
        <v>1867</v>
      </c>
      <c r="I58" s="1021"/>
      <c r="J58" s="2909"/>
      <c r="K58" s="2909"/>
      <c r="L58" s="2263" t="s">
        <v>1868</v>
      </c>
      <c r="M58" s="785"/>
      <c r="N58" s="2265" t="str">
        <f ca="1">IF(H19="元",NUMBERSTRING(INT(N57),2)&amp;"元整",NUMBERSTRING(INT(N57*10000),2)&amp;"元整")</f>
        <v>玖拾肆万陆仟玖佰伍拾玖元整</v>
      </c>
      <c r="O58" s="2266"/>
      <c r="P58" s="1843"/>
    </row>
    <row r="59" spans="1:16" ht="26.25" thickBot="1">
      <c r="A59" s="2801" t="s">
        <v>1869</v>
      </c>
      <c r="B59" s="2804"/>
      <c r="C59" s="2804"/>
      <c r="D59" s="104">
        <f ca="1">IF(H59="非个人房产","——",IF(H59="个人住宅",0,ROUND(D45*I59,0)))</f>
        <v>15035</v>
      </c>
      <c r="E59" s="105" t="str">
        <f>IF(H59="非个人房产","——","销售额×税（费）率")</f>
        <v>销售额×税（费）率</v>
      </c>
      <c r="F59" s="106">
        <f>IF(H59="非个人房产","——",IF(H59="个人住宅","免征",I59))</f>
        <v>0.01</v>
      </c>
      <c r="G59" s="2267" t="s">
        <v>1862</v>
      </c>
      <c r="H59" s="2262" t="s">
        <v>1870</v>
      </c>
      <c r="I59" s="107">
        <v>0.01</v>
      </c>
      <c r="J59" s="2907">
        <f>J57+1</f>
        <v>6</v>
      </c>
      <c r="K59" s="2909" t="s">
        <v>1871</v>
      </c>
      <c r="L59" s="1880" t="s">
        <v>1865</v>
      </c>
      <c r="M59" s="786"/>
      <c r="N59" s="787" t="e">
        <f ca="1">M49-N57</f>
        <v>#VALUE!</v>
      </c>
      <c r="O59" s="2268"/>
      <c r="P59" s="1843"/>
    </row>
    <row r="60" spans="1:16" ht="12" customHeight="1">
      <c r="A60" s="2065"/>
      <c r="B60" s="2192"/>
      <c r="C60" s="2192"/>
      <c r="D60" s="2192"/>
      <c r="E60" s="1021"/>
      <c r="F60" s="1021"/>
      <c r="G60" s="1021"/>
      <c r="H60" s="2245"/>
      <c r="I60" s="2192"/>
      <c r="J60" s="2908"/>
      <c r="K60" s="2909"/>
      <c r="L60" s="2263" t="s">
        <v>1868</v>
      </c>
      <c r="M60" s="785"/>
      <c r="N60" s="2265" t="e">
        <f ca="1">IF(H19="元",NUMBERSTRING(INT(N59),2)&amp;"元整",NUMBERSTRING(INT(N59*10000),2)&amp;"元整")</f>
        <v>#VALUE!</v>
      </c>
      <c r="O60" s="2266"/>
      <c r="P60" s="1843"/>
    </row>
    <row r="61" spans="1:16" ht="13.5" thickBot="1">
      <c r="A61" s="2890" t="s">
        <v>1872</v>
      </c>
      <c r="B61" s="2890"/>
      <c r="C61" s="2890"/>
      <c r="D61" s="2890"/>
      <c r="E61" s="2890"/>
      <c r="F61" s="1021"/>
      <c r="G61" s="1021"/>
      <c r="H61" s="2245"/>
      <c r="I61" s="2192"/>
      <c r="J61" s="1880">
        <f>J59+1</f>
        <v>7</v>
      </c>
      <c r="K61" s="2909" t="s">
        <v>1873</v>
      </c>
      <c r="L61" s="2909"/>
      <c r="M61" s="788"/>
      <c r="N61" s="789" t="e">
        <f ca="1">IF(H19="元",ROUND(N59/项目基本情况!C12,0),ROUND(N59*10000/项目基本情况!C12,0))</f>
        <v>#VALUE!</v>
      </c>
      <c r="O61" s="2269"/>
      <c r="P61" s="1843"/>
    </row>
    <row r="62" spans="1:16" ht="12.75">
      <c r="A62" s="2897" t="s">
        <v>1874</v>
      </c>
      <c r="B62" s="2898"/>
      <c r="C62" s="1882"/>
      <c r="D62" s="1882" t="s">
        <v>1875</v>
      </c>
      <c r="E62" s="108" t="s">
        <v>1876</v>
      </c>
      <c r="F62" s="1021"/>
      <c r="G62" s="1021"/>
      <c r="H62" s="2245"/>
      <c r="I62" s="2192"/>
      <c r="J62" s="1843"/>
      <c r="K62" s="1843"/>
      <c r="L62" s="1843"/>
      <c r="M62" s="1843"/>
      <c r="N62" s="1843"/>
      <c r="O62" s="1843"/>
      <c r="P62" s="1843"/>
    </row>
    <row r="63" spans="1:16" ht="12.75">
      <c r="A63" s="109">
        <v>1</v>
      </c>
      <c r="B63" s="110" t="s">
        <v>1877</v>
      </c>
      <c r="C63" s="111">
        <f ca="1">ROUND((C64+C65)/(1+'数据-取费表'!F30),0)</f>
        <v>1431911</v>
      </c>
      <c r="D63" s="112"/>
      <c r="E63" s="113"/>
      <c r="F63" s="1021"/>
      <c r="G63" s="1021"/>
      <c r="H63" s="2245"/>
      <c r="I63" s="2192"/>
      <c r="J63" s="2929" t="s">
        <v>1878</v>
      </c>
      <c r="K63" s="2270" t="s">
        <v>1879</v>
      </c>
      <c r="L63" s="1842" t="e">
        <f>IF(M49&gt;10000,M49*0.5%,IF(AND(M49&gt;1000,M49&lt;=10000),M49*1%,IF(AND(M49&gt;100,M49&lt;=1000),M49*3%,IF(AND(M49&gt;10,M49&lt;=100),M49*5%,M49*8%))))</f>
        <v>#VALUE!</v>
      </c>
      <c r="M63" s="14" t="e">
        <f>ROUND(L63,1)</f>
        <v>#VALUE!</v>
      </c>
      <c r="N63" s="1843"/>
      <c r="O63" s="1843"/>
      <c r="P63" s="1843"/>
    </row>
    <row r="64" spans="1:16" ht="12.75">
      <c r="A64" s="114" t="s">
        <v>71</v>
      </c>
      <c r="B64" s="115" t="s">
        <v>1880</v>
      </c>
      <c r="C64" s="116">
        <f ca="1">D45</f>
        <v>1503507</v>
      </c>
      <c r="D64" s="117" t="s">
        <v>41</v>
      </c>
      <c r="E64" s="118"/>
      <c r="F64" s="1021"/>
      <c r="G64" s="1021"/>
      <c r="H64" s="2245"/>
      <c r="I64" s="2192"/>
      <c r="J64" s="2929"/>
      <c r="K64" s="2270" t="s">
        <v>1881</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1882</v>
      </c>
      <c r="O64" s="1843"/>
      <c r="P64" s="1843"/>
    </row>
    <row r="65" spans="1:35" ht="12.75">
      <c r="A65" s="114" t="s">
        <v>72</v>
      </c>
      <c r="B65" s="115" t="s">
        <v>1883</v>
      </c>
      <c r="C65" s="119"/>
      <c r="D65" s="117"/>
      <c r="E65" s="118"/>
      <c r="F65" s="1021"/>
      <c r="G65" s="1021"/>
      <c r="H65" s="2245"/>
      <c r="I65" s="2192"/>
      <c r="J65" s="2929"/>
      <c r="K65" s="2270" t="s">
        <v>1884</v>
      </c>
      <c r="L65" s="1842" t="e">
        <f>IF(M49&gt;1000,M49*0.1%,IF(AND(M49&gt;500,M49&lt;=1000),M49*0.5%,IF(AND(M49&gt;50,M49&lt;=500),M49*1%,IF(AND(M49&gt;1,M49&lt;=50),M49*1.5%))))</f>
        <v>#VALUE!</v>
      </c>
      <c r="M65" s="14" t="e">
        <f t="shared" si="2"/>
        <v>#VALUE!</v>
      </c>
      <c r="N65" s="1843" t="s">
        <v>1882</v>
      </c>
      <c r="O65" s="1843"/>
      <c r="P65" s="1843"/>
    </row>
    <row r="66" spans="1:35" ht="12.75">
      <c r="A66" s="120" t="s">
        <v>47</v>
      </c>
      <c r="B66" s="121" t="s">
        <v>1885</v>
      </c>
      <c r="C66" s="122"/>
      <c r="D66" s="123" t="s">
        <v>41</v>
      </c>
      <c r="E66" s="1859" t="s">
        <v>1886</v>
      </c>
      <c r="F66" s="1021"/>
      <c r="G66" s="1021"/>
      <c r="H66" s="2245"/>
      <c r="I66" s="2192"/>
      <c r="J66" s="2929"/>
      <c r="K66" s="2270" t="s">
        <v>1887</v>
      </c>
      <c r="L66" s="1842" t="e">
        <f>M49*0.5%</f>
        <v>#VALUE!</v>
      </c>
      <c r="M66" s="14" t="e">
        <f>IF(L66&gt;0.5,0.5,ROUND(L66,0))</f>
        <v>#VALUE!</v>
      </c>
      <c r="N66" s="1843" t="s">
        <v>1888</v>
      </c>
      <c r="O66" s="1843"/>
      <c r="P66" s="1843"/>
    </row>
    <row r="67" spans="1:35" ht="12.75">
      <c r="A67" s="120" t="s">
        <v>42</v>
      </c>
      <c r="B67" s="121" t="s">
        <v>1889</v>
      </c>
      <c r="C67" s="124">
        <f ca="1">C63-C66</f>
        <v>1431911</v>
      </c>
      <c r="D67" s="117" t="s">
        <v>41</v>
      </c>
      <c r="E67" s="118"/>
      <c r="F67" s="1021"/>
      <c r="G67" s="1021"/>
      <c r="H67" s="2245"/>
      <c r="I67" s="2192"/>
      <c r="J67" s="2929"/>
      <c r="K67" s="2270" t="s">
        <v>1890</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thickBot="1">
      <c r="A68" s="125" t="s">
        <v>46</v>
      </c>
      <c r="B68" s="126" t="s">
        <v>1891</v>
      </c>
      <c r="C68" s="127">
        <f ca="1">IF(C67&lt;=0,0,ROUND(C67*D68,0))</f>
        <v>80187</v>
      </c>
      <c r="D68" s="128">
        <f>'数据-取费表'!E29</f>
        <v>5.6000000000000001E-2</v>
      </c>
      <c r="E68" s="129"/>
      <c r="F68" s="1021"/>
      <c r="G68" s="1021"/>
      <c r="H68" s="2245"/>
      <c r="I68" s="2192"/>
      <c r="J68" s="2929"/>
      <c r="K68" s="2270" t="s">
        <v>1892</v>
      </c>
      <c r="L68" s="1842" t="e">
        <f>IF(M49&gt;10000,M49*0.5%,IF(AND(M49&gt;5000,M49&lt;=10000),M49*1%,IF(AND(M49&gt;1000,M49&lt;=5000),M49*2%,IF(AND(M49&gt;200,M49&lt;=1000),M49*3%,M49*5%))))</f>
        <v>#VALUE!</v>
      </c>
      <c r="M68" s="14" t="e">
        <f>ROUND(L68,1)</f>
        <v>#VALUE!</v>
      </c>
      <c r="N68" s="1843"/>
      <c r="O68" s="1843"/>
      <c r="P68" s="1843"/>
    </row>
    <row r="69" spans="1:35" s="2219" customFormat="1" ht="7.5" customHeight="1">
      <c r="A69" s="2271"/>
      <c r="B69" s="2272"/>
      <c r="C69" s="2273"/>
      <c r="D69" s="2274"/>
      <c r="E69" s="2275"/>
      <c r="F69" s="1021"/>
      <c r="G69" s="1021"/>
      <c r="H69" s="2245"/>
      <c r="I69" s="2192"/>
      <c r="J69" s="2929"/>
      <c r="K69" s="2270" t="s">
        <v>1893</v>
      </c>
      <c r="L69" s="2276"/>
      <c r="M69" s="14" t="e">
        <f>ROUND(SUM(M63:M68),0)</f>
        <v>#VALUE!</v>
      </c>
      <c r="N69" s="1839" t="e">
        <f>M69/M49</f>
        <v>#VALUE!</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8" customFormat="1" ht="15" thickBot="1">
      <c r="A70" s="2901" t="s">
        <v>1894</v>
      </c>
      <c r="B70" s="2902"/>
      <c r="C70" s="2902"/>
      <c r="D70" s="2902"/>
      <c r="E70" s="2902"/>
      <c r="F70" s="2902"/>
      <c r="G70" s="2902"/>
      <c r="H70" s="2902"/>
      <c r="I70" s="2277"/>
      <c r="O70" s="1285"/>
      <c r="P70" s="1285"/>
      <c r="Q70" s="1285"/>
      <c r="R70" s="1285"/>
      <c r="S70" s="1285"/>
      <c r="T70" s="1285"/>
      <c r="U70" s="1285"/>
      <c r="V70" s="1285"/>
      <c r="W70" s="1285"/>
      <c r="X70" s="1285"/>
      <c r="Y70" s="1285"/>
      <c r="Z70" s="1285"/>
      <c r="AA70" s="2279"/>
      <c r="AB70" s="2279"/>
      <c r="AC70" s="2279"/>
      <c r="AD70" s="2279"/>
      <c r="AE70" s="2279"/>
      <c r="AF70" s="2279"/>
      <c r="AG70" s="2279"/>
      <c r="AH70" s="2279"/>
      <c r="AI70" s="2279"/>
    </row>
    <row r="71" spans="1:35" s="2278" customFormat="1" ht="14.25">
      <c r="A71" s="2897" t="s">
        <v>1874</v>
      </c>
      <c r="B71" s="2898"/>
      <c r="C71" s="1882"/>
      <c r="D71" s="1882" t="s">
        <v>1875</v>
      </c>
      <c r="E71" s="130" t="s">
        <v>1876</v>
      </c>
      <c r="F71" s="131"/>
      <c r="G71" s="131"/>
      <c r="H71" s="132"/>
      <c r="I71" s="2280"/>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133">
        <v>1</v>
      </c>
      <c r="B72" s="121" t="s">
        <v>1895</v>
      </c>
      <c r="C72" s="124">
        <f ca="1">ROUND(D45/(1+'数据-取费表'!F30),0)</f>
        <v>1431911</v>
      </c>
      <c r="D72" s="117" t="s">
        <v>41</v>
      </c>
      <c r="E72" s="12" t="s">
        <v>1896</v>
      </c>
      <c r="F72" s="1886"/>
      <c r="G72" s="1886"/>
      <c r="H72" s="134"/>
      <c r="I72" s="2280"/>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5">
        <v>2</v>
      </c>
      <c r="B73" s="89" t="s">
        <v>1897</v>
      </c>
      <c r="C73" s="124">
        <f ca="1">C74+C78</f>
        <v>8591</v>
      </c>
      <c r="D73" s="117" t="s">
        <v>41</v>
      </c>
      <c r="E73" s="1885"/>
      <c r="F73" s="1886"/>
      <c r="G73" s="1886"/>
      <c r="H73" s="134"/>
      <c r="I73" s="2280"/>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24">
      <c r="A74" s="136" t="s">
        <v>73</v>
      </c>
      <c r="B74" s="115" t="s">
        <v>1898</v>
      </c>
      <c r="C74" s="117">
        <f>ROUND(IF(G77="2016年5月1日后购买",C75/(1+'数据-取费表'!F30)+C76+C77,C75+C76+C77),0)</f>
        <v>0</v>
      </c>
      <c r="D74" s="117" t="s">
        <v>41</v>
      </c>
      <c r="E74" s="1885"/>
      <c r="F74" s="1886"/>
      <c r="G74" s="1886"/>
      <c r="H74" s="134"/>
      <c r="I74" s="2280"/>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74</v>
      </c>
      <c r="B75" s="115" t="s">
        <v>1899</v>
      </c>
      <c r="C75" s="137"/>
      <c r="D75" s="117" t="s">
        <v>41</v>
      </c>
      <c r="E75" s="138" t="s">
        <v>1900</v>
      </c>
      <c r="F75" s="2281" t="s">
        <v>1901</v>
      </c>
      <c r="G75" s="138" t="s">
        <v>1902</v>
      </c>
      <c r="H75" s="139"/>
      <c r="I75" s="9"/>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24.75" customHeight="1">
      <c r="A76" s="136" t="s">
        <v>75</v>
      </c>
      <c r="B76" s="140" t="s">
        <v>1903</v>
      </c>
      <c r="C76" s="117">
        <f>IF(F75="购房发票",ROUND(C75*H75*D76,0),0)</f>
        <v>0</v>
      </c>
      <c r="D76" s="141">
        <v>0.05</v>
      </c>
      <c r="E76" s="2878" t="s">
        <v>1904</v>
      </c>
      <c r="F76" s="2877"/>
      <c r="G76" s="2877"/>
      <c r="H76" s="2892"/>
      <c r="I76" s="2280"/>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2" t="s">
        <v>1907</v>
      </c>
      <c r="H77" s="1887" t="str">
        <f>IF(G77="个人买卖住房","免征印花税"," ")</f>
        <v xml:space="preserve"> </v>
      </c>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77</v>
      </c>
      <c r="B78" s="115" t="s">
        <v>1908</v>
      </c>
      <c r="C78" s="144">
        <f ca="1">ROUND(D45*D78/(1+'数据-取费表'!F30),0)</f>
        <v>8591</v>
      </c>
      <c r="D78" s="145">
        <f>'数据-取费表'!E31</f>
        <v>6.000000000000001E-3</v>
      </c>
      <c r="E78" s="2869" t="s">
        <v>1909</v>
      </c>
      <c r="F78" s="2870"/>
      <c r="G78" s="2870"/>
      <c r="H78" s="2871"/>
      <c r="I78" s="2283"/>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14.25">
      <c r="A79" s="146" t="s">
        <v>42</v>
      </c>
      <c r="B79" s="121" t="s">
        <v>1910</v>
      </c>
      <c r="C79" s="124">
        <f ca="1">C72-C73</f>
        <v>1423320</v>
      </c>
      <c r="D79" s="117" t="s">
        <v>41</v>
      </c>
      <c r="E79" s="1885"/>
      <c r="F79" s="1886"/>
      <c r="G79" s="1886"/>
      <c r="H79" s="134"/>
      <c r="I79" s="2280"/>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24">
      <c r="A80" s="146" t="s">
        <v>43</v>
      </c>
      <c r="B80" s="121" t="s">
        <v>1911</v>
      </c>
      <c r="C80" s="147">
        <f ca="1">IF(C79&lt;=0,0,C79/C73)</f>
        <v>165.67570713537424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24.75" thickBot="1">
      <c r="A81" s="148" t="s">
        <v>44</v>
      </c>
      <c r="B81" s="126" t="s">
        <v>1912</v>
      </c>
      <c r="C81" s="149">
        <f ca="1">ROUND(IF(C79&lt;=0,0,IF(C80&gt;=200%,C79*60%-C73*35%,IF(C80&gt;=100%,C79*50%-C73*15%,IF(C80&gt;=50%,C79*40%-C73*5%,IF(C80&lt;50%,C79*30%,0))))),0)</f>
        <v>850985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15" thickBot="1">
      <c r="A83" s="2901" t="s">
        <v>1913</v>
      </c>
      <c r="B83" s="2902"/>
      <c r="C83" s="2902"/>
      <c r="D83" s="2902"/>
      <c r="E83" s="2902"/>
      <c r="F83" s="2902"/>
      <c r="G83" s="2902"/>
      <c r="H83" s="2902"/>
      <c r="I83" s="9"/>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4.25">
      <c r="A84" s="2897" t="s">
        <v>1874</v>
      </c>
      <c r="B84" s="2898"/>
      <c r="C84" s="1882"/>
      <c r="D84" s="1882" t="s">
        <v>1875</v>
      </c>
      <c r="E84" s="130" t="s">
        <v>1876</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24">
      <c r="A85" s="133">
        <v>1</v>
      </c>
      <c r="B85" s="121" t="s">
        <v>1895</v>
      </c>
      <c r="C85" s="124">
        <f ca="1">ROUND(D45/(1+'数据-取费表'!F30),0)</f>
        <v>1431911</v>
      </c>
      <c r="D85" s="117" t="s">
        <v>41</v>
      </c>
      <c r="E85" s="1885" t="s">
        <v>1896</v>
      </c>
      <c r="F85" s="1886"/>
      <c r="G85" s="1886"/>
      <c r="H85" s="155"/>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5">
        <v>2</v>
      </c>
      <c r="B86" s="89" t="s">
        <v>1897</v>
      </c>
      <c r="C86" s="124">
        <f ca="1">IF(H88="仅含出让金",C87+C90+C91+C92+C93+C94,C87+C91+C92+C93+C94)</f>
        <v>8591</v>
      </c>
      <c r="D86" s="156"/>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6" t="s">
        <v>73</v>
      </c>
      <c r="B87" s="115" t="s">
        <v>1914</v>
      </c>
      <c r="C87" s="144">
        <f>C88+C89</f>
        <v>0</v>
      </c>
      <c r="D87" s="145"/>
      <c r="E87" s="1878"/>
      <c r="F87" s="1879"/>
      <c r="G87" s="1879"/>
      <c r="H87" s="1881"/>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74</v>
      </c>
      <c r="B88" s="115" t="s">
        <v>1915</v>
      </c>
      <c r="C88" s="157"/>
      <c r="D88" s="145"/>
      <c r="E88" s="158" t="s">
        <v>1916</v>
      </c>
      <c r="F88" s="1879"/>
      <c r="G88" s="159" t="s">
        <v>1917</v>
      </c>
      <c r="H88" s="2284"/>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75</v>
      </c>
      <c r="B89" s="115" t="s">
        <v>1905</v>
      </c>
      <c r="C89" s="144">
        <f>ROUND(C88*D89,0)</f>
        <v>0</v>
      </c>
      <c r="D89" s="145">
        <f>'数据-取费表'!E36+'数据-取费表'!E37</f>
        <v>3.0499999999999999E-2</v>
      </c>
      <c r="E89" s="158" t="s">
        <v>1918</v>
      </c>
      <c r="F89" s="1879"/>
      <c r="G89" s="1879"/>
      <c r="H89" s="1881"/>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77</v>
      </c>
      <c r="B90" s="115" t="s">
        <v>1919</v>
      </c>
      <c r="C90" s="157"/>
      <c r="D90" s="145"/>
      <c r="E90" s="158" t="str">
        <f>IF(H88="-","土地取得成本中已包含该笔费用"," ")</f>
        <v xml:space="preserve"> </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30.75" customHeight="1">
      <c r="A91" s="136" t="s">
        <v>78</v>
      </c>
      <c r="B91" s="115" t="s">
        <v>1920</v>
      </c>
      <c r="C91" s="144">
        <f>IF(H91="——",成本法!C33,I91)</f>
        <v>0</v>
      </c>
      <c r="D91" s="145"/>
      <c r="E91" s="2869" t="s">
        <v>1921</v>
      </c>
      <c r="F91" s="2870"/>
      <c r="G91" s="2870"/>
      <c r="H91" s="2285" t="s">
        <v>1922</v>
      </c>
      <c r="I91" s="2286"/>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25.5" customHeight="1">
      <c r="A92" s="136" t="s">
        <v>79</v>
      </c>
      <c r="B92" s="115" t="s">
        <v>1923</v>
      </c>
      <c r="C92" s="144">
        <f>ROUND((C87+C90+C91)*D92,0)</f>
        <v>0</v>
      </c>
      <c r="D92" s="145">
        <v>0.1</v>
      </c>
      <c r="E92" s="2869" t="s">
        <v>1924</v>
      </c>
      <c r="F92" s="2870"/>
      <c r="G92" s="2870"/>
      <c r="H92" s="2871"/>
      <c r="I92" s="9"/>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80</v>
      </c>
      <c r="B93" s="115" t="s">
        <v>1908</v>
      </c>
      <c r="C93" s="144">
        <f ca="1">ROUND(D45*D93/(1+'数据-取费表'!F30),0)</f>
        <v>8591</v>
      </c>
      <c r="D93" s="145">
        <f>'数据-取费表'!E31</f>
        <v>6.000000000000001E-3</v>
      </c>
      <c r="E93" s="2869" t="s">
        <v>1909</v>
      </c>
      <c r="F93" s="2870"/>
      <c r="G93" s="2870"/>
      <c r="H93" s="2871"/>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81</v>
      </c>
      <c r="B94" s="115" t="s">
        <v>1925</v>
      </c>
      <c r="C94" s="144">
        <f>ROUND((C87+C90+C91)*D94,0)</f>
        <v>0</v>
      </c>
      <c r="D94" s="145">
        <v>0.2</v>
      </c>
      <c r="E94" s="2869" t="s">
        <v>1926</v>
      </c>
      <c r="F94" s="2870"/>
      <c r="G94" s="2870"/>
      <c r="H94" s="2871"/>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14.25">
      <c r="A95" s="146" t="s">
        <v>42</v>
      </c>
      <c r="B95" s="121" t="s">
        <v>1910</v>
      </c>
      <c r="C95" s="124">
        <f ca="1">ROUND(C85-C86,0)</f>
        <v>1423320</v>
      </c>
      <c r="D95" s="117" t="s">
        <v>41</v>
      </c>
      <c r="E95" s="1885"/>
      <c r="F95" s="1886"/>
      <c r="G95" s="1886"/>
      <c r="H95" s="155"/>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24">
      <c r="A96" s="146" t="s">
        <v>43</v>
      </c>
      <c r="B96" s="121" t="s">
        <v>1911</v>
      </c>
      <c r="C96" s="147">
        <f ca="1">IF(C95&lt;=0,0,C95/C86)</f>
        <v>165.67570713537424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24.75" thickBot="1">
      <c r="A97" s="148" t="s">
        <v>44</v>
      </c>
      <c r="B97" s="126" t="s">
        <v>1912</v>
      </c>
      <c r="C97" s="149">
        <f ca="1">ROUND(IF(C95&lt;=0,0,IF(C96&gt;=200%,C95*60%-C86*35%,IF(C96&gt;=100%,C95*50%-C86*15%,IF(C96&gt;=50%,C95*40%-C86*5%,IF(C96&lt;50%,C95*30%,0))))),0)</f>
        <v>850985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ht="21.75" customHeight="1" thickBot="1">
      <c r="A98" s="2248" t="s">
        <v>1927</v>
      </c>
      <c r="B98" s="2192"/>
      <c r="C98" s="2192"/>
      <c r="D98" s="2192"/>
      <c r="E98" s="1021"/>
      <c r="F98" s="1021"/>
      <c r="G98" s="1021"/>
      <c r="H98" s="2245"/>
      <c r="I98" s="2192"/>
    </row>
    <row r="99" spans="1:35" ht="15.75">
      <c r="A99" s="2924" t="s">
        <v>1928</v>
      </c>
      <c r="B99" s="2925"/>
      <c r="C99" s="2925"/>
      <c r="D99" s="2926"/>
      <c r="E99" s="2192"/>
      <c r="F99" s="2935" t="s">
        <v>1929</v>
      </c>
      <c r="G99" s="2936"/>
      <c r="H99" s="2936"/>
      <c r="I99" s="2937"/>
    </row>
    <row r="100" spans="1:35" ht="15.75">
      <c r="A100" s="2938" t="s">
        <v>1930</v>
      </c>
      <c r="B100" s="2939"/>
      <c r="C100" s="720" t="str">
        <f>C4</f>
        <v>收益法</v>
      </c>
      <c r="D100" s="721" t="str">
        <f>D4</f>
        <v>成本法</v>
      </c>
      <c r="E100" s="2192"/>
      <c r="F100" s="2834" t="s">
        <v>1931</v>
      </c>
      <c r="G100" s="2835"/>
      <c r="H100" s="2834" t="s">
        <v>1932</v>
      </c>
      <c r="I100" s="2833"/>
    </row>
    <row r="101" spans="1:35" ht="15.75">
      <c r="A101" s="2916" t="s">
        <v>1933</v>
      </c>
      <c r="B101" s="2287" t="str">
        <f>IF(H19="元","总价（元）","总价（万元）")</f>
        <v>总价（元）</v>
      </c>
      <c r="C101" s="720">
        <f ca="1">C19</f>
        <v>1580155</v>
      </c>
      <c r="D101" s="721">
        <f ca="1">D19</f>
        <v>1196915</v>
      </c>
      <c r="E101" s="2192"/>
      <c r="F101" s="2834" t="str">
        <f>项目基本情况!I1</f>
        <v>北京市房地产</v>
      </c>
      <c r="G101" s="2835"/>
      <c r="H101" s="2832">
        <f>项目基本情况!C12</f>
        <v>11.66</v>
      </c>
      <c r="I101" s="2833"/>
    </row>
    <row r="102" spans="1:35" ht="15.75">
      <c r="A102" s="2916"/>
      <c r="B102" s="2287" t="s">
        <v>1934</v>
      </c>
      <c r="C102" s="722">
        <f ca="1">C20</f>
        <v>135519</v>
      </c>
      <c r="D102" s="723">
        <f ca="1">D20</f>
        <v>102651</v>
      </c>
      <c r="E102" s="2192"/>
      <c r="F102" s="2861" t="s">
        <v>1935</v>
      </c>
      <c r="G102" s="2862"/>
      <c r="H102" s="2288" t="str">
        <f>C106</f>
        <v>总价（元）</v>
      </c>
      <c r="I102" s="1860">
        <f ca="1">H121</f>
        <v>1503507</v>
      </c>
    </row>
    <row r="103" spans="1:35" ht="15">
      <c r="A103" s="2916" t="s">
        <v>1936</v>
      </c>
      <c r="B103" s="2289" t="str">
        <f>B101</f>
        <v>总价（元）</v>
      </c>
      <c r="C103" s="724">
        <f ca="1">H121</f>
        <v>1503507</v>
      </c>
      <c r="D103" s="725"/>
      <c r="E103" s="2192"/>
      <c r="F103" s="2861"/>
      <c r="G103" s="2862"/>
      <c r="H103" s="2288" t="s">
        <v>1934</v>
      </c>
      <c r="I103" s="1049">
        <f ca="1">I121</f>
        <v>128946</v>
      </c>
    </row>
    <row r="104" spans="1:35" ht="16.5" thickBot="1">
      <c r="A104" s="2917"/>
      <c r="B104" s="2290" t="s">
        <v>1934</v>
      </c>
      <c r="C104" s="726">
        <f ca="1">I121</f>
        <v>128946</v>
      </c>
      <c r="D104" s="727"/>
      <c r="E104" s="2192"/>
      <c r="F104" s="2933"/>
      <c r="G104" s="2934"/>
      <c r="H104" s="2918"/>
      <c r="I104" s="2919"/>
    </row>
    <row r="105" spans="1:35" ht="15.75">
      <c r="A105" s="2924" t="s">
        <v>1937</v>
      </c>
      <c r="B105" s="2925"/>
      <c r="C105" s="2925"/>
      <c r="D105" s="2926"/>
      <c r="E105" s="2192"/>
      <c r="F105" s="2922" t="s">
        <v>1938</v>
      </c>
      <c r="G105" s="2923"/>
      <c r="H105" s="2291" t="str">
        <f>C108</f>
        <v>总额（元）</v>
      </c>
      <c r="I105" s="1860">
        <f>SUMIF(I106:I108,"&lt;9E307")</f>
        <v>0</v>
      </c>
    </row>
    <row r="106" spans="1:35" ht="15">
      <c r="A106" s="2848" t="s">
        <v>1939</v>
      </c>
      <c r="B106" s="2849"/>
      <c r="C106" s="2288" t="str">
        <f>B101</f>
        <v>总价（元）</v>
      </c>
      <c r="D106" s="1050">
        <f ca="1">H121</f>
        <v>1503507</v>
      </c>
      <c r="E106" s="2192"/>
      <c r="F106" s="2850" t="s">
        <v>1940</v>
      </c>
      <c r="G106" s="2851"/>
      <c r="H106" s="2291" t="str">
        <f>C109</f>
        <v>总额（元）</v>
      </c>
      <c r="I106" s="1049">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848"/>
      <c r="B107" s="2849"/>
      <c r="C107" s="2288" t="s">
        <v>1934</v>
      </c>
      <c r="D107" s="1051">
        <f ca="1">I121</f>
        <v>128946</v>
      </c>
      <c r="E107" s="2192"/>
      <c r="F107" s="2850" t="s">
        <v>1941</v>
      </c>
      <c r="G107" s="2851"/>
      <c r="H107" s="2291" t="str">
        <f>C110</f>
        <v>总额（元）</v>
      </c>
      <c r="I107" s="1049">
        <f>C37</f>
        <v>0</v>
      </c>
      <c r="K107" s="2292"/>
    </row>
    <row r="108" spans="1:35" ht="15">
      <c r="A108" s="2855" t="s">
        <v>1942</v>
      </c>
      <c r="B108" s="2856"/>
      <c r="C108" s="2291" t="str">
        <f>IF(H19="元","总额（元）","总额（万元）")</f>
        <v>总额（元）</v>
      </c>
      <c r="D108" s="1050">
        <f>IF(D36="正常操作",I106+I107+I108,I107+I108)</f>
        <v>0</v>
      </c>
      <c r="E108" s="2192"/>
      <c r="F108" s="2850" t="s">
        <v>1943</v>
      </c>
      <c r="G108" s="2851"/>
      <c r="H108" s="2291" t="str">
        <f>C111</f>
        <v>总额（元）</v>
      </c>
      <c r="I108" s="1049">
        <f>C38</f>
        <v>0</v>
      </c>
    </row>
    <row r="109" spans="1:35" ht="15.75">
      <c r="A109" s="2850" t="s">
        <v>1940</v>
      </c>
      <c r="B109" s="2851"/>
      <c r="C109" s="2291" t="str">
        <f>C108</f>
        <v>总额（元）</v>
      </c>
      <c r="D109" s="637">
        <f>IF(D36="同一抵押权人同一抵押物续贷",C36&amp;"（未扣减，详见特别提示）",C36)</f>
        <v>0</v>
      </c>
      <c r="E109" s="2192"/>
      <c r="F109" s="2933"/>
      <c r="G109" s="2934"/>
      <c r="H109" s="2920"/>
      <c r="I109" s="2921"/>
    </row>
    <row r="110" spans="1:35" ht="28.5" customHeight="1">
      <c r="A110" s="2850" t="s">
        <v>1941</v>
      </c>
      <c r="B110" s="2851"/>
      <c r="C110" s="2291" t="str">
        <f>C108</f>
        <v>总额（元）</v>
      </c>
      <c r="D110" s="637">
        <f>C37</f>
        <v>0</v>
      </c>
      <c r="E110" s="2192"/>
      <c r="F110" s="2836" t="str">
        <f>IF(项目基本情况!F5="已注销","——","3.房地产抵押价值")</f>
        <v>3.房地产抵押价值</v>
      </c>
      <c r="G110" s="2837"/>
      <c r="H110" s="2293" t="str">
        <f>C112</f>
        <v>总价（元）</v>
      </c>
      <c r="I110" s="1861">
        <f ca="1">IF(F110="——","——",I102-I105)</f>
        <v>1503507</v>
      </c>
    </row>
    <row r="111" spans="1:35" ht="15">
      <c r="A111" s="2850" t="s">
        <v>1943</v>
      </c>
      <c r="B111" s="2851"/>
      <c r="C111" s="2291" t="str">
        <f>C108</f>
        <v>总额（元）</v>
      </c>
      <c r="D111" s="637">
        <f>C38</f>
        <v>0</v>
      </c>
      <c r="E111" s="2192"/>
      <c r="F111" s="2952"/>
      <c r="G111" s="2953"/>
      <c r="H111" s="2288" t="s">
        <v>1934</v>
      </c>
      <c r="I111" s="2294">
        <f ca="1">D113</f>
        <v>128946</v>
      </c>
    </row>
    <row r="112" spans="1:35" ht="26.25" customHeight="1">
      <c r="A112" s="2848" t="str">
        <f>IF(项目基本情况!F5="已注销","——","3.房地产抵押价值")</f>
        <v>3.房地产抵押价值</v>
      </c>
      <c r="B112" s="2849"/>
      <c r="C112" s="2288" t="str">
        <f>B101</f>
        <v>总价（元）</v>
      </c>
      <c r="D112" s="1050">
        <f ca="1">IF(A112="——","——",D106-D108)</f>
        <v>1503507</v>
      </c>
      <c r="E112" s="2192"/>
      <c r="F112" s="2836" t="str">
        <f>IF(项目基本情况!F5="已注销及未注销","4.抵押担保权已注销时的房地产抵押价值",IF(项目基本情况!F5="已注销","3.抵押担保权已注销时的房地产抵押价值","——"))</f>
        <v>——</v>
      </c>
      <c r="G112" s="2837"/>
      <c r="H112" s="2293" t="str">
        <f>C114</f>
        <v>总价（元）</v>
      </c>
      <c r="I112" s="1861" t="str">
        <f>IF(F112="——","——",I102-I107-I108)</f>
        <v>——</v>
      </c>
    </row>
    <row r="113" spans="1:15" ht="15">
      <c r="A113" s="2848"/>
      <c r="B113" s="2849"/>
      <c r="C113" s="2288" t="s">
        <v>1934</v>
      </c>
      <c r="D113" s="1051">
        <f ca="1">ROUND(IF(D112=D106,D107,IF(H19="元",D112/项目基本情况!C12,D112*10000/项目基本情况!C12)),0)</f>
        <v>128946</v>
      </c>
      <c r="E113" s="2192"/>
      <c r="F113" s="2952"/>
      <c r="G113" s="2953"/>
      <c r="H113" s="2288" t="s">
        <v>1934</v>
      </c>
      <c r="I113" s="2295" t="str">
        <f>D115</f>
        <v>——</v>
      </c>
    </row>
    <row r="114" spans="1:15" ht="15.75">
      <c r="A114" s="2848" t="str">
        <f>IF(项目基本情况!F5="已注销及未注销","4.抵押担保权已注销时的房地产抵押价值",IF(项目基本情况!F5="已注销","3.抵押担保权已注销时的房地产抵押价值","——"))</f>
        <v>——</v>
      </c>
      <c r="B114" s="2849"/>
      <c r="C114" s="2288" t="str">
        <f>B101</f>
        <v>总价（元）</v>
      </c>
      <c r="D114" s="1050" t="str">
        <f>IF(A114="——","——",D106-D110-D111)</f>
        <v>——</v>
      </c>
      <c r="E114" s="2192"/>
      <c r="F114" s="2836" t="str">
        <f>IF(项目基本情况!G5="抵押净值",IF(OR(项目基本情况!F5="已注销",项目基本情况!F5="房地产抵押价值"),"4.抵押净值","5.抵押净值"),"——")</f>
        <v>——</v>
      </c>
      <c r="G114" s="2837"/>
      <c r="H114" s="2288" t="str">
        <f>C116</f>
        <v>总价（元）</v>
      </c>
      <c r="I114" s="1860" t="str">
        <f>IF(F114="——","——",N59)</f>
        <v>——</v>
      </c>
    </row>
    <row r="115" spans="1:15" ht="15.75" thickBot="1">
      <c r="A115" s="2848"/>
      <c r="B115" s="2849"/>
      <c r="C115" s="2288" t="s">
        <v>1934</v>
      </c>
      <c r="D115" s="1051" t="str">
        <f>IF(A114="——","——",ROUND(IF(D114=D106,D107,IF(H19="元",D114/项目基本情况!C12,D114*10000/项目基本情况!C12)),0))</f>
        <v>——</v>
      </c>
      <c r="E115" s="2192"/>
      <c r="F115" s="2838"/>
      <c r="G115" s="2839"/>
      <c r="H115" s="2296" t="s">
        <v>1934</v>
      </c>
      <c r="I115" s="1862" t="str">
        <f ca="1">D117</f>
        <v>——</v>
      </c>
    </row>
    <row r="116" spans="1:15" ht="15.75">
      <c r="A116" s="2848" t="str">
        <f>IF(项目基本情况!G5="抵押净值",IF(OR(项目基本情况!F5="已注销",项目基本情况!F5="房地产抵押价值"),"4.抵押净值","5.抵押净值"),"——")</f>
        <v>——</v>
      </c>
      <c r="B116" s="2849"/>
      <c r="C116" s="2288" t="str">
        <f>B101</f>
        <v>总价（元）</v>
      </c>
      <c r="D116" s="1050" t="str">
        <f>IF(A116="——","——",N59)</f>
        <v>——</v>
      </c>
      <c r="E116" s="2192"/>
      <c r="F116" s="2948"/>
      <c r="G116" s="2948"/>
      <c r="H116" s="2904"/>
      <c r="I116" s="2904"/>
      <c r="N116" s="55"/>
      <c r="O116" s="55"/>
    </row>
    <row r="117" spans="1:15" ht="15.75" thickBot="1">
      <c r="A117" s="2853"/>
      <c r="B117" s="2854"/>
      <c r="C117" s="2296" t="s">
        <v>1934</v>
      </c>
      <c r="D117" s="1052" t="str">
        <f ca="1">IF(D116=D112,D113,IF(A116="——","——",N61))</f>
        <v>——</v>
      </c>
      <c r="E117" s="2192"/>
      <c r="F117" s="2828" t="str">
        <f>IF(B32="总价","（以上估价结果中单价为总价除以建筑面积得出）","（以上估价结果中总价为楼面单价乘以建筑面积得出）")</f>
        <v>（以上估价结果中单价为总价除以建筑面积得出）</v>
      </c>
      <c r="G117" s="2828"/>
      <c r="H117" s="2828"/>
      <c r="I117" s="2828"/>
      <c r="N117" s="55"/>
      <c r="O117" s="55"/>
    </row>
    <row r="118" spans="1:15" ht="15">
      <c r="A118" s="2905" t="s">
        <v>1944</v>
      </c>
      <c r="B118" s="2906"/>
      <c r="C118" s="2906"/>
      <c r="D118" s="2906"/>
      <c r="E118" s="2906"/>
      <c r="F118" s="2906"/>
      <c r="G118" s="2906"/>
      <c r="H118" s="2906"/>
      <c r="I118" s="2906"/>
    </row>
    <row r="119" spans="1:15" ht="14.25">
      <c r="A119" s="2829" t="s">
        <v>1945</v>
      </c>
      <c r="B119" s="2859" t="s">
        <v>1946</v>
      </c>
      <c r="C119" s="2859" t="s">
        <v>1947</v>
      </c>
      <c r="D119" s="2931" t="s">
        <v>1948</v>
      </c>
      <c r="E119" s="2932"/>
      <c r="F119" s="2830" t="s">
        <v>1806</v>
      </c>
      <c r="G119" s="2830"/>
      <c r="H119" s="2830" t="s">
        <v>1949</v>
      </c>
      <c r="I119" s="2930"/>
    </row>
    <row r="120" spans="1:15" ht="14.25">
      <c r="A120" s="2829"/>
      <c r="B120" s="2860"/>
      <c r="C120" s="2860"/>
      <c r="D120" s="1884" t="s">
        <v>1950</v>
      </c>
      <c r="E120" s="1884" t="s">
        <v>1951</v>
      </c>
      <c r="F120" s="1884" t="s">
        <v>1950</v>
      </c>
      <c r="G120" s="1884" t="s">
        <v>1952</v>
      </c>
      <c r="H120" s="1884" t="s">
        <v>1950</v>
      </c>
      <c r="I120" s="637" t="s">
        <v>1952</v>
      </c>
    </row>
    <row r="121" spans="1:15" ht="14.25">
      <c r="A121" s="2178" t="str">
        <f>项目基本情况!I1</f>
        <v>北京市房地产</v>
      </c>
      <c r="B121" s="1884">
        <f>项目基本情况!C12</f>
        <v>11.66</v>
      </c>
      <c r="C121" s="1884">
        <f>项目基本情况!C13</f>
        <v>0</v>
      </c>
      <c r="D121" s="1884">
        <f ca="1">ROUND(IF(B32="总价",C34,IF('数据-取费表'!B3="万元",E121*B121/10000,E121*B121)),0)</f>
        <v>1488472</v>
      </c>
      <c r="E121" s="1884">
        <f ca="1">ROUND(IF(B32="楼面单价",C34,IF(H19="元",D121/B121,D121*10000/B121)),0)</f>
        <v>127656</v>
      </c>
      <c r="F121" s="1884">
        <f ca="1">ROUND(IF(B32="总价",C35,IF('数据-取费表'!B3="万元",G121*B121/10000,G121*B121)),0)</f>
        <v>15035</v>
      </c>
      <c r="G121" s="1884">
        <f ca="1">ROUND(IF(B32="楼面单价",C35,IF(H19="元",F121/B121,F121*10000/B121)),0)</f>
        <v>1289</v>
      </c>
      <c r="H121" s="1884">
        <f ca="1">ROUND(IF(B32="总价",C32,IF('数据-取费表'!B3="万元",I121*B121/10000,I121*B121)),0)</f>
        <v>1503507</v>
      </c>
      <c r="I121" s="637">
        <f ca="1">ROUND(IF(B32="楼面单价",C32,IF(H19="元",H121/B121,H121*10000/B121)),0)</f>
        <v>128946</v>
      </c>
    </row>
    <row r="122" spans="1:15" ht="14.25">
      <c r="A122" s="2829" t="s">
        <v>1953</v>
      </c>
      <c r="B122" s="2830"/>
      <c r="C122" s="2830"/>
      <c r="D122" s="2863" t="str">
        <f ca="1">IF(H19="元",NUMBERSTRING(INT(D121),2)&amp;"元整",NUMBERSTRING(INT(D121*10000),2)&amp;"元整")</f>
        <v>壹佰肆拾捌万捌仟肆佰柒拾贰元整</v>
      </c>
      <c r="E122" s="2910"/>
      <c r="F122" s="2863" t="str">
        <f ca="1">IF(H19="元",NUMBERSTRING(INT(F121),2)&amp;"元整",NUMBERSTRING(INT(F121*10000),2)&amp;"元整")</f>
        <v>壹万伍仟零叁拾伍元整</v>
      </c>
      <c r="G122" s="2910"/>
      <c r="H122" s="2863" t="str">
        <f ca="1">IF(H19="元",NUMBERSTRING(INT(H121),2)&amp;"元整",NUMBERSTRING(INT(H121*10000),2)&amp;"元整")</f>
        <v>壹佰伍拾万叁仟伍佰零柒元整</v>
      </c>
      <c r="I122" s="2864"/>
    </row>
    <row r="123" spans="1:15" ht="15">
      <c r="A123" s="2911" t="str">
        <f>IF(项目基本情况!D5="房地产市场价值","——",MID(A108,3,LEN(A108)-2))</f>
        <v>估价师所知悉的法定优先受偿款</v>
      </c>
      <c r="B123" s="2841"/>
      <c r="C123" s="2912"/>
      <c r="D123" s="2840">
        <f>I105</f>
        <v>0</v>
      </c>
      <c r="E123" s="2841"/>
      <c r="F123" s="2841"/>
      <c r="G123" s="2841"/>
      <c r="H123" s="2841"/>
      <c r="I123" s="2842"/>
    </row>
    <row r="124" spans="1:15" ht="14.25">
      <c r="A124" s="2913" t="s">
        <v>1953</v>
      </c>
      <c r="B124" s="2914"/>
      <c r="C124" s="2915"/>
      <c r="D124" s="2843">
        <f>H109</f>
        <v>0</v>
      </c>
      <c r="E124" s="2844"/>
      <c r="F124" s="2844"/>
      <c r="G124" s="2844"/>
      <c r="H124" s="2844"/>
      <c r="I124" s="2845"/>
    </row>
    <row r="125" spans="1:15" ht="15">
      <c r="A125" s="2846" t="str">
        <f>IF(项目基本情况!D5="房地产市场价值","——",MID(A112,3,LEN(A112)-2))</f>
        <v>房地产抵押价值</v>
      </c>
      <c r="B125" s="2847"/>
      <c r="C125" s="2847"/>
      <c r="D125" s="2840">
        <f ca="1">I110</f>
        <v>1503507</v>
      </c>
      <c r="E125" s="2841"/>
      <c r="F125" s="2841"/>
      <c r="G125" s="2841"/>
      <c r="H125" s="2841"/>
      <c r="I125" s="2842"/>
    </row>
    <row r="126" spans="1:15" ht="14.25">
      <c r="A126" s="2829" t="s">
        <v>1953</v>
      </c>
      <c r="B126" s="2830"/>
      <c r="C126" s="2830"/>
      <c r="D126" s="2843">
        <f ca="1">I111</f>
        <v>128946</v>
      </c>
      <c r="E126" s="2844"/>
      <c r="F126" s="2844"/>
      <c r="G126" s="2844"/>
      <c r="H126" s="2844"/>
      <c r="I126" s="2845"/>
    </row>
    <row r="127" spans="1:15" ht="15.75" thickBot="1">
      <c r="A127" s="2846" t="str">
        <f>IF(项目基本情况!D5="房地产市场价值","——",MID(A114,3,LEN(A114)-2))</f>
        <v/>
      </c>
      <c r="B127" s="2847"/>
      <c r="C127" s="2847"/>
      <c r="D127" s="2945" t="str">
        <f>I112</f>
        <v>——</v>
      </c>
      <c r="E127" s="2946"/>
      <c r="F127" s="2946"/>
      <c r="G127" s="2946"/>
      <c r="H127" s="2946"/>
      <c r="I127" s="2947"/>
    </row>
    <row r="128" spans="1:15" ht="15.75" thickTop="1" thickBot="1">
      <c r="A128" s="2829" t="s">
        <v>1953</v>
      </c>
      <c r="B128" s="2830"/>
      <c r="C128" s="2831"/>
      <c r="D128" s="2903" t="str">
        <f>I113</f>
        <v>——</v>
      </c>
      <c r="E128" s="2903"/>
      <c r="F128" s="2903"/>
      <c r="G128" s="2903"/>
      <c r="H128" s="2903"/>
      <c r="I128" s="2903"/>
    </row>
    <row r="129" spans="1:9" ht="16.5" thickTop="1" thickBot="1">
      <c r="A129" s="2846" t="str">
        <f>IF(项目基本情况!D5="房地产市场价值","——",MID(F114,3,LEN(F114)-2))</f>
        <v/>
      </c>
      <c r="B129" s="2847"/>
      <c r="C129" s="2840"/>
      <c r="D129" s="2852" t="str">
        <f>I114</f>
        <v>——</v>
      </c>
      <c r="E129" s="2852"/>
      <c r="F129" s="2852"/>
      <c r="G129" s="2852"/>
      <c r="H129" s="2852"/>
      <c r="I129" s="2852"/>
    </row>
    <row r="130" spans="1:9" ht="15.75" thickTop="1" thickBot="1">
      <c r="A130" s="2857" t="s">
        <v>1953</v>
      </c>
      <c r="B130" s="2858"/>
      <c r="C130" s="2858"/>
      <c r="D130" s="2865">
        <f>H116</f>
        <v>0</v>
      </c>
      <c r="E130" s="2866"/>
      <c r="F130" s="2866"/>
      <c r="G130" s="2866"/>
      <c r="H130" s="2866"/>
      <c r="I130" s="2867"/>
    </row>
    <row r="131" spans="1:9" ht="12.75">
      <c r="A131" s="2275" t="str">
        <f>IF(H19="元","单位：平方米、元、元/平方米（币种：人民币）","单位：平方米、万元、元/平方米（币种：人民币）")</f>
        <v>单位：平方米、元、元/平方米（币种：人民币）</v>
      </c>
      <c r="B131" s="2275"/>
      <c r="C131" s="2275"/>
      <c r="D131" s="2275"/>
      <c r="E131" s="2275"/>
      <c r="F131" s="2275"/>
      <c r="G131" s="2275"/>
      <c r="H131" s="2275"/>
      <c r="I131" s="2275"/>
    </row>
    <row r="132" spans="1:9" ht="13.5" thickBot="1">
      <c r="A132" s="2827" t="str">
        <f>IF(B32="总价","（以上估价结果中楼面单价为总价除以建筑面积得出）","（以上估价结果中总价为楼面单价乘以建筑面积得出）")</f>
        <v>（以上估价结果中楼面单价为总价除以建筑面积得出）</v>
      </c>
      <c r="B132" s="2827"/>
      <c r="C132" s="2827"/>
      <c r="D132" s="2827"/>
      <c r="E132" s="2827"/>
      <c r="F132" s="2827"/>
      <c r="G132" s="2827"/>
      <c r="H132" s="2827"/>
      <c r="I132" s="2827"/>
    </row>
    <row r="133" spans="1:9" ht="21.75" customHeight="1">
      <c r="A133" s="2297" t="s">
        <v>1954</v>
      </c>
      <c r="B133" s="2298"/>
      <c r="C133" s="2299" t="s">
        <v>1955</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1956</v>
      </c>
      <c r="G139" s="2311"/>
      <c r="H139" s="2311"/>
      <c r="I139" s="2312" t="s">
        <v>1957</v>
      </c>
    </row>
    <row r="140" spans="1:9" ht="21.75" customHeight="1">
      <c r="A140" s="798"/>
      <c r="B140" s="2313"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1959</v>
      </c>
    </row>
    <row r="143" spans="1:9" ht="21.75" customHeight="1">
      <c r="A143" s="798"/>
      <c r="B143" s="2313" t="s">
        <v>1960</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1959</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1961</v>
      </c>
      <c r="B1" s="2192"/>
      <c r="C1" s="2192"/>
      <c r="D1" s="2192"/>
      <c r="E1" s="2192"/>
      <c r="F1" s="2192"/>
      <c r="G1" s="2192"/>
      <c r="H1" s="2192"/>
      <c r="I1" s="2192"/>
    </row>
    <row r="2" spans="1:12" ht="21.75" customHeight="1">
      <c r="A2" s="2964" t="s">
        <v>1962</v>
      </c>
      <c r="B2" s="2964"/>
      <c r="C2" s="2964"/>
      <c r="D2" s="2964"/>
      <c r="E2" s="2964"/>
      <c r="F2" s="2964"/>
      <c r="G2" s="2964"/>
      <c r="H2" s="2964"/>
      <c r="I2" s="2964"/>
    </row>
    <row r="3" spans="1:12" ht="12.75">
      <c r="A3" s="2894" t="s">
        <v>1766</v>
      </c>
      <c r="B3" s="2895"/>
      <c r="C3" s="2895"/>
      <c r="D3" s="2895"/>
      <c r="E3" s="2895"/>
      <c r="F3" s="2895"/>
      <c r="G3" s="2895"/>
      <c r="H3" s="2895"/>
      <c r="I3" s="2895"/>
    </row>
    <row r="4" spans="1:12" ht="14.25">
      <c r="A4" s="2194" t="s">
        <v>1767</v>
      </c>
      <c r="B4" s="2195" t="s">
        <v>1768</v>
      </c>
      <c r="C4" s="2196"/>
      <c r="D4" s="2196"/>
      <c r="E4" s="2875" t="s">
        <v>1963</v>
      </c>
      <c r="F4" s="2876"/>
      <c r="G4" s="2876"/>
      <c r="H4" s="2876"/>
      <c r="I4" s="2886"/>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8" t="s">
        <v>1770</v>
      </c>
      <c r="B5" s="2830">
        <v>25</v>
      </c>
      <c r="C5" s="2879"/>
      <c r="D5" s="2893"/>
      <c r="E5" s="56" t="s">
        <v>1771</v>
      </c>
      <c r="F5" s="2197"/>
      <c r="G5" s="2197"/>
      <c r="H5" s="2197"/>
      <c r="I5" s="2198"/>
    </row>
    <row r="6" spans="1:12" ht="12.75">
      <c r="A6" s="2868"/>
      <c r="B6" s="2830"/>
      <c r="C6" s="2896"/>
      <c r="D6" s="2893"/>
      <c r="E6" s="56" t="s">
        <v>1772</v>
      </c>
      <c r="F6" s="2197"/>
      <c r="G6" s="2197"/>
      <c r="H6" s="2197"/>
      <c r="I6" s="2198"/>
    </row>
    <row r="7" spans="1:12" ht="12.75">
      <c r="A7" s="2868"/>
      <c r="B7" s="2830"/>
      <c r="C7" s="2880"/>
      <c r="D7" s="2893"/>
      <c r="E7" s="56" t="s">
        <v>1773</v>
      </c>
      <c r="F7" s="2197"/>
      <c r="G7" s="2197"/>
      <c r="H7" s="2197"/>
      <c r="I7" s="2198"/>
    </row>
    <row r="8" spans="1:12" ht="12.75">
      <c r="A8" s="2868" t="s">
        <v>1774</v>
      </c>
      <c r="B8" s="2830">
        <v>15</v>
      </c>
      <c r="C8" s="2879"/>
      <c r="D8" s="2893"/>
      <c r="E8" s="56" t="s">
        <v>1775</v>
      </c>
      <c r="F8" s="2197"/>
      <c r="G8" s="2197"/>
      <c r="H8" s="2197"/>
      <c r="I8" s="2198"/>
    </row>
    <row r="9" spans="1:12" ht="12.75">
      <c r="A9" s="2868"/>
      <c r="B9" s="2830"/>
      <c r="C9" s="2880"/>
      <c r="D9" s="2893"/>
      <c r="E9" s="56" t="s">
        <v>1776</v>
      </c>
      <c r="F9" s="2197"/>
      <c r="G9" s="2197"/>
      <c r="H9" s="2197"/>
      <c r="I9" s="2198"/>
    </row>
    <row r="10" spans="1:12" ht="12.75">
      <c r="A10" s="2868" t="s">
        <v>1777</v>
      </c>
      <c r="B10" s="2830">
        <v>15</v>
      </c>
      <c r="C10" s="2879"/>
      <c r="D10" s="2893"/>
      <c r="E10" s="56" t="s">
        <v>1778</v>
      </c>
      <c r="F10" s="2197"/>
      <c r="G10" s="2197"/>
      <c r="H10" s="2197"/>
      <c r="I10" s="2198"/>
    </row>
    <row r="11" spans="1:12" ht="12.75">
      <c r="A11" s="2868"/>
      <c r="B11" s="2830"/>
      <c r="C11" s="2880"/>
      <c r="D11" s="2893"/>
      <c r="E11" s="56" t="s">
        <v>1779</v>
      </c>
      <c r="F11" s="2197"/>
      <c r="G11" s="2197"/>
      <c r="H11" s="2197"/>
      <c r="I11" s="2198"/>
    </row>
    <row r="12" spans="1:12" ht="12.75">
      <c r="A12" s="2868" t="s">
        <v>1780</v>
      </c>
      <c r="B12" s="2830">
        <v>15</v>
      </c>
      <c r="C12" s="2879"/>
      <c r="D12" s="2893"/>
      <c r="E12" s="56" t="s">
        <v>1781</v>
      </c>
      <c r="F12" s="2197"/>
      <c r="G12" s="2197"/>
      <c r="H12" s="2197"/>
      <c r="I12" s="2198"/>
    </row>
    <row r="13" spans="1:12" ht="12.75">
      <c r="A13" s="2868"/>
      <c r="B13" s="2830"/>
      <c r="C13" s="2880"/>
      <c r="D13" s="2893"/>
      <c r="E13" s="56" t="s">
        <v>1782</v>
      </c>
      <c r="F13" s="2197"/>
      <c r="G13" s="2197"/>
      <c r="H13" s="2197"/>
      <c r="I13" s="2198"/>
    </row>
    <row r="14" spans="1:12" ht="12.75">
      <c r="A14" s="2868" t="s">
        <v>1783</v>
      </c>
      <c r="B14" s="2830">
        <v>30</v>
      </c>
      <c r="C14" s="2879"/>
      <c r="D14" s="2893"/>
      <c r="E14" s="56" t="s">
        <v>1784</v>
      </c>
      <c r="F14" s="2197"/>
      <c r="G14" s="2197"/>
      <c r="H14" s="2197"/>
      <c r="I14" s="2198"/>
    </row>
    <row r="15" spans="1:12" ht="12.75">
      <c r="A15" s="2868"/>
      <c r="B15" s="2830"/>
      <c r="C15" s="2896"/>
      <c r="D15" s="2893"/>
      <c r="E15" s="56" t="s">
        <v>1785</v>
      </c>
      <c r="F15" s="2197"/>
      <c r="G15" s="2197"/>
      <c r="H15" s="2197"/>
      <c r="I15" s="2198"/>
    </row>
    <row r="16" spans="1:12" ht="12.75">
      <c r="A16" s="2868"/>
      <c r="B16" s="2830"/>
      <c r="C16" s="2880"/>
      <c r="D16" s="2893"/>
      <c r="E16" s="56" t="s">
        <v>1786</v>
      </c>
      <c r="F16" s="2197"/>
      <c r="G16" s="2197"/>
      <c r="H16" s="2197"/>
      <c r="I16" s="2198"/>
    </row>
    <row r="17" spans="1:35" ht="15">
      <c r="A17" s="2199" t="s">
        <v>1787</v>
      </c>
      <c r="B17" s="2200"/>
      <c r="C17" s="57">
        <f>SUM(C5:C16)</f>
        <v>0</v>
      </c>
      <c r="D17" s="57">
        <f>SUM(D5:D16)</f>
        <v>0</v>
      </c>
      <c r="E17" s="2192"/>
      <c r="F17" s="2192"/>
      <c r="G17" s="2192"/>
      <c r="H17" s="2192"/>
      <c r="I17" s="2192"/>
    </row>
    <row r="18" spans="1:35" ht="15.75" thickBot="1">
      <c r="A18" s="2201" t="s">
        <v>1788</v>
      </c>
      <c r="B18" s="2202"/>
      <c r="C18" s="58" t="e">
        <f>ROUND(C17/SUM(C17:D17),2)</f>
        <v>#DIV/0!</v>
      </c>
      <c r="D18" s="58" t="e">
        <f>1-C18</f>
        <v>#DIV/0!</v>
      </c>
      <c r="E18" s="2192"/>
      <c r="F18" s="2192"/>
      <c r="G18" s="2192"/>
      <c r="H18" s="2192"/>
      <c r="I18" s="2192"/>
    </row>
    <row r="19" spans="1:35" ht="15">
      <c r="A19" s="2203" t="s">
        <v>1789</v>
      </c>
      <c r="B19" s="2204" t="s">
        <v>1790</v>
      </c>
      <c r="C19" s="59" t="e">
        <f ca="1">SUMIF(INDIRECT("'"&amp;C4&amp;"'"&amp;"!A:A"),'结果表 (1修多)'!B19,INDIRECT("'"&amp;C4&amp;"'"&amp;"!B:B"))</f>
        <v>#REF!</v>
      </c>
      <c r="D19" s="60" t="e">
        <f ca="1">SUMIF(INDIRECT("'"&amp;D4&amp;"'"&amp;"!A:A"),'结果表 (1修多)'!B19,INDIRECT("'"&amp;D4&amp;"'"&amp;"!B:B"))</f>
        <v>#REF!</v>
      </c>
      <c r="E19" s="2203" t="s">
        <v>1791</v>
      </c>
      <c r="F19" s="2204" t="s">
        <v>1790</v>
      </c>
      <c r="G19" s="61" t="e">
        <f ca="1">ROUND(C19*$C$18+D19*$D$18,0)</f>
        <v>#REF!</v>
      </c>
      <c r="H19" s="2205" t="str">
        <f>'数据-取费表'!B3</f>
        <v>元</v>
      </c>
      <c r="I19" s="2192"/>
    </row>
    <row r="20" spans="1:35" ht="15">
      <c r="A20" s="2206"/>
      <c r="B20" s="2207" t="s">
        <v>1792</v>
      </c>
      <c r="C20" s="62" t="e">
        <f ca="1">SUMIF(INDIRECT("'"&amp;C4&amp;"'"&amp;"!A:A"),'结果表 (1修多)'!B20,INDIRECT("'"&amp;C4&amp;"'"&amp;"!B:B"))</f>
        <v>#REF!</v>
      </c>
      <c r="D20" s="63" t="e">
        <f ca="1">SUMIF(INDIRECT("'"&amp;D4&amp;"'"&amp;"!A:A"),'结果表 (1修多)'!B20,INDIRECT("'"&amp;D4&amp;"'"&amp;"!B:B"))</f>
        <v>#REF!</v>
      </c>
      <c r="E20" s="2206"/>
      <c r="F20" s="2207" t="s">
        <v>1792</v>
      </c>
      <c r="G20" s="64" t="e">
        <f ca="1">ROUND(C20*$C$18+D20*$D$18,0)</f>
        <v>#REF!</v>
      </c>
      <c r="H20" s="2208" t="s">
        <v>1793</v>
      </c>
      <c r="I20" s="2192"/>
    </row>
    <row r="21" spans="1:35" ht="15" customHeight="1" thickBot="1">
      <c r="A21" s="2209"/>
      <c r="B21" s="2210"/>
      <c r="C21" s="770"/>
      <c r="D21" s="771"/>
      <c r="E21" s="2209"/>
      <c r="F21" s="2210"/>
      <c r="G21" s="65"/>
      <c r="H21" s="2211"/>
      <c r="I21" s="2192"/>
    </row>
    <row r="22" spans="1:35" ht="15" thickBot="1">
      <c r="A22" s="2212" t="s">
        <v>1794</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899" t="s">
        <v>1795</v>
      </c>
      <c r="B24" s="2204" t="s">
        <v>1790</v>
      </c>
      <c r="C24" s="61">
        <f>D30</f>
        <v>0</v>
      </c>
      <c r="D24" s="993"/>
      <c r="E24" s="2192"/>
      <c r="F24" s="2192"/>
      <c r="G24" s="2192"/>
      <c r="H24" s="2192"/>
      <c r="I24" s="2192"/>
    </row>
    <row r="25" spans="1:35" ht="21.75" customHeight="1">
      <c r="A25" s="2900"/>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t="s">
        <v>1964</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0" t="s">
        <v>1965</v>
      </c>
      <c r="B30" s="2711"/>
      <c r="C30" s="2711"/>
      <c r="D30" s="2711"/>
      <c r="E30" s="2709" t="s">
        <v>2797</v>
      </c>
      <c r="F30" s="2192"/>
      <c r="G30" s="2192"/>
      <c r="H30" s="2192"/>
      <c r="I30" s="2192"/>
    </row>
    <row r="31" spans="1:35" s="2219" customFormat="1" ht="15.75" thickBot="1">
      <c r="A31" s="2955" t="s">
        <v>1966</v>
      </c>
      <c r="B31" s="2955"/>
      <c r="C31" s="2955"/>
      <c r="D31" s="2955"/>
      <c r="E31" s="2955"/>
      <c r="F31" s="2955"/>
      <c r="G31" s="2955"/>
      <c r="H31" s="2955"/>
      <c r="I31" s="2955"/>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7"/>
      <c r="B32" s="2318" t="s">
        <v>1967</v>
      </c>
      <c r="C32" s="1307">
        <f>典型户型修正!R27</f>
        <v>0</v>
      </c>
      <c r="D32" s="2192" t="s">
        <v>1968</v>
      </c>
      <c r="E32" s="2192"/>
      <c r="F32" s="2192"/>
      <c r="G32" s="2192"/>
      <c r="H32" s="2192"/>
      <c r="I32" s="2192"/>
    </row>
    <row r="33" spans="1:16" ht="15">
      <c r="A33" s="2319" t="s">
        <v>1969</v>
      </c>
      <c r="B33" s="2320" t="s">
        <v>1970</v>
      </c>
      <c r="C33" s="1308">
        <f>典型户型修正!B2</f>
        <v>0</v>
      </c>
      <c r="D33" s="2321" t="str">
        <f>IF('数据-取费表'!B3="万元","万元","元")</f>
        <v>元</v>
      </c>
      <c r="E33" s="2192"/>
      <c r="F33" s="2192"/>
      <c r="G33" s="2192"/>
      <c r="H33" s="2192"/>
      <c r="I33" s="2192"/>
    </row>
    <row r="34" spans="1:16" ht="15.75" thickBot="1">
      <c r="A34" s="2322"/>
      <c r="B34" s="2323" t="s">
        <v>1971</v>
      </c>
      <c r="C34" s="771" t="e">
        <f>典型户型修正!B3</f>
        <v>#DIV/0!</v>
      </c>
      <c r="D34" s="2192" t="s">
        <v>1972</v>
      </c>
      <c r="E34" s="2192"/>
      <c r="F34" s="2192"/>
      <c r="G34" s="2192"/>
      <c r="H34" s="2192"/>
      <c r="I34" s="2192"/>
    </row>
    <row r="35" spans="1:16" ht="15">
      <c r="A35" s="2324"/>
      <c r="B35" s="2325" t="s">
        <v>1973</v>
      </c>
      <c r="C35" s="1315">
        <f>IF('数据-取费表'!B3="万元",典型户型修正!V25,典型户型修正!U25)</f>
        <v>0</v>
      </c>
      <c r="D35" s="2192" t="str">
        <f>D33</f>
        <v>元</v>
      </c>
      <c r="E35" s="2192"/>
      <c r="F35" s="2192"/>
      <c r="G35" s="2192"/>
      <c r="H35" s="2192"/>
      <c r="I35" s="2192"/>
    </row>
    <row r="36" spans="1:16" ht="15.75" thickBot="1">
      <c r="A36" s="2231"/>
      <c r="B36" s="2326" t="s">
        <v>1974</v>
      </c>
      <c r="C36" s="1316">
        <f>IF('数据-取费表'!B3="万元",典型户型修正!Y25,典型户型修正!X25)</f>
        <v>0</v>
      </c>
      <c r="D36" s="2192" t="str">
        <f>D33</f>
        <v>元</v>
      </c>
      <c r="E36" s="2192"/>
      <c r="F36" s="2192"/>
      <c r="G36" s="2192"/>
      <c r="H36" s="2192"/>
      <c r="I36" s="2192"/>
    </row>
    <row r="37" spans="1:16" ht="15.75" thickBot="1">
      <c r="A37" s="2881" t="s">
        <v>1975</v>
      </c>
      <c r="B37" s="2234" t="s">
        <v>1976</v>
      </c>
      <c r="C37" s="69"/>
      <c r="D37" s="2235"/>
      <c r="E37" s="2236"/>
      <c r="F37" s="2236"/>
      <c r="G37" s="2192"/>
      <c r="H37" s="2192"/>
      <c r="I37" s="2192"/>
    </row>
    <row r="38" spans="1:16" ht="15.75" thickBot="1">
      <c r="A38" s="2882"/>
      <c r="B38" s="2237" t="s">
        <v>1977</v>
      </c>
      <c r="C38" s="71"/>
      <c r="D38" s="2202"/>
      <c r="E38" s="2202"/>
      <c r="F38" s="2236"/>
      <c r="G38" s="2202"/>
      <c r="H38" s="2202"/>
      <c r="I38" s="2202"/>
    </row>
    <row r="39" spans="1:16" ht="15.75" thickBot="1">
      <c r="A39" s="2883"/>
      <c r="B39" s="2238" t="s">
        <v>1978</v>
      </c>
      <c r="C39" s="712"/>
      <c r="D39" s="2239" t="s">
        <v>1979</v>
      </c>
      <c r="E39" s="2202"/>
      <c r="F39" s="2236"/>
      <c r="G39" s="2202"/>
      <c r="H39" s="2202"/>
      <c r="I39" s="2202"/>
    </row>
    <row r="40" spans="1:16" ht="15">
      <c r="A40" s="2206" t="s">
        <v>1980</v>
      </c>
      <c r="B40" s="2240" t="s">
        <v>1981</v>
      </c>
      <c r="C40" s="2241" t="s">
        <v>1982</v>
      </c>
      <c r="D40" s="2241" t="s">
        <v>1983</v>
      </c>
      <c r="E40" s="2242" t="s">
        <v>1984</v>
      </c>
      <c r="F40" s="2236"/>
      <c r="G40" s="2202"/>
      <c r="H40" s="2202"/>
      <c r="I40" s="2202"/>
    </row>
    <row r="41" spans="1:16" ht="14.25">
      <c r="A41" s="2243" t="s">
        <v>1985</v>
      </c>
      <c r="B41" s="74"/>
      <c r="C41" s="75"/>
      <c r="D41" s="75"/>
      <c r="E41" s="76"/>
      <c r="F41" s="2236"/>
      <c r="G41" s="2202"/>
      <c r="H41" s="2202"/>
      <c r="I41" s="2202"/>
    </row>
    <row r="42" spans="1:16" ht="14.25">
      <c r="A42" s="2243" t="s">
        <v>1986</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1987</v>
      </c>
      <c r="B45" s="2249"/>
      <c r="C45" s="2249"/>
      <c r="D45" s="2250"/>
      <c r="E45" s="2250"/>
      <c r="F45" s="2251"/>
      <c r="G45" s="2251"/>
      <c r="H45" s="2251"/>
      <c r="I45" s="2251"/>
      <c r="J45" s="2252" t="s">
        <v>1818</v>
      </c>
      <c r="K45" s="2253"/>
      <c r="L45" s="2253"/>
      <c r="M45" s="2253"/>
      <c r="N45" s="2253"/>
      <c r="O45" s="2253"/>
      <c r="P45" s="1843"/>
    </row>
    <row r="46" spans="1:16" ht="14.25" customHeight="1" thickBot="1">
      <c r="A46" s="2887" t="s">
        <v>1988</v>
      </c>
      <c r="B46" s="2888"/>
      <c r="C46" s="2889"/>
      <c r="D46" s="80">
        <f>ROUND(I103*F46,0)</f>
        <v>0</v>
      </c>
      <c r="E46" s="81" t="s">
        <v>1989</v>
      </c>
      <c r="F46" s="82">
        <v>1</v>
      </c>
      <c r="G46" s="83" t="s">
        <v>1990</v>
      </c>
      <c r="H46" s="2192"/>
      <c r="I46" s="2192"/>
      <c r="J46" s="2949" t="s">
        <v>1822</v>
      </c>
      <c r="K46" s="2949"/>
      <c r="L46" s="2949"/>
      <c r="M46" s="2949"/>
      <c r="N46" s="2949"/>
      <c r="O46" s="2949"/>
      <c r="P46" s="1843"/>
    </row>
    <row r="47" spans="1:16" ht="14.25" customHeight="1">
      <c r="A47" s="2872" t="s">
        <v>1823</v>
      </c>
      <c r="B47" s="2873"/>
      <c r="C47" s="2873"/>
      <c r="D47" s="2873"/>
      <c r="E47" s="2873"/>
      <c r="F47" s="2873"/>
      <c r="G47" s="2874"/>
      <c r="H47" s="2254"/>
      <c r="I47" s="1143"/>
      <c r="J47" s="1880">
        <v>1</v>
      </c>
      <c r="K47" s="2949" t="s">
        <v>1824</v>
      </c>
      <c r="L47" s="2949"/>
      <c r="M47" s="2965"/>
      <c r="N47" s="2965"/>
      <c r="O47" s="2965"/>
      <c r="P47" s="1843"/>
    </row>
    <row r="48" spans="1:16" ht="12" customHeight="1">
      <c r="A48" s="85" t="s">
        <v>1825</v>
      </c>
      <c r="B48" s="86"/>
      <c r="C48" s="87"/>
      <c r="D48" s="88" t="s">
        <v>1826</v>
      </c>
      <c r="E48" s="14" t="s">
        <v>1827</v>
      </c>
      <c r="F48" s="89" t="s">
        <v>1828</v>
      </c>
      <c r="G48" s="90" t="s">
        <v>1829</v>
      </c>
      <c r="H48" s="2254"/>
      <c r="I48" s="1143"/>
      <c r="J48" s="1880">
        <v>2</v>
      </c>
      <c r="K48" s="2949" t="s">
        <v>1830</v>
      </c>
      <c r="L48" s="2949"/>
      <c r="M48" s="2951">
        <f>'数据-取费表'!B2</f>
        <v>43439</v>
      </c>
      <c r="N48" s="2951"/>
      <c r="O48" s="2951"/>
      <c r="P48" s="1843"/>
    </row>
    <row r="49" spans="1:16" ht="25.5">
      <c r="A49" s="2884" t="s">
        <v>1831</v>
      </c>
      <c r="B49" s="2885"/>
      <c r="C49" s="2885"/>
      <c r="D49" s="56">
        <f>IF(H49="情况1",0,IF(H49="情况2",D53,IF(H49="情况3",D54,IF(H49="情况4",D55))))</f>
        <v>0</v>
      </c>
      <c r="E49" s="1890" t="str">
        <f>IF(H49="情况4","(销售额-原购置价)×税（费）率","销售额×税（费）率")</f>
        <v>销售额×税（费）率</v>
      </c>
      <c r="F49" s="91">
        <f>IF(H49="情况1","免征",'数据-取费表'!E29)</f>
        <v>5.6000000000000001E-2</v>
      </c>
      <c r="G49" s="2255" t="s">
        <v>1832</v>
      </c>
      <c r="H49" s="2256" t="s">
        <v>1833</v>
      </c>
      <c r="I49" s="2254"/>
      <c r="J49" s="1880">
        <v>3</v>
      </c>
      <c r="K49" s="2949" t="s">
        <v>1834</v>
      </c>
      <c r="L49" s="2949"/>
      <c r="M49" s="2950">
        <f>I103</f>
        <v>0</v>
      </c>
      <c r="N49" s="2950"/>
      <c r="O49" s="2950"/>
      <c r="P49" s="1843"/>
    </row>
    <row r="50" spans="1:16" ht="25.5" customHeight="1">
      <c r="A50" s="92" t="s">
        <v>1835</v>
      </c>
      <c r="B50" s="2877" t="s">
        <v>1836</v>
      </c>
      <c r="C50" s="2877"/>
      <c r="D50" s="93">
        <v>0</v>
      </c>
      <c r="E50" s="13" t="s">
        <v>1837</v>
      </c>
      <c r="F50" s="18" t="s">
        <v>48</v>
      </c>
      <c r="G50" s="2942"/>
      <c r="H50" s="2192"/>
      <c r="I50" s="2257"/>
      <c r="J50" s="1880">
        <v>4</v>
      </c>
      <c r="K50" s="2949" t="str">
        <f>IF(项目基本情况!F5="房地产抵押价值","房地产抵押价值","抵押担保权已注销时的房地产抵押价值")</f>
        <v>抵押担保权已注销时的房地产抵押价值</v>
      </c>
      <c r="L50" s="2949"/>
      <c r="M50" s="2950" t="str">
        <f>IF(项目基本情况!F5="房地产抵押价值",I111,I113)</f>
        <v>——</v>
      </c>
      <c r="N50" s="2950"/>
      <c r="O50" s="2950"/>
      <c r="P50" s="1843"/>
    </row>
    <row r="51" spans="1:16" ht="25.5" customHeight="1">
      <c r="A51" s="94"/>
      <c r="B51" s="2877" t="s">
        <v>1838</v>
      </c>
      <c r="C51" s="2877"/>
      <c r="D51" s="95"/>
      <c r="E51" s="21"/>
      <c r="F51" s="96"/>
      <c r="G51" s="2943"/>
      <c r="H51" s="2192"/>
      <c r="I51" s="2257"/>
      <c r="J51" s="2949" t="s">
        <v>1839</v>
      </c>
      <c r="K51" s="2949"/>
      <c r="L51" s="2949"/>
      <c r="M51" s="2949"/>
      <c r="N51" s="2949"/>
      <c r="O51" s="2949"/>
      <c r="P51" s="1843"/>
    </row>
    <row r="52" spans="1:16" ht="12" customHeight="1">
      <c r="A52" s="97"/>
      <c r="B52" s="2877" t="s">
        <v>1840</v>
      </c>
      <c r="C52" s="2877"/>
      <c r="D52" s="98"/>
      <c r="E52" s="20"/>
      <c r="F52" s="96"/>
      <c r="G52" s="2944"/>
      <c r="H52" s="2192"/>
      <c r="I52" s="2257"/>
      <c r="J52" s="2258" t="s">
        <v>1841</v>
      </c>
      <c r="K52" s="2949" t="s">
        <v>1842</v>
      </c>
      <c r="L52" s="2949"/>
      <c r="M52" s="2258" t="s">
        <v>1843</v>
      </c>
      <c r="N52" s="2258" t="s">
        <v>1844</v>
      </c>
      <c r="O52" s="2258" t="s">
        <v>1845</v>
      </c>
      <c r="P52" s="1843"/>
    </row>
    <row r="53" spans="1:16" ht="24" customHeight="1">
      <c r="A53" s="99" t="s">
        <v>1846</v>
      </c>
      <c r="B53" s="2877" t="s">
        <v>1847</v>
      </c>
      <c r="C53" s="2877"/>
      <c r="D53" s="98">
        <f>ROUND(D46*'数据-取费表'!E29/(1+'数据-取费表'!F30),0)</f>
        <v>0</v>
      </c>
      <c r="E53" s="10" t="s">
        <v>1848</v>
      </c>
      <c r="F53" s="100">
        <f>'数据-取费表'!E29</f>
        <v>5.6000000000000001E-2</v>
      </c>
      <c r="G53" s="2259"/>
      <c r="H53" s="2192"/>
      <c r="I53" s="2257"/>
      <c r="J53" s="1880">
        <v>1</v>
      </c>
      <c r="K53" s="2909" t="s">
        <v>1849</v>
      </c>
      <c r="L53" s="2909"/>
      <c r="M53" s="778">
        <f>D49</f>
        <v>0</v>
      </c>
      <c r="N53" s="1880" t="str">
        <f>E49</f>
        <v>销售额×税（费）率</v>
      </c>
      <c r="O53" s="779">
        <f>F49</f>
        <v>5.6000000000000001E-2</v>
      </c>
      <c r="P53" s="1843"/>
    </row>
    <row r="54" spans="1:16" ht="12" customHeight="1">
      <c r="A54" s="99" t="s">
        <v>1850</v>
      </c>
      <c r="B54" s="2878" t="s">
        <v>1851</v>
      </c>
      <c r="C54" s="2808"/>
      <c r="D54" s="98">
        <f>ROUND(D46*'数据-取费表'!E29/(1+'数据-取费表'!F30),0)</f>
        <v>0</v>
      </c>
      <c r="E54" s="10" t="s">
        <v>1848</v>
      </c>
      <c r="F54" s="100">
        <f>'数据-取费表'!E29</f>
        <v>5.6000000000000001E-2</v>
      </c>
      <c r="G54" s="2259"/>
      <c r="H54" s="2192"/>
      <c r="I54" s="2257"/>
      <c r="J54" s="1880">
        <v>2</v>
      </c>
      <c r="K54" s="2909" t="s">
        <v>1852</v>
      </c>
      <c r="L54" s="2909"/>
      <c r="M54" s="778">
        <f t="shared" ref="M54:O55" si="1">D56</f>
        <v>0</v>
      </c>
      <c r="N54" s="1880" t="str">
        <f t="shared" si="1"/>
        <v>销售额×税（费）率</v>
      </c>
      <c r="O54" s="779">
        <f t="shared" si="1"/>
        <v>5.0000000000000001E-4</v>
      </c>
      <c r="P54" s="1843"/>
    </row>
    <row r="55" spans="1:16" ht="12" customHeight="1">
      <c r="A55" s="99" t="s">
        <v>1853</v>
      </c>
      <c r="B55" s="2878" t="s">
        <v>1854</v>
      </c>
      <c r="C55" s="2808"/>
      <c r="D55" s="98">
        <f>C69</f>
        <v>0</v>
      </c>
      <c r="E55" s="20" t="s">
        <v>1855</v>
      </c>
      <c r="F55" s="100">
        <f>'数据-取费表'!E29</f>
        <v>5.6000000000000001E-2</v>
      </c>
      <c r="G55" s="2259"/>
      <c r="H55" s="2260"/>
      <c r="I55" s="2257"/>
      <c r="J55" s="1880">
        <v>3</v>
      </c>
      <c r="K55" s="2909" t="s">
        <v>1856</v>
      </c>
      <c r="L55" s="2909"/>
      <c r="M55" s="778">
        <f t="shared" si="1"/>
        <v>0</v>
      </c>
      <c r="N55" s="1880" t="str">
        <f t="shared" si="1"/>
        <v>增值额×税（费）率</v>
      </c>
      <c r="O55" s="780" t="str">
        <f t="shared" si="1"/>
        <v>——</v>
      </c>
      <c r="P55" s="1843"/>
    </row>
    <row r="56" spans="1:16" ht="24" customHeight="1">
      <c r="A56" s="2800" t="s">
        <v>1857</v>
      </c>
      <c r="B56" s="2885"/>
      <c r="C56" s="2885"/>
      <c r="D56" s="101">
        <f>IF(H56="个人住宅",0,ROUND(D46*I56,0))</f>
        <v>0</v>
      </c>
      <c r="E56" s="10" t="s">
        <v>1858</v>
      </c>
      <c r="F56" s="100">
        <f>IF(H56="正常",I56,"免征")</f>
        <v>5.0000000000000001E-4</v>
      </c>
      <c r="G56" s="2259"/>
      <c r="H56" s="2256" t="s">
        <v>1859</v>
      </c>
      <c r="I56" s="102">
        <f>'数据-取费表'!E37</f>
        <v>5.0000000000000001E-4</v>
      </c>
      <c r="J56" s="1880" t="str">
        <f>IF(H60="非个人房产","",4)</f>
        <v/>
      </c>
      <c r="K56" s="2909" t="str">
        <f>IF(H60="非个人房产","——","个人所得税")</f>
        <v>——</v>
      </c>
      <c r="L56" s="2909"/>
      <c r="M56" s="781" t="str">
        <f>D60</f>
        <v>——</v>
      </c>
      <c r="N56" s="1883" t="str">
        <f>E60</f>
        <v>——</v>
      </c>
      <c r="O56" s="782" t="str">
        <f>F60</f>
        <v>——</v>
      </c>
      <c r="P56" s="1843"/>
    </row>
    <row r="57" spans="1:16" ht="24.75">
      <c r="A57" s="2800" t="s">
        <v>1860</v>
      </c>
      <c r="B57" s="2885"/>
      <c r="C57" s="2885"/>
      <c r="D57" s="101">
        <f>IF(H57="个人住宅",D58,D59)</f>
        <v>0</v>
      </c>
      <c r="E57" s="10" t="s">
        <v>1861</v>
      </c>
      <c r="F57" s="100" t="str">
        <f>IF(H57="正常",F59,"免征")</f>
        <v>——</v>
      </c>
      <c r="G57" s="2261" t="s">
        <v>1862</v>
      </c>
      <c r="H57" s="2262" t="s">
        <v>1859</v>
      </c>
      <c r="I57" s="1021"/>
      <c r="J57" s="1880" t="str">
        <f>IF(项目基本情况!I6="上海银行",IF(J56="",4,J56+1),"")</f>
        <v/>
      </c>
      <c r="K57" s="2927" t="str">
        <f>IF(项目基本情况!I6="上海银行","其他处置费用","")</f>
        <v/>
      </c>
      <c r="L57" s="2928"/>
      <c r="M57" s="778" t="str">
        <f>IF(项目基本情况!I6="上海银行",M70,"")</f>
        <v/>
      </c>
      <c r="N57" s="2940" t="str">
        <f>IF(项目基本情况!I6="上海银行","包含处置中涉及的律师、诉讼、拍卖、评估等费用","")</f>
        <v/>
      </c>
      <c r="O57" s="2941"/>
      <c r="P57" s="1843"/>
    </row>
    <row r="58" spans="1:16" ht="12.75">
      <c r="A58" s="99" t="s">
        <v>1835</v>
      </c>
      <c r="B58" s="2875" t="s">
        <v>1863</v>
      </c>
      <c r="C58" s="2886"/>
      <c r="D58" s="103">
        <v>0</v>
      </c>
      <c r="E58" s="13" t="s">
        <v>1837</v>
      </c>
      <c r="F58" s="70"/>
      <c r="G58" s="2259"/>
      <c r="H58" s="1021"/>
      <c r="I58" s="1021"/>
      <c r="J58" s="2909">
        <f>IF(AND(J56="",J57=""),4,IF(项目基本情况!I6="上海银行",J57+1,J56+1))</f>
        <v>4</v>
      </c>
      <c r="K58" s="2909" t="s">
        <v>1864</v>
      </c>
      <c r="L58" s="2263" t="s">
        <v>1865</v>
      </c>
      <c r="M58" s="783"/>
      <c r="N58" s="784">
        <f>SUMIF(M53:M57,"&lt;9e307")</f>
        <v>0</v>
      </c>
      <c r="O58" s="2264"/>
      <c r="P58" s="1839" t="e">
        <f>N58/M50</f>
        <v>#VALUE!</v>
      </c>
    </row>
    <row r="59" spans="1:16" ht="24.75">
      <c r="A59" s="99" t="s">
        <v>1846</v>
      </c>
      <c r="B59" s="2875" t="s">
        <v>1866</v>
      </c>
      <c r="C59" s="2876"/>
      <c r="D59" s="101">
        <f>IF(H59="转让取得",C82,C98)</f>
        <v>0</v>
      </c>
      <c r="E59" s="10" t="s">
        <v>1861</v>
      </c>
      <c r="F59" s="14" t="s">
        <v>48</v>
      </c>
      <c r="G59" s="2259"/>
      <c r="H59" s="2262" t="s">
        <v>1867</v>
      </c>
      <c r="I59" s="1021"/>
      <c r="J59" s="2909"/>
      <c r="K59" s="2909"/>
      <c r="L59" s="2263" t="s">
        <v>1868</v>
      </c>
      <c r="M59" s="785"/>
      <c r="N59" s="2265" t="str">
        <f>IF(H19="元",NUMBERSTRING(INT(N58),2)&amp;"元整",NUMBERSTRING(INT(N58*10000),2)&amp;"元整")</f>
        <v>零元整</v>
      </c>
      <c r="O59" s="2266"/>
      <c r="P59" s="1843"/>
    </row>
    <row r="60" spans="1:16" ht="24.75" thickBot="1">
      <c r="A60" s="2801" t="s">
        <v>1869</v>
      </c>
      <c r="B60" s="2804"/>
      <c r="C60" s="2804"/>
      <c r="D60" s="104" t="str">
        <f>IF(H60="非个人房产","——",IF(H60="个人住宅",0,ROUND(D46*I60,0)))</f>
        <v>——</v>
      </c>
      <c r="E60" s="105" t="str">
        <f>IF(H60="非个人房产","——","销售额×税（费）率")</f>
        <v>——</v>
      </c>
      <c r="F60" s="106" t="str">
        <f>IF(H60="非个人房产","——",IF(H60="个人住宅","免征",I60))</f>
        <v>——</v>
      </c>
      <c r="G60" s="2267" t="s">
        <v>1862</v>
      </c>
      <c r="H60" s="2262" t="s">
        <v>1991</v>
      </c>
      <c r="I60" s="107">
        <v>0.01</v>
      </c>
      <c r="J60" s="2907">
        <f>J58+1</f>
        <v>5</v>
      </c>
      <c r="K60" s="2909" t="s">
        <v>1871</v>
      </c>
      <c r="L60" s="1880" t="s">
        <v>1865</v>
      </c>
      <c r="M60" s="786"/>
      <c r="N60" s="787" t="e">
        <f>M50-N58</f>
        <v>#VALUE!</v>
      </c>
      <c r="O60" s="2268"/>
      <c r="P60" s="1843"/>
    </row>
    <row r="61" spans="1:16" ht="12" customHeight="1">
      <c r="A61" s="2065"/>
      <c r="B61" s="2192"/>
      <c r="C61" s="2192"/>
      <c r="D61" s="2192"/>
      <c r="E61" s="1021"/>
      <c r="F61" s="1021"/>
      <c r="G61" s="1021"/>
      <c r="H61" s="2245"/>
      <c r="I61" s="2192"/>
      <c r="J61" s="2908"/>
      <c r="K61" s="2909"/>
      <c r="L61" s="2263" t="s">
        <v>1868</v>
      </c>
      <c r="M61" s="785"/>
      <c r="N61" s="2265" t="e">
        <f>IF(H19="元",NUMBERSTRING(INT(N60),2)&amp;"元整",NUMBERSTRING(INT(N60*10000),2)&amp;"元整")</f>
        <v>#VALUE!</v>
      </c>
      <c r="O61" s="2266"/>
      <c r="P61" s="1843"/>
    </row>
    <row r="62" spans="1:16" ht="13.5" thickBot="1">
      <c r="A62" s="2890" t="s">
        <v>1872</v>
      </c>
      <c r="B62" s="2890"/>
      <c r="C62" s="2890"/>
      <c r="D62" s="2890"/>
      <c r="E62" s="2890"/>
      <c r="F62" s="1021"/>
      <c r="G62" s="1021"/>
      <c r="H62" s="2245"/>
      <c r="I62" s="2192"/>
      <c r="J62" s="1880">
        <f>J60+1</f>
        <v>6</v>
      </c>
      <c r="K62" s="2909" t="s">
        <v>1873</v>
      </c>
      <c r="L62" s="2909"/>
      <c r="M62" s="788"/>
      <c r="N62" s="789" t="e">
        <f>IF(H19="元",ROUND(N60/项目基本情况!C12,0),ROUND(N60*10000/项目基本情况!C12,0))</f>
        <v>#VALUE!</v>
      </c>
      <c r="O62" s="2269"/>
      <c r="P62" s="1843"/>
    </row>
    <row r="63" spans="1:16" ht="12.75">
      <c r="A63" s="2897" t="s">
        <v>1874</v>
      </c>
      <c r="B63" s="2898"/>
      <c r="C63" s="1882"/>
      <c r="D63" s="1882" t="s">
        <v>1875</v>
      </c>
      <c r="E63" s="108" t="s">
        <v>1876</v>
      </c>
      <c r="F63" s="1021"/>
      <c r="G63" s="1021"/>
      <c r="H63" s="2245"/>
      <c r="I63" s="2192"/>
      <c r="J63" s="1843"/>
      <c r="K63" s="1843"/>
      <c r="L63" s="1843"/>
      <c r="M63" s="1843"/>
      <c r="N63" s="1843"/>
      <c r="O63" s="1843"/>
      <c r="P63" s="1843"/>
    </row>
    <row r="64" spans="1:16" ht="12.75">
      <c r="A64" s="109">
        <v>1</v>
      </c>
      <c r="B64" s="110" t="s">
        <v>1877</v>
      </c>
      <c r="C64" s="111">
        <f>ROUND((C65+C66)/(1+'数据-取费表'!F30),0)</f>
        <v>0</v>
      </c>
      <c r="D64" s="112"/>
      <c r="E64" s="113"/>
      <c r="F64" s="1021"/>
      <c r="G64" s="1021"/>
      <c r="H64" s="2245"/>
      <c r="I64" s="2192"/>
      <c r="J64" s="2929" t="s">
        <v>1878</v>
      </c>
      <c r="K64" s="2270" t="s">
        <v>1879</v>
      </c>
      <c r="L64" s="1842" t="e">
        <f>IF(M50&gt;10000,M50*0.5%,IF(AND(M50&gt;1000,M50&lt;=10000),M50*1%,IF(AND(M50&gt;100,M50&lt;=1000),M50*3%,IF(AND(M50&gt;10,M50&lt;=100),M50*5%,M50*8%))))</f>
        <v>#VALUE!</v>
      </c>
      <c r="M64" s="14" t="e">
        <f>ROUND(L64,1)</f>
        <v>#VALUE!</v>
      </c>
      <c r="N64" s="1843"/>
      <c r="O64" s="1843"/>
      <c r="P64" s="1843"/>
    </row>
    <row r="65" spans="1:35" ht="12.75">
      <c r="A65" s="114" t="s">
        <v>71</v>
      </c>
      <c r="B65" s="115" t="s">
        <v>1880</v>
      </c>
      <c r="C65" s="116">
        <f>D46</f>
        <v>0</v>
      </c>
      <c r="D65" s="117" t="s">
        <v>41</v>
      </c>
      <c r="E65" s="118"/>
      <c r="F65" s="1021"/>
      <c r="G65" s="1021"/>
      <c r="H65" s="2245"/>
      <c r="I65" s="2192"/>
      <c r="J65" s="2929"/>
      <c r="K65" s="2270" t="s">
        <v>1881</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1882</v>
      </c>
      <c r="O65" s="1843"/>
      <c r="P65" s="1843"/>
    </row>
    <row r="66" spans="1:35" ht="12.75">
      <c r="A66" s="114" t="s">
        <v>72</v>
      </c>
      <c r="B66" s="115" t="s">
        <v>1883</v>
      </c>
      <c r="C66" s="119"/>
      <c r="D66" s="117"/>
      <c r="E66" s="118"/>
      <c r="F66" s="1021"/>
      <c r="G66" s="1021"/>
      <c r="H66" s="2245"/>
      <c r="I66" s="2192"/>
      <c r="J66" s="2929"/>
      <c r="K66" s="2270" t="s">
        <v>1884</v>
      </c>
      <c r="L66" s="1842" t="e">
        <f>IF(M50&gt;1000,M50*0.1%,IF(AND(M50&gt;500,M50&lt;=1000),M50*0.5%,IF(AND(M50&gt;50,M50&lt;=500),M50*1%,IF(AND(M50&gt;1,M50&lt;=50),M50*1.5%))))</f>
        <v>#VALUE!</v>
      </c>
      <c r="M66" s="14" t="e">
        <f t="shared" si="2"/>
        <v>#VALUE!</v>
      </c>
      <c r="N66" s="1843" t="s">
        <v>1882</v>
      </c>
      <c r="O66" s="1843"/>
      <c r="P66" s="1843"/>
    </row>
    <row r="67" spans="1:35" ht="12.75">
      <c r="A67" s="120" t="s">
        <v>47</v>
      </c>
      <c r="B67" s="121" t="s">
        <v>1885</v>
      </c>
      <c r="C67" s="122"/>
      <c r="D67" s="123" t="s">
        <v>41</v>
      </c>
      <c r="E67" s="1859" t="s">
        <v>1886</v>
      </c>
      <c r="F67" s="1021"/>
      <c r="G67" s="1021"/>
      <c r="H67" s="2245"/>
      <c r="I67" s="2192"/>
      <c r="J67" s="2929"/>
      <c r="K67" s="2270" t="s">
        <v>1887</v>
      </c>
      <c r="L67" s="1842" t="e">
        <f>M50*0.5%</f>
        <v>#VALUE!</v>
      </c>
      <c r="M67" s="14" t="e">
        <f>IF(L67&gt;0.5,0.5,ROUND(L67,0))</f>
        <v>#VALUE!</v>
      </c>
      <c r="N67" s="1843" t="s">
        <v>1888</v>
      </c>
      <c r="O67" s="1843"/>
      <c r="P67" s="1843"/>
    </row>
    <row r="68" spans="1:35" ht="12.75">
      <c r="A68" s="120" t="s">
        <v>42</v>
      </c>
      <c r="B68" s="121" t="s">
        <v>1889</v>
      </c>
      <c r="C68" s="124">
        <f>C64-C67</f>
        <v>0</v>
      </c>
      <c r="D68" s="117" t="s">
        <v>41</v>
      </c>
      <c r="E68" s="118"/>
      <c r="F68" s="1021"/>
      <c r="G68" s="1021"/>
      <c r="H68" s="2245"/>
      <c r="I68" s="2192"/>
      <c r="J68" s="2929"/>
      <c r="K68" s="2270" t="s">
        <v>1890</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1891</v>
      </c>
      <c r="C69" s="127">
        <f>IF(C68&lt;=0,0,ROUND(C68*D69,0))</f>
        <v>0</v>
      </c>
      <c r="D69" s="128">
        <f>'数据-取费表'!E29</f>
        <v>5.6000000000000001E-2</v>
      </c>
      <c r="E69" s="129"/>
      <c r="F69" s="1021"/>
      <c r="G69" s="1021"/>
      <c r="H69" s="2245"/>
      <c r="I69" s="2192"/>
      <c r="J69" s="2929"/>
      <c r="K69" s="2270" t="s">
        <v>1892</v>
      </c>
      <c r="L69" s="1842" t="e">
        <f>IF(M50&gt;10000,M50*0.5%,IF(AND(M50&gt;5000,M50&lt;=10000),M50*1%,IF(AND(M50&gt;1000,M50&lt;=5000),M50*2%,IF(AND(M50&gt;200,M50&lt;=1000),M50*3%,M50*5%))))</f>
        <v>#VALUE!</v>
      </c>
      <c r="M69" s="14" t="e">
        <f>ROUND(L69,1)</f>
        <v>#VALUE!</v>
      </c>
      <c r="N69" s="1843"/>
      <c r="O69" s="1843"/>
      <c r="P69" s="1843"/>
    </row>
    <row r="70" spans="1:35" s="2219" customFormat="1" ht="7.5" customHeight="1">
      <c r="A70" s="2271"/>
      <c r="B70" s="2272"/>
      <c r="C70" s="2273"/>
      <c r="D70" s="2274"/>
      <c r="E70" s="2275"/>
      <c r="F70" s="1021"/>
      <c r="G70" s="1021"/>
      <c r="H70" s="2245"/>
      <c r="I70" s="2192"/>
      <c r="J70" s="2929"/>
      <c r="K70" s="2270" t="s">
        <v>1893</v>
      </c>
      <c r="L70" s="2276"/>
      <c r="M70" s="14" t="e">
        <f>ROUND(SUM(M64:M69),0)</f>
        <v>#VALUE!</v>
      </c>
      <c r="N70" s="1839" t="e">
        <f>M70/M50</f>
        <v>#VALUE!</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8" customFormat="1" ht="15" thickBot="1">
      <c r="A71" s="2901" t="s">
        <v>1894</v>
      </c>
      <c r="B71" s="2902"/>
      <c r="C71" s="2902"/>
      <c r="D71" s="2902"/>
      <c r="E71" s="2902"/>
      <c r="F71" s="2902"/>
      <c r="G71" s="2902"/>
      <c r="H71" s="2902"/>
      <c r="I71" s="2277"/>
      <c r="J71" s="1285"/>
      <c r="K71" s="1285"/>
      <c r="L71" s="1285"/>
      <c r="M71" s="1285"/>
      <c r="N71" s="1285"/>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2897" t="s">
        <v>1874</v>
      </c>
      <c r="B72" s="2898"/>
      <c r="C72" s="1882"/>
      <c r="D72" s="1882" t="s">
        <v>1875</v>
      </c>
      <c r="E72" s="130" t="s">
        <v>1876</v>
      </c>
      <c r="F72" s="131"/>
      <c r="G72" s="131"/>
      <c r="H72" s="132"/>
      <c r="I72" s="2280"/>
      <c r="J72" s="1285"/>
      <c r="K72" s="1285"/>
      <c r="L72" s="1285"/>
      <c r="M72" s="1285"/>
      <c r="N72" s="1285"/>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3">
        <v>1</v>
      </c>
      <c r="B73" s="121" t="s">
        <v>1895</v>
      </c>
      <c r="C73" s="124">
        <f>ROUND(D46/(1+'数据-取费表'!F30),0)</f>
        <v>0</v>
      </c>
      <c r="D73" s="117" t="s">
        <v>41</v>
      </c>
      <c r="E73" s="1885"/>
      <c r="F73" s="1886"/>
      <c r="G73" s="1886"/>
      <c r="H73" s="134"/>
      <c r="I73" s="2280"/>
      <c r="J73" s="1285"/>
      <c r="K73" s="1285"/>
      <c r="L73" s="1285"/>
      <c r="M73" s="1285"/>
      <c r="N73" s="1285"/>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14.25">
      <c r="A74" s="135">
        <v>2</v>
      </c>
      <c r="B74" s="89" t="s">
        <v>1897</v>
      </c>
      <c r="C74" s="124">
        <f>C75+C79</f>
        <v>0</v>
      </c>
      <c r="D74" s="117" t="s">
        <v>41</v>
      </c>
      <c r="E74" s="1885"/>
      <c r="F74" s="1886"/>
      <c r="G74" s="1886"/>
      <c r="H74" s="134"/>
      <c r="I74" s="2280"/>
      <c r="J74" s="1285"/>
      <c r="K74" s="1285"/>
      <c r="L74" s="1285"/>
      <c r="M74" s="1285"/>
      <c r="N74" s="1285"/>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73</v>
      </c>
      <c r="B75" s="115" t="s">
        <v>1898</v>
      </c>
      <c r="C75" s="117">
        <f>ROUND(IF(G78="2016年5月1日后购买",C76/(1+'数据-取费表'!F30)+C77+C78,C76+C77+C78),0)</f>
        <v>0</v>
      </c>
      <c r="D75" s="117" t="s">
        <v>41</v>
      </c>
      <c r="E75" s="1885"/>
      <c r="F75" s="1886"/>
      <c r="G75" s="1886"/>
      <c r="H75" s="134"/>
      <c r="I75" s="2280"/>
      <c r="J75" s="1285"/>
      <c r="K75" s="1285"/>
      <c r="L75" s="1285"/>
      <c r="M75" s="1285"/>
      <c r="N75" s="1285"/>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14.25">
      <c r="A76" s="136" t="s">
        <v>74</v>
      </c>
      <c r="B76" s="115" t="s">
        <v>1899</v>
      </c>
      <c r="C76" s="137"/>
      <c r="D76" s="117" t="s">
        <v>41</v>
      </c>
      <c r="E76" s="138" t="s">
        <v>1900</v>
      </c>
      <c r="F76" s="2281" t="s">
        <v>1901</v>
      </c>
      <c r="G76" s="138" t="s">
        <v>1902</v>
      </c>
      <c r="H76" s="139"/>
      <c r="I76" s="9"/>
      <c r="J76" s="1285"/>
      <c r="K76" s="1285"/>
      <c r="L76" s="1285"/>
      <c r="M76" s="1285"/>
      <c r="N76" s="1285"/>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75</v>
      </c>
      <c r="B77" s="140" t="s">
        <v>1903</v>
      </c>
      <c r="C77" s="117">
        <f>IF(F76="购房发票",ROUND(C76*H76*D77,0),0)</f>
        <v>0</v>
      </c>
      <c r="D77" s="141">
        <v>0.05</v>
      </c>
      <c r="E77" s="2878" t="s">
        <v>1904</v>
      </c>
      <c r="F77" s="2877"/>
      <c r="G77" s="2877"/>
      <c r="H77" s="2892"/>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2" t="s">
        <v>1907</v>
      </c>
      <c r="H78" s="1887" t="str">
        <f>IF(G78="个人买卖住房","免征印花税"," ")</f>
        <v xml:space="preserve"> </v>
      </c>
      <c r="I78" s="2280"/>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24.75" customHeight="1">
      <c r="A79" s="136" t="s">
        <v>77</v>
      </c>
      <c r="B79" s="115" t="s">
        <v>1908</v>
      </c>
      <c r="C79" s="144">
        <f>ROUND(D46*D79/(1+'数据-取费表'!F30),0)</f>
        <v>0</v>
      </c>
      <c r="D79" s="145">
        <f>'数据-取费表'!E31</f>
        <v>6.000000000000001E-3</v>
      </c>
      <c r="E79" s="2869" t="s">
        <v>1909</v>
      </c>
      <c r="F79" s="2870"/>
      <c r="G79" s="2870"/>
      <c r="H79" s="2871"/>
      <c r="I79" s="2283"/>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14.25">
      <c r="A80" s="146" t="s">
        <v>42</v>
      </c>
      <c r="B80" s="121" t="s">
        <v>1910</v>
      </c>
      <c r="C80" s="124">
        <f>C73-C74</f>
        <v>0</v>
      </c>
      <c r="D80" s="117" t="s">
        <v>41</v>
      </c>
      <c r="E80" s="1885"/>
      <c r="F80" s="1886"/>
      <c r="G80" s="1886"/>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6"/>
      <c r="G81" s="1886"/>
      <c r="H81" s="134"/>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5" thickBot="1">
      <c r="A84" s="2901" t="s">
        <v>1913</v>
      </c>
      <c r="B84" s="2902"/>
      <c r="C84" s="2902"/>
      <c r="D84" s="2902"/>
      <c r="E84" s="2902"/>
      <c r="F84" s="2902"/>
      <c r="G84" s="2902"/>
      <c r="H84" s="2902"/>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14.25">
      <c r="A85" s="2897" t="s">
        <v>1874</v>
      </c>
      <c r="B85" s="2898"/>
      <c r="C85" s="1882"/>
      <c r="D85" s="1882" t="s">
        <v>1875</v>
      </c>
      <c r="E85" s="130" t="s">
        <v>1876</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3">
        <v>1</v>
      </c>
      <c r="B86" s="121" t="s">
        <v>1895</v>
      </c>
      <c r="C86" s="124">
        <f>ROUND(D46/(1+'数据-取费表'!F30),0)</f>
        <v>0</v>
      </c>
      <c r="D86" s="117" t="s">
        <v>41</v>
      </c>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5">
        <v>2</v>
      </c>
      <c r="B87" s="89" t="s">
        <v>1897</v>
      </c>
      <c r="C87" s="124">
        <f>IF(H89="仅含出让金",C88+C91+C92+C93+C94+C95,C88+C92+C93+C94+C95)</f>
        <v>0</v>
      </c>
      <c r="D87" s="156"/>
      <c r="E87" s="1885"/>
      <c r="F87" s="1886"/>
      <c r="G87" s="1886"/>
      <c r="H87" s="155"/>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73</v>
      </c>
      <c r="B88" s="115" t="s">
        <v>1914</v>
      </c>
      <c r="C88" s="144">
        <f>C89+C90</f>
        <v>0</v>
      </c>
      <c r="D88" s="145"/>
      <c r="E88" s="1878"/>
      <c r="F88" s="1879"/>
      <c r="G88" s="1879"/>
      <c r="H88" s="1881"/>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74</v>
      </c>
      <c r="B89" s="115" t="s">
        <v>1915</v>
      </c>
      <c r="C89" s="157"/>
      <c r="D89" s="145"/>
      <c r="E89" s="158" t="s">
        <v>1916</v>
      </c>
      <c r="F89" s="1879"/>
      <c r="G89" s="159" t="s">
        <v>1917</v>
      </c>
      <c r="H89" s="2284"/>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75</v>
      </c>
      <c r="B90" s="115" t="s">
        <v>1905</v>
      </c>
      <c r="C90" s="144">
        <f>ROUND(C89*D90,0)</f>
        <v>0</v>
      </c>
      <c r="D90" s="145">
        <f>'数据-取费表'!E36+'数据-取费表'!E37</f>
        <v>3.0499999999999999E-2</v>
      </c>
      <c r="E90" s="158" t="s">
        <v>1918</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14.25">
      <c r="A91" s="136" t="s">
        <v>77</v>
      </c>
      <c r="B91" s="115" t="s">
        <v>1919</v>
      </c>
      <c r="C91" s="157"/>
      <c r="D91" s="145"/>
      <c r="E91" s="158" t="str">
        <f>IF(H89="-","土地取得成本中已包含该笔费用"," ")</f>
        <v xml:space="preserve"> </v>
      </c>
      <c r="F91" s="1879"/>
      <c r="G91" s="1879"/>
      <c r="H91" s="1881"/>
      <c r="I91" s="9"/>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30.75" customHeight="1">
      <c r="A92" s="136" t="s">
        <v>78</v>
      </c>
      <c r="B92" s="115" t="s">
        <v>1920</v>
      </c>
      <c r="C92" s="144">
        <f>IF(H92="——",成本法!C33,I92)</f>
        <v>0</v>
      </c>
      <c r="D92" s="145"/>
      <c r="E92" s="2869" t="s">
        <v>1921</v>
      </c>
      <c r="F92" s="2870"/>
      <c r="G92" s="2870"/>
      <c r="H92" s="2285" t="s">
        <v>1922</v>
      </c>
      <c r="I92" s="2286"/>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79</v>
      </c>
      <c r="B93" s="115" t="s">
        <v>1923</v>
      </c>
      <c r="C93" s="144">
        <f>ROUND((C88+C91+C92)*D93,0)</f>
        <v>0</v>
      </c>
      <c r="D93" s="145">
        <v>0.1</v>
      </c>
      <c r="E93" s="2869" t="s">
        <v>1924</v>
      </c>
      <c r="F93" s="2870"/>
      <c r="G93" s="2870"/>
      <c r="H93" s="2871"/>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80</v>
      </c>
      <c r="B94" s="115" t="s">
        <v>1908</v>
      </c>
      <c r="C94" s="144">
        <f>ROUND(D46*D94/(1+'数据-取费表'!F30),0)</f>
        <v>0</v>
      </c>
      <c r="D94" s="145">
        <f>'数据-取费表'!E31</f>
        <v>6.000000000000001E-3</v>
      </c>
      <c r="E94" s="2869" t="s">
        <v>1909</v>
      </c>
      <c r="F94" s="2870"/>
      <c r="G94" s="2870"/>
      <c r="H94" s="2871"/>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25.5" customHeight="1">
      <c r="A95" s="136" t="s">
        <v>81</v>
      </c>
      <c r="B95" s="115" t="s">
        <v>1925</v>
      </c>
      <c r="C95" s="144">
        <f>ROUND((C88+C91+C92)*D95,0)</f>
        <v>0</v>
      </c>
      <c r="D95" s="145">
        <v>0.2</v>
      </c>
      <c r="E95" s="2869" t="s">
        <v>1926</v>
      </c>
      <c r="F95" s="2870"/>
      <c r="G95" s="2870"/>
      <c r="H95" s="2871"/>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14.25">
      <c r="A96" s="146" t="s">
        <v>42</v>
      </c>
      <c r="B96" s="121" t="s">
        <v>1910</v>
      </c>
      <c r="C96" s="124">
        <f>ROUND(C86-C87,0)</f>
        <v>0</v>
      </c>
      <c r="D96" s="117" t="s">
        <v>41</v>
      </c>
      <c r="E96" s="1885"/>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6"/>
      <c r="G97" s="1886"/>
      <c r="H97" s="155"/>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s="2278"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9"/>
      <c r="AB98" s="2279"/>
      <c r="AC98" s="2279"/>
      <c r="AD98" s="2279"/>
      <c r="AE98" s="2279"/>
      <c r="AF98" s="2279"/>
      <c r="AG98" s="2279"/>
      <c r="AH98" s="2279"/>
      <c r="AI98" s="2279"/>
    </row>
    <row r="99" spans="1:35" ht="21.75" customHeight="1" thickBot="1">
      <c r="A99" s="2248" t="s">
        <v>1927</v>
      </c>
      <c r="B99" s="2192"/>
      <c r="C99" s="2192"/>
      <c r="D99" s="2192"/>
      <c r="E99" s="1021"/>
      <c r="F99" s="1021"/>
      <c r="G99" s="1021"/>
      <c r="H99" s="2245"/>
      <c r="I99" s="2192"/>
    </row>
    <row r="100" spans="1:35" ht="15.75">
      <c r="A100" s="2924" t="s">
        <v>1928</v>
      </c>
      <c r="B100" s="2925"/>
      <c r="C100" s="2925"/>
      <c r="D100" s="2926"/>
      <c r="E100" s="2192"/>
      <c r="F100" s="2935" t="s">
        <v>1929</v>
      </c>
      <c r="G100" s="2936"/>
      <c r="H100" s="2936"/>
      <c r="I100" s="2937"/>
    </row>
    <row r="101" spans="1:35" ht="15.75">
      <c r="A101" s="2938" t="s">
        <v>1930</v>
      </c>
      <c r="B101" s="2939"/>
      <c r="C101" s="720">
        <f>C4</f>
        <v>0</v>
      </c>
      <c r="D101" s="721">
        <f>D4</f>
        <v>0</v>
      </c>
      <c r="E101" s="2192"/>
      <c r="F101" s="2834" t="s">
        <v>1931</v>
      </c>
      <c r="G101" s="2835"/>
      <c r="H101" s="2960" t="s">
        <v>1932</v>
      </c>
      <c r="I101" s="2833"/>
    </row>
    <row r="102" spans="1:35" ht="15.75">
      <c r="A102" s="2961" t="s">
        <v>1992</v>
      </c>
      <c r="B102" s="2287" t="str">
        <f>IF(H19="元","总价（元）","总价（万元）")</f>
        <v>总价（元）</v>
      </c>
      <c r="C102" s="720" t="e">
        <f ca="1">C19</f>
        <v>#REF!</v>
      </c>
      <c r="D102" s="721" t="e">
        <f ca="1">D19</f>
        <v>#REF!</v>
      </c>
      <c r="E102" s="2192"/>
      <c r="F102" s="2962"/>
      <c r="G102" s="2963"/>
      <c r="H102" s="2832">
        <f>典型户型修正!B25</f>
        <v>0</v>
      </c>
      <c r="I102" s="2833"/>
    </row>
    <row r="103" spans="1:35" ht="15.75">
      <c r="A103" s="2961"/>
      <c r="B103" s="2287" t="s">
        <v>1934</v>
      </c>
      <c r="C103" s="722" t="e">
        <f ca="1">C20</f>
        <v>#REF!</v>
      </c>
      <c r="D103" s="723" t="e">
        <f ca="1">D20</f>
        <v>#REF!</v>
      </c>
      <c r="E103" s="2192"/>
      <c r="F103" s="2861" t="s">
        <v>1935</v>
      </c>
      <c r="G103" s="2862"/>
      <c r="H103" s="2288" t="str">
        <f>C109</f>
        <v>总价（元）</v>
      </c>
      <c r="I103" s="1860">
        <f>H124</f>
        <v>0</v>
      </c>
    </row>
    <row r="104" spans="1:35" ht="15">
      <c r="A104" s="2961" t="s">
        <v>1993</v>
      </c>
      <c r="B104" s="2289" t="str">
        <f>B102</f>
        <v>总价（元）</v>
      </c>
      <c r="C104" s="1189" t="e">
        <f ca="1">ROUND(IF('数据-取费表'!B4="总价",G19,IF(H19="元",G20*'数据-取费表'!E5,G20*'数据-取费表'!E5/10000)),0)</f>
        <v>#REF!</v>
      </c>
      <c r="D104" s="725"/>
      <c r="E104" s="2192"/>
      <c r="F104" s="2861"/>
      <c r="G104" s="2862"/>
      <c r="H104" s="2288" t="s">
        <v>1934</v>
      </c>
      <c r="I104" s="1049" t="e">
        <f>I124</f>
        <v>#DIV/0!</v>
      </c>
    </row>
    <row r="105" spans="1:35" ht="15.75">
      <c r="A105" s="2961"/>
      <c r="B105" s="2287" t="s">
        <v>1934</v>
      </c>
      <c r="C105" s="1190" t="e">
        <f ca="1">ROUND(IF('数据-取费表'!B4="楼面单价",G20,IF(H19="元",G19/'数据-取费表'!E5,G19*10000/'数据-取费表'!E5)),0)</f>
        <v>#REF!</v>
      </c>
      <c r="D105" s="725"/>
      <c r="E105" s="2192"/>
      <c r="F105" s="2933"/>
      <c r="G105" s="2934"/>
      <c r="H105" s="2918"/>
      <c r="I105" s="2919"/>
    </row>
    <row r="106" spans="1:35" ht="15.75">
      <c r="A106" s="2954" t="s">
        <v>1994</v>
      </c>
      <c r="B106" s="2327" t="str">
        <f>B102</f>
        <v>总价（元）</v>
      </c>
      <c r="C106" s="724">
        <f>H124</f>
        <v>0</v>
      </c>
      <c r="D106" s="1188"/>
      <c r="E106" s="2192"/>
      <c r="F106" s="2922" t="s">
        <v>1938</v>
      </c>
      <c r="G106" s="2923"/>
      <c r="H106" s="2291" t="str">
        <f>C111</f>
        <v>总额（元）</v>
      </c>
      <c r="I106" s="1860">
        <f>SUMIF(I107:I109,"&lt;9E307")</f>
        <v>0</v>
      </c>
    </row>
    <row r="107" spans="1:35" ht="15.75" thickBot="1">
      <c r="A107" s="2917"/>
      <c r="B107" s="2290" t="s">
        <v>1934</v>
      </c>
      <c r="C107" s="726" t="e">
        <f>I124</f>
        <v>#DIV/0!</v>
      </c>
      <c r="D107" s="727"/>
      <c r="E107" s="2192"/>
      <c r="F107" s="2850" t="s">
        <v>1940</v>
      </c>
      <c r="G107" s="2851"/>
      <c r="H107" s="2291" t="str">
        <f>C112</f>
        <v>总额（元）</v>
      </c>
      <c r="I107" s="1049">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57" t="s">
        <v>1937</v>
      </c>
      <c r="B108" s="2958"/>
      <c r="C108" s="2958"/>
      <c r="D108" s="2959"/>
      <c r="E108" s="2192"/>
      <c r="F108" s="2850" t="s">
        <v>1941</v>
      </c>
      <c r="G108" s="2851"/>
      <c r="H108" s="2291" t="str">
        <f>C113</f>
        <v>总额（元）</v>
      </c>
      <c r="I108" s="1049">
        <f>C38</f>
        <v>0</v>
      </c>
      <c r="K108" s="2292"/>
    </row>
    <row r="109" spans="1:35" ht="15">
      <c r="A109" s="2848" t="s">
        <v>1995</v>
      </c>
      <c r="B109" s="2849"/>
      <c r="C109" s="2288" t="str">
        <f>B102</f>
        <v>总价（元）</v>
      </c>
      <c r="D109" s="1050">
        <f>H124</f>
        <v>0</v>
      </c>
      <c r="E109" s="2192"/>
      <c r="F109" s="2850" t="s">
        <v>1943</v>
      </c>
      <c r="G109" s="2851"/>
      <c r="H109" s="2291" t="str">
        <f>C114</f>
        <v>总额（元）</v>
      </c>
      <c r="I109" s="1049">
        <f>C39</f>
        <v>0</v>
      </c>
    </row>
    <row r="110" spans="1:35" ht="15.75">
      <c r="A110" s="2848"/>
      <c r="B110" s="2849"/>
      <c r="C110" s="2288" t="s">
        <v>1934</v>
      </c>
      <c r="D110" s="1051" t="e">
        <f>I124</f>
        <v>#DIV/0!</v>
      </c>
      <c r="E110" s="2192"/>
      <c r="F110" s="2933"/>
      <c r="G110" s="2934"/>
      <c r="H110" s="2920"/>
      <c r="I110" s="2921"/>
    </row>
    <row r="111" spans="1:35" ht="28.5" customHeight="1">
      <c r="A111" s="2855" t="s">
        <v>1942</v>
      </c>
      <c r="B111" s="2856"/>
      <c r="C111" s="2291" t="str">
        <f>IF(H19="元","总额（元）","总额（万元）")</f>
        <v>总额（元）</v>
      </c>
      <c r="D111" s="1050">
        <f>IF(D37="正常操作",I107+I108+I109,I108+I109)</f>
        <v>0</v>
      </c>
      <c r="E111" s="2192"/>
      <c r="F111" s="2836" t="str">
        <f>IF(项目基本情况!F5="已注销","——","3.房地产抵押价值")</f>
        <v>3.房地产抵押价值</v>
      </c>
      <c r="G111" s="2837"/>
      <c r="H111" s="2328" t="str">
        <f>C115</f>
        <v>总价（元）</v>
      </c>
      <c r="I111" s="1860">
        <f>IF(F111="——","——",I103-I106)</f>
        <v>0</v>
      </c>
    </row>
    <row r="112" spans="1:35" ht="15">
      <c r="A112" s="2850" t="s">
        <v>1940</v>
      </c>
      <c r="B112" s="2851"/>
      <c r="C112" s="2291" t="str">
        <f>C111</f>
        <v>总额（元）</v>
      </c>
      <c r="D112" s="637">
        <f>IF(D37="同一抵押权人同一抵押物续贷",C37&amp;"（未扣减，详见特别提示）",C37)</f>
        <v>0</v>
      </c>
      <c r="E112" s="2192"/>
      <c r="F112" s="2952"/>
      <c r="G112" s="2953"/>
      <c r="H112" s="2288" t="s">
        <v>1934</v>
      </c>
      <c r="I112" s="2294" t="e">
        <f>D116</f>
        <v>#DIV/0!</v>
      </c>
    </row>
    <row r="113" spans="1:26" ht="15.75">
      <c r="A113" s="2850" t="s">
        <v>1941</v>
      </c>
      <c r="B113" s="2851"/>
      <c r="C113" s="2291" t="str">
        <f>C111</f>
        <v>总额（元）</v>
      </c>
      <c r="D113" s="637">
        <f>C38</f>
        <v>0</v>
      </c>
      <c r="E113" s="2192"/>
      <c r="F113" s="2836" t="str">
        <f>IF(项目基本情况!F5="已注销及未注销","4.抵押担保权已注销时的房地产抵押价值",IF(项目基本情况!F5="已注销","3.抵押担保权已注销时的房地产抵押价值","——"))</f>
        <v>——</v>
      </c>
      <c r="G113" s="2837"/>
      <c r="H113" s="2328" t="str">
        <f>C117</f>
        <v>总价（元）</v>
      </c>
      <c r="I113" s="1860" t="str">
        <f>IF(F113="——","——",I103-I108-I109)</f>
        <v>——</v>
      </c>
    </row>
    <row r="114" spans="1:26" ht="15">
      <c r="A114" s="2850" t="s">
        <v>1943</v>
      </c>
      <c r="B114" s="2851"/>
      <c r="C114" s="2291" t="str">
        <f>C111</f>
        <v>总额（元）</v>
      </c>
      <c r="D114" s="637">
        <f>C39</f>
        <v>0</v>
      </c>
      <c r="E114" s="2192"/>
      <c r="F114" s="2952"/>
      <c r="G114" s="2953"/>
      <c r="H114" s="2288" t="s">
        <v>1934</v>
      </c>
      <c r="I114" s="1049" t="str">
        <f>D118</f>
        <v>——</v>
      </c>
    </row>
    <row r="115" spans="1:26" ht="15.75">
      <c r="A115" s="2848" t="str">
        <f>IF(项目基本情况!F5="已注销","——","3.房地产抵押价值")</f>
        <v>3.房地产抵押价值</v>
      </c>
      <c r="B115" s="2849"/>
      <c r="C115" s="2288" t="str">
        <f>B102</f>
        <v>总价（元）</v>
      </c>
      <c r="D115" s="1050">
        <f>IF(A115="——","——",D109-D111)</f>
        <v>0</v>
      </c>
      <c r="E115" s="2192"/>
      <c r="F115" s="2836" t="str">
        <f>IF(项目基本情况!G5="抵押净值",IF(OR(项目基本情况!F5="已注销",项目基本情况!F5="房地产抵押价值"),"4.抵押净值","5.抵押净值"),"——")</f>
        <v>——</v>
      </c>
      <c r="G115" s="2837"/>
      <c r="H115" s="2288" t="str">
        <f>C119</f>
        <v>总价（元）</v>
      </c>
      <c r="I115" s="1860" t="str">
        <f>IF(F115="——","——",N60)</f>
        <v>——</v>
      </c>
    </row>
    <row r="116" spans="1:26" ht="15.75" thickBot="1">
      <c r="A116" s="2848"/>
      <c r="B116" s="2849"/>
      <c r="C116" s="2288" t="s">
        <v>1996</v>
      </c>
      <c r="D116" s="1051" t="e">
        <f>ROUND(IF(D115=D109,D110,IF(H19="元",D115/B124,D115*10000/B124)),0)</f>
        <v>#DIV/0!</v>
      </c>
      <c r="E116" s="2192"/>
      <c r="F116" s="2838"/>
      <c r="G116" s="2839"/>
      <c r="H116" s="2296" t="s">
        <v>1996</v>
      </c>
      <c r="I116" s="1862" t="str">
        <f>D120</f>
        <v>——</v>
      </c>
    </row>
    <row r="117" spans="1:26" ht="15.75">
      <c r="A117" s="2848" t="str">
        <f>IF(项目基本情况!F5="已注销及未注销","4.抵押担保权已注销时的房地产抵押价值",IF(项目基本情况!F5="已注销","3.抵押担保权已注销时的房地产抵押价值","——"))</f>
        <v>——</v>
      </c>
      <c r="B117" s="2849"/>
      <c r="C117" s="2288" t="str">
        <f>B102</f>
        <v>总价（元）</v>
      </c>
      <c r="D117" s="1050" t="str">
        <f>IF(A117="——","——",D109-D113-D114)</f>
        <v>——</v>
      </c>
      <c r="E117" s="2192"/>
      <c r="F117" s="2948"/>
      <c r="G117" s="2948"/>
      <c r="H117" s="2904"/>
      <c r="I117" s="2904"/>
      <c r="N117" s="55"/>
      <c r="O117" s="55"/>
    </row>
    <row r="118" spans="1:26" s="1843" customFormat="1" ht="15">
      <c r="A118" s="2848"/>
      <c r="B118" s="2849"/>
      <c r="C118" s="2288" t="s">
        <v>1996</v>
      </c>
      <c r="D118" s="1051" t="str">
        <f>IF(A117="——","——",IF(H19="元",ROUND(D117/B124,0),ROUND(D117*10000/B124,0)))</f>
        <v>——</v>
      </c>
      <c r="E118" s="2192"/>
      <c r="F118" s="2956" t="str">
        <f>IF(B32="总价","（以上估价结果中楼面单价为总价除以建筑面积得出）","（以上估价结果中总价为楼面单价乘以建筑面积得出）")</f>
        <v>（以上估价结果中总价为楼面单价乘以建筑面积得出）</v>
      </c>
      <c r="G118" s="2956"/>
      <c r="H118" s="2956"/>
      <c r="I118" s="2956"/>
      <c r="J118" s="798"/>
      <c r="K118" s="798"/>
      <c r="L118" s="798"/>
      <c r="M118" s="798"/>
      <c r="N118" s="55"/>
      <c r="O118" s="55"/>
      <c r="P118" s="798"/>
      <c r="Q118" s="798"/>
      <c r="R118" s="798"/>
      <c r="S118" s="798"/>
      <c r="T118" s="798"/>
      <c r="U118" s="798"/>
      <c r="V118" s="798"/>
      <c r="W118" s="798"/>
      <c r="X118" s="798"/>
      <c r="Y118" s="798"/>
      <c r="Z118" s="798"/>
    </row>
    <row r="119" spans="1:26" s="1843" customFormat="1" ht="15">
      <c r="A119" s="2848" t="str">
        <f>IF(项目基本情况!G5="抵押净值",IF(OR(项目基本情况!F5="已注销",项目基本情况!F5="房地产抵押价值"),"4.抵押净值","5.抵押净值"),"——")</f>
        <v>——</v>
      </c>
      <c r="B119" s="2849"/>
      <c r="C119" s="2288" t="str">
        <f>B102</f>
        <v>总价（元）</v>
      </c>
      <c r="D119" s="1050"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853"/>
      <c r="B120" s="2854"/>
      <c r="C120" s="2296" t="s">
        <v>1996</v>
      </c>
      <c r="D120" s="1052"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3" customFormat="1" ht="15">
      <c r="A121" s="2905" t="s">
        <v>1997</v>
      </c>
      <c r="B121" s="2906"/>
      <c r="C121" s="2906"/>
      <c r="D121" s="2906"/>
      <c r="E121" s="2906"/>
      <c r="F121" s="2906"/>
      <c r="G121" s="2906"/>
      <c r="H121" s="2906"/>
      <c r="I121" s="2906"/>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29" t="s">
        <v>1945</v>
      </c>
      <c r="B122" s="2859" t="s">
        <v>1998</v>
      </c>
      <c r="C122" s="2859" t="s">
        <v>1999</v>
      </c>
      <c r="D122" s="2931" t="s">
        <v>1948</v>
      </c>
      <c r="E122" s="2932"/>
      <c r="F122" s="2830" t="s">
        <v>2000</v>
      </c>
      <c r="G122" s="2830"/>
      <c r="H122" s="2830" t="s">
        <v>1949</v>
      </c>
      <c r="I122" s="2930"/>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29"/>
      <c r="B123" s="2860"/>
      <c r="C123" s="2860"/>
      <c r="D123" s="1884" t="s">
        <v>1950</v>
      </c>
      <c r="E123" s="1884" t="s">
        <v>1951</v>
      </c>
      <c r="F123" s="1884" t="s">
        <v>1950</v>
      </c>
      <c r="G123" s="1884" t="s">
        <v>1952</v>
      </c>
      <c r="H123" s="1884"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3" customFormat="1" ht="14.25">
      <c r="A124" s="2178" t="str">
        <f>项目基本情况!I1</f>
        <v>北京市房地产</v>
      </c>
      <c r="B124" s="1884">
        <f>典型户型修正!B25</f>
        <v>0</v>
      </c>
      <c r="C124" s="400"/>
      <c r="D124" s="1884">
        <f>C35</f>
        <v>0</v>
      </c>
      <c r="E124" s="1884" t="e">
        <f>ROUND(IF(H19="元",D124/B124,D124*10000/B124),0)</f>
        <v>#DIV/0!</v>
      </c>
      <c r="F124" s="1884">
        <f>C36</f>
        <v>0</v>
      </c>
      <c r="G124" s="1884" t="e">
        <f>ROUND(IF(H19="元",F124/B124,F124*10000/B124),0)</f>
        <v>#DIV/0!</v>
      </c>
      <c r="H124" s="188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29" t="s">
        <v>1953</v>
      </c>
      <c r="B125" s="2830"/>
      <c r="C125" s="2830"/>
      <c r="D125" s="2863" t="str">
        <f>IF(H19="元",NUMBERSTRING(INT(D124),2)&amp;"元整",NUMBERSTRING(INT(D124*10000),2)&amp;"元整")</f>
        <v>零元整</v>
      </c>
      <c r="E125" s="2910"/>
      <c r="F125" s="2863" t="str">
        <f>IF(H19="元",NUMBERSTRING(INT(F124),2)&amp;"元整",NUMBERSTRING(INT(F124*10000),2)&amp;"元整")</f>
        <v>零元整</v>
      </c>
      <c r="G125" s="2910"/>
      <c r="H125" s="2863" t="str">
        <f>IF(H19="元",NUMBERSTRING(INT(H124),2)&amp;"元整",NUMBERSTRING(INT(H124*10000),2)&amp;"元整")</f>
        <v>零元整</v>
      </c>
      <c r="I125" s="2864"/>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11" t="str">
        <f>IF(项目基本情况!D5="房地产市场价值","——",MID(A111,3,LEN(A111)-2))</f>
        <v>估价师所知悉的法定优先受偿款</v>
      </c>
      <c r="B126" s="2841"/>
      <c r="C126" s="2912"/>
      <c r="D126" s="2840">
        <f>I106</f>
        <v>0</v>
      </c>
      <c r="E126" s="2841"/>
      <c r="F126" s="2841"/>
      <c r="G126" s="2841"/>
      <c r="H126" s="2841"/>
      <c r="I126" s="2842"/>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13" t="s">
        <v>1953</v>
      </c>
      <c r="B127" s="2914"/>
      <c r="C127" s="2915"/>
      <c r="D127" s="2843">
        <f>H110</f>
        <v>0</v>
      </c>
      <c r="E127" s="2844"/>
      <c r="F127" s="2844"/>
      <c r="G127" s="2844"/>
      <c r="H127" s="2844"/>
      <c r="I127" s="2845"/>
      <c r="J127" s="798"/>
      <c r="K127" s="798"/>
      <c r="L127" s="798"/>
      <c r="M127" s="798"/>
      <c r="N127" s="798"/>
      <c r="O127" s="798"/>
      <c r="P127" s="798"/>
      <c r="Q127" s="798"/>
      <c r="R127" s="798"/>
      <c r="S127" s="798"/>
      <c r="T127" s="798"/>
      <c r="U127" s="798"/>
      <c r="V127" s="798"/>
      <c r="W127" s="798"/>
      <c r="X127" s="798"/>
      <c r="Y127" s="798"/>
      <c r="Z127" s="798"/>
    </row>
    <row r="128" spans="1:26" s="1843" customFormat="1" ht="15">
      <c r="A128" s="2846" t="str">
        <f>IF(项目基本情况!D5="房地产市场价值","——",MID(A115,3,LEN(A115)-2))</f>
        <v>房地产抵押价值</v>
      </c>
      <c r="B128" s="2847"/>
      <c r="C128" s="2847"/>
      <c r="D128" s="2840">
        <f>I111</f>
        <v>0</v>
      </c>
      <c r="E128" s="2841"/>
      <c r="F128" s="2841"/>
      <c r="G128" s="2841"/>
      <c r="H128" s="2841"/>
      <c r="I128" s="2842"/>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29" t="s">
        <v>1953</v>
      </c>
      <c r="B129" s="2830"/>
      <c r="C129" s="2830"/>
      <c r="D129" s="2843" t="e">
        <f>I112</f>
        <v>#DIV/0!</v>
      </c>
      <c r="E129" s="2844"/>
      <c r="F129" s="2844"/>
      <c r="G129" s="2844"/>
      <c r="H129" s="2844"/>
      <c r="I129" s="2845"/>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846" t="str">
        <f>IF(项目基本情况!D5="房地产市场价值","——",MID(A117,3,LEN(A117)-2))</f>
        <v/>
      </c>
      <c r="B130" s="2847"/>
      <c r="C130" s="2847"/>
      <c r="D130" s="2945" t="str">
        <f>I113</f>
        <v>——</v>
      </c>
      <c r="E130" s="2946"/>
      <c r="F130" s="2946"/>
      <c r="G130" s="2946"/>
      <c r="H130" s="2946"/>
      <c r="I130" s="2947"/>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29" t="s">
        <v>1953</v>
      </c>
      <c r="B131" s="2830"/>
      <c r="C131" s="2831"/>
      <c r="D131" s="2903" t="str">
        <f>I114</f>
        <v>——</v>
      </c>
      <c r="E131" s="2903"/>
      <c r="F131" s="2903"/>
      <c r="G131" s="2903"/>
      <c r="H131" s="2903"/>
      <c r="I131" s="2903"/>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846" t="str">
        <f>IF(项目基本情况!D5="房地产市场价值","——",MID(F115,3,LEN(F115)-2))</f>
        <v/>
      </c>
      <c r="B132" s="2847"/>
      <c r="C132" s="2840"/>
      <c r="D132" s="2852" t="str">
        <f>I115</f>
        <v>——</v>
      </c>
      <c r="E132" s="2852"/>
      <c r="F132" s="2852"/>
      <c r="G132" s="2852"/>
      <c r="H132" s="2852"/>
      <c r="I132" s="2852"/>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857" t="s">
        <v>1953</v>
      </c>
      <c r="B133" s="2858"/>
      <c r="C133" s="2858"/>
      <c r="D133" s="2865">
        <f>H117</f>
        <v>0</v>
      </c>
      <c r="E133" s="2866"/>
      <c r="F133" s="2866"/>
      <c r="G133" s="2866"/>
      <c r="H133" s="2866"/>
      <c r="I133" s="2867"/>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5" t="str">
        <f>IF(H19="元","单位：平方米、元、元/平方米（币种：人民币）","单位：平方米、万元、元/平方米（币种：人民币）")</f>
        <v>单位：平方米、元、元/平方米（币种：人民币）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827" t="str">
        <f>IF(B32="总价","（以上估价结果中楼面单价为总价除以建筑面积得出）","（以上估价结果中总价为楼面单价乘以建筑面积得出）")</f>
        <v>（以上估价结果中总价为楼面单价乘以建筑面积得出）</v>
      </c>
      <c r="B135" s="2827"/>
      <c r="C135" s="2827"/>
      <c r="D135" s="2827"/>
      <c r="E135" s="2827"/>
      <c r="F135" s="2827"/>
      <c r="G135" s="2827"/>
      <c r="H135" s="2827"/>
      <c r="I135" s="2827"/>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7" t="s">
        <v>1954</v>
      </c>
      <c r="B136" s="2298"/>
      <c r="C136" s="2299" t="s">
        <v>1955</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10" t="s">
        <v>1956</v>
      </c>
      <c r="G142" s="2311"/>
      <c r="H142" s="2311"/>
      <c r="I142" s="2312" t="s">
        <v>1957</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13"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11"/>
      <c r="C145" s="2311"/>
      <c r="D145" s="2311"/>
      <c r="E145" s="2311"/>
      <c r="F145" s="2311"/>
      <c r="G145" s="2311"/>
      <c r="H145" s="2311"/>
      <c r="I145" s="2312" t="s">
        <v>1959</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13"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11"/>
      <c r="C148" s="2311"/>
      <c r="D148" s="2311"/>
      <c r="E148" s="2311"/>
      <c r="F148" s="2311"/>
      <c r="G148" s="2311"/>
      <c r="H148" s="2311"/>
      <c r="I148" s="2312" t="s">
        <v>1959</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activeCell="C7" sqref="C7"/>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20" t="s">
        <v>2828</v>
      </c>
      <c r="C1" s="162"/>
      <c r="D1" s="162"/>
      <c r="E1" s="162"/>
      <c r="F1" s="162"/>
      <c r="G1" s="163"/>
    </row>
    <row r="2" spans="1:7" s="164" customFormat="1" ht="18" customHeight="1">
      <c r="A2" s="165" t="s">
        <v>2002</v>
      </c>
      <c r="B2" s="166">
        <f ca="1">IF(D2="——",IF(C2="元",C52,ROUND(C52/10000,0)),IF(C2="元",C52,ROUND(C52/10000,0))-E2)</f>
        <v>1196915</v>
      </c>
      <c r="C2" s="163" t="str">
        <f>'数据-取费表'!B3</f>
        <v>元</v>
      </c>
      <c r="D2" s="2330" t="s">
        <v>1250</v>
      </c>
      <c r="E2" s="1545" t="e">
        <f ca="1">SUMIF(INDIRECT("'"&amp;G2&amp;"'"&amp;"!A:A"),"承租人权益价值",INDIRECT("'"&amp;G2&amp;"'"&amp;"!c:c"))</f>
        <v>#REF!</v>
      </c>
      <c r="F2" s="2331" t="str">
        <f>C2</f>
        <v>元</v>
      </c>
      <c r="G2" s="1903"/>
    </row>
    <row r="3" spans="1:7" s="164" customFormat="1" ht="18" customHeight="1" thickBot="1">
      <c r="A3" s="167" t="s">
        <v>2003</v>
      </c>
      <c r="B3" s="168">
        <f ca="1">ROUND(C52/IF(B1="仅计算典型户型",'数据-取费表'!E5,'数据-取费表'!B5),0)</f>
        <v>102651</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975348</v>
      </c>
      <c r="D5" s="195" t="s">
        <v>2008</v>
      </c>
      <c r="E5" s="1531" t="s">
        <v>2009</v>
      </c>
      <c r="F5" s="1531" t="s">
        <v>2010</v>
      </c>
      <c r="G5" s="174"/>
    </row>
    <row r="6" spans="1:7" s="175" customFormat="1" ht="13.5" customHeight="1">
      <c r="A6" s="176" t="s">
        <v>2011</v>
      </c>
      <c r="B6" s="177" t="s">
        <v>2012</v>
      </c>
      <c r="C6" s="1530">
        <f ca="1">基准地价修正!B2</f>
        <v>944670</v>
      </c>
      <c r="D6" s="1532"/>
      <c r="E6" s="1533"/>
      <c r="F6" s="1533"/>
      <c r="G6" s="179"/>
    </row>
    <row r="7" spans="1:7" s="175" customFormat="1" ht="13.5" customHeight="1">
      <c r="A7" s="176" t="s">
        <v>2013</v>
      </c>
      <c r="B7" s="177" t="s">
        <v>2014</v>
      </c>
      <c r="C7" s="199">
        <f ca="1">ROUND(C6*F7,0)</f>
        <v>28812</v>
      </c>
      <c r="D7" s="199"/>
      <c r="E7" s="1533"/>
      <c r="F7" s="1534">
        <f>'数据-取费表'!E36+'数据-取费表'!E37</f>
        <v>3.0499999999999999E-2</v>
      </c>
      <c r="G7" s="179"/>
    </row>
    <row r="8" spans="1:7" s="180" customFormat="1">
      <c r="A8" s="176" t="s">
        <v>2015</v>
      </c>
      <c r="B8" s="177" t="s">
        <v>2016</v>
      </c>
      <c r="C8" s="199">
        <f>IF(G8="已包含在土地购买价格中","0",'数据-取费表'!E13)</f>
        <v>1866</v>
      </c>
      <c r="D8" s="1535"/>
      <c r="E8" s="199"/>
      <c r="F8" s="1534"/>
      <c r="G8" s="2332" t="s">
        <v>2829</v>
      </c>
    </row>
    <row r="9" spans="1:7" s="175" customFormat="1" ht="13.5" customHeight="1">
      <c r="A9" s="1303" t="s">
        <v>951</v>
      </c>
      <c r="B9" s="181" t="s">
        <v>2017</v>
      </c>
      <c r="C9" s="1536">
        <f>ROUND(D9*E9,0)</f>
        <v>1866</v>
      </c>
      <c r="D9" s="1537">
        <f>IF('数据-取费表'!B10="住宅",IF(B1="仅计算典型户型",'数据-取费表'!E5,'数据-取费表'!B5),0)</f>
        <v>11.66</v>
      </c>
      <c r="E9" s="1536">
        <f>'数据-取费表'!E11</f>
        <v>160</v>
      </c>
      <c r="F9" s="1534"/>
      <c r="G9" s="182"/>
    </row>
    <row r="10" spans="1:7" s="175" customFormat="1" ht="13.5" customHeight="1">
      <c r="A10" s="1303" t="s">
        <v>952</v>
      </c>
      <c r="B10" s="181" t="s">
        <v>2018</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2019</v>
      </c>
      <c r="C11" s="195"/>
      <c r="D11" s="199"/>
      <c r="E11" s="1533"/>
      <c r="F11" s="1533"/>
      <c r="G11" s="179"/>
    </row>
    <row r="12" spans="1:7" s="175" customFormat="1" ht="13.5" hidden="1" customHeight="1">
      <c r="A12" s="176" t="s">
        <v>5</v>
      </c>
      <c r="B12" s="177" t="s">
        <v>2020</v>
      </c>
      <c r="C12" s="195">
        <v>0</v>
      </c>
      <c r="D12" s="199"/>
      <c r="E12" s="1538"/>
      <c r="F12" s="1534">
        <v>3.0499999999999999E-2</v>
      </c>
      <c r="G12" s="179"/>
    </row>
    <row r="13" spans="1:7" s="175" customFormat="1" ht="13.5" hidden="1" customHeight="1">
      <c r="A13" s="176" t="s">
        <v>6</v>
      </c>
      <c r="B13" s="177" t="s">
        <v>2021</v>
      </c>
      <c r="C13" s="195"/>
      <c r="D13" s="199"/>
      <c r="E13" s="1533"/>
      <c r="F13" s="1533"/>
      <c r="G13" s="179"/>
    </row>
    <row r="14" spans="1:7" s="175" customFormat="1" ht="13.5" hidden="1" customHeight="1">
      <c r="A14" s="176" t="s">
        <v>7</v>
      </c>
      <c r="B14" s="177" t="s">
        <v>2016</v>
      </c>
      <c r="C14" s="195"/>
      <c r="D14" s="199"/>
      <c r="E14" s="1533"/>
      <c r="F14" s="1533"/>
      <c r="G14" s="179" t="s">
        <v>2022</v>
      </c>
    </row>
    <row r="15" spans="1:7" s="175" customFormat="1" ht="13.5" hidden="1" customHeight="1">
      <c r="A15" s="176" t="s">
        <v>8</v>
      </c>
      <c r="B15" s="177" t="s">
        <v>2023</v>
      </c>
      <c r="C15" s="199"/>
      <c r="D15" s="199"/>
      <c r="E15" s="1533"/>
      <c r="F15" s="1533"/>
      <c r="G15" s="179" t="s">
        <v>2024</v>
      </c>
    </row>
    <row r="16" spans="1:7" s="175" customFormat="1" ht="13.5" hidden="1" customHeight="1">
      <c r="A16" s="176" t="s">
        <v>9</v>
      </c>
      <c r="B16" s="177" t="s">
        <v>2016</v>
      </c>
      <c r="C16" s="199"/>
      <c r="D16" s="199"/>
      <c r="E16" s="1533"/>
      <c r="F16" s="1533"/>
      <c r="G16" s="179"/>
    </row>
    <row r="17" spans="1:7" s="175" customFormat="1" ht="13.5" hidden="1" customHeight="1">
      <c r="A17" s="176" t="s">
        <v>10</v>
      </c>
      <c r="B17" s="177" t="s">
        <v>2025</v>
      </c>
      <c r="C17" s="1539"/>
      <c r="D17" s="1539"/>
      <c r="E17" s="1539"/>
      <c r="F17" s="1539"/>
      <c r="G17" s="179" t="s">
        <v>2024</v>
      </c>
    </row>
    <row r="18" spans="1:7" s="175" customFormat="1" ht="13.5" hidden="1" customHeight="1">
      <c r="A18" s="176" t="s">
        <v>11</v>
      </c>
      <c r="B18" s="177" t="s">
        <v>2026</v>
      </c>
      <c r="C18" s="199">
        <v>0</v>
      </c>
      <c r="D18" s="199"/>
      <c r="E18" s="1533"/>
      <c r="F18" s="1534">
        <v>3.0499999999999999E-2</v>
      </c>
      <c r="G18" s="179" t="s">
        <v>2027</v>
      </c>
    </row>
    <row r="19" spans="1:7" s="180" customFormat="1" ht="13.5" customHeight="1">
      <c r="A19" s="204" t="s">
        <v>2028</v>
      </c>
      <c r="B19" s="173" t="s">
        <v>2029</v>
      </c>
      <c r="C19" s="195" t="str">
        <f>IF(G19="已包含在土地取得成本中","0",ROUND(D19*E19,0))</f>
        <v>0</v>
      </c>
      <c r="D19" s="1540">
        <f>IF(B1="仅计算典型户型",'数据-取费表'!E5,'数据-取费表'!B5)</f>
        <v>11.66</v>
      </c>
      <c r="E19" s="195">
        <f>'数据-取费表'!E15</f>
        <v>200</v>
      </c>
      <c r="F19" s="196"/>
      <c r="G19" s="2332" t="s">
        <v>2830</v>
      </c>
    </row>
    <row r="20" spans="1:7" s="175" customFormat="1" ht="13.5" customHeight="1">
      <c r="A20" s="204" t="s">
        <v>2030</v>
      </c>
      <c r="B20" s="173" t="s">
        <v>2031</v>
      </c>
      <c r="C20" s="183">
        <f ca="1">ROUND((C5+C19)*F20,0)</f>
        <v>9753</v>
      </c>
      <c r="D20" s="183"/>
      <c r="E20" s="183"/>
      <c r="F20" s="187">
        <f>'数据-取费表'!E25</f>
        <v>0.01</v>
      </c>
      <c r="G20" s="184" t="s">
        <v>2032</v>
      </c>
    </row>
    <row r="21" spans="1:7" s="175" customFormat="1" ht="13.5" customHeight="1">
      <c r="A21" s="204" t="s">
        <v>2033</v>
      </c>
      <c r="B21" s="173" t="s">
        <v>2034</v>
      </c>
      <c r="C21" s="185">
        <f>F21</f>
        <v>0.01</v>
      </c>
      <c r="D21" s="186" t="s">
        <v>2035</v>
      </c>
      <c r="E21" s="183"/>
      <c r="F21" s="187">
        <f>'数据-取费表'!E26</f>
        <v>0.01</v>
      </c>
      <c r="G21" s="184" t="s">
        <v>2036</v>
      </c>
    </row>
    <row r="22" spans="1:7" s="175" customFormat="1" ht="13.5" customHeight="1">
      <c r="A22" s="204" t="s">
        <v>2037</v>
      </c>
      <c r="B22" s="173" t="s">
        <v>2038</v>
      </c>
      <c r="C22" s="205">
        <f ca="1">ROUND(SUM(C23:C25),0)</f>
        <v>21320</v>
      </c>
      <c r="D22" s="185">
        <f ca="1">C26</f>
        <v>1E-4</v>
      </c>
      <c r="E22" s="186" t="s">
        <v>2035</v>
      </c>
      <c r="F22" s="187">
        <f ca="1">'数据-取费表'!E27</f>
        <v>4.3499999999999997E-2</v>
      </c>
      <c r="G22" s="184" t="str">
        <f>IF('数据-取费表'!B23&lt;=1,"单利计息。","复利计息。")</f>
        <v>单利计息。</v>
      </c>
    </row>
    <row r="23" spans="1:7" s="175" customFormat="1" ht="13.5" customHeight="1">
      <c r="A23" s="176" t="s">
        <v>2039</v>
      </c>
      <c r="B23" s="177" t="s">
        <v>2040</v>
      </c>
      <c r="C23" s="1454">
        <f ca="1">ROUND(IF('数据-取费表'!B23&lt;=1,C5*F22*'数据-取费表'!B24,C5*(POWER((1+F22),'数据-取费表'!B24)-1)),0)</f>
        <v>21214</v>
      </c>
      <c r="D23" s="188"/>
      <c r="E23" s="188"/>
      <c r="F23" s="189"/>
      <c r="G23" s="190" t="s">
        <v>2041</v>
      </c>
    </row>
    <row r="24" spans="1:7" s="175" customFormat="1" ht="13.5" customHeight="1">
      <c r="A24" s="176" t="s">
        <v>2013</v>
      </c>
      <c r="B24" s="177" t="s">
        <v>2042</v>
      </c>
      <c r="C24" s="1454">
        <f ca="1">ROUND(IF('数据-取费表'!B23&lt;=1,C19*F22*('数据-取费表'!B20/2+'数据-取费表'!B22),C19*(POWER((1+F22),('数据-取费表'!B20/2+'数据-取费表'!B22))-1)),0)</f>
        <v>0</v>
      </c>
      <c r="D24" s="188"/>
      <c r="E24" s="188"/>
      <c r="F24" s="189"/>
      <c r="G24" s="190" t="s">
        <v>2043</v>
      </c>
    </row>
    <row r="25" spans="1:7" s="175" customFormat="1" ht="24">
      <c r="A25" s="176" t="s">
        <v>2015</v>
      </c>
      <c r="B25" s="177" t="s">
        <v>2044</v>
      </c>
      <c r="C25" s="1454">
        <f ca="1">ROUND(IF('数据-取费表'!B23&lt;=1,C20*F22*'数据-取费表'!B24/2,C20*(POWER((1+F22),'数据-取费表'!B24/2)-1)),0)</f>
        <v>106</v>
      </c>
      <c r="D25" s="188"/>
      <c r="E25" s="191"/>
      <c r="F25" s="189"/>
      <c r="G25" s="192" t="s">
        <v>2045</v>
      </c>
    </row>
    <row r="26" spans="1:7" s="175" customFormat="1">
      <c r="A26" s="176" t="s">
        <v>2046</v>
      </c>
      <c r="B26" s="177" t="s">
        <v>2047</v>
      </c>
      <c r="C26" s="188">
        <f ca="1">ROUND(IF('数据-取费表'!B23&lt;=1,F21*F22*'数据-取费表'!B24/2,F21*(POWER((1+F22),'数据-取费表'!B24/2)-1)),4)</f>
        <v>1E-4</v>
      </c>
      <c r="D26" s="188"/>
      <c r="E26" s="191"/>
      <c r="F26" s="189"/>
      <c r="G26" s="193"/>
    </row>
    <row r="27" spans="1:7" s="175" customFormat="1" ht="25.5">
      <c r="A27" s="1304" t="s">
        <v>2048</v>
      </c>
      <c r="B27" s="194" t="s">
        <v>2049</v>
      </c>
      <c r="C27" s="195">
        <f ca="1">C28</f>
        <v>98510</v>
      </c>
      <c r="D27" s="185">
        <f>C29</f>
        <v>1E-3</v>
      </c>
      <c r="E27" s="186" t="s">
        <v>2035</v>
      </c>
      <c r="F27" s="196">
        <f>'数据-取费表'!E28</f>
        <v>0.1</v>
      </c>
      <c r="G27" s="197" t="s">
        <v>2050</v>
      </c>
    </row>
    <row r="28" spans="1:7" s="175" customFormat="1" ht="13.5" customHeight="1">
      <c r="A28" s="176" t="s">
        <v>2039</v>
      </c>
      <c r="B28" s="198" t="s">
        <v>2051</v>
      </c>
      <c r="C28" s="199">
        <f ca="1">ROUND((C5+C19+C20)*F27*'数据-取费表'!B22/'数据-取费表'!B21,0)</f>
        <v>98510</v>
      </c>
      <c r="D28" s="185"/>
      <c r="E28" s="186"/>
      <c r="F28" s="196"/>
      <c r="G28" s="197"/>
    </row>
    <row r="29" spans="1:7" s="175" customFormat="1" ht="13.5" customHeight="1">
      <c r="A29" s="176" t="s">
        <v>2013</v>
      </c>
      <c r="B29" s="198" t="s">
        <v>2052</v>
      </c>
      <c r="C29" s="188">
        <f>ROUND(C21*F27*'数据-取费表'!B22/'数据-取费表'!B21,4)</f>
        <v>1E-3</v>
      </c>
      <c r="D29" s="185"/>
      <c r="E29" s="186"/>
      <c r="F29" s="196"/>
      <c r="G29" s="197"/>
    </row>
    <row r="30" spans="1:7" s="175" customFormat="1" ht="13.5" customHeight="1">
      <c r="A30" s="1304"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1180987</v>
      </c>
      <c r="D31" s="1540"/>
      <c r="E31" s="195"/>
      <c r="F31" s="1541"/>
      <c r="G31" s="184" t="s">
        <v>2057</v>
      </c>
    </row>
    <row r="32" spans="1:7" s="172" customFormat="1" ht="15.75">
      <c r="A32" s="201" t="s">
        <v>2058</v>
      </c>
      <c r="B32" s="202"/>
      <c r="C32" s="1542"/>
      <c r="D32" s="1542"/>
      <c r="E32" s="1542"/>
      <c r="F32" s="1542"/>
      <c r="G32" s="203"/>
    </row>
    <row r="33" spans="1:7" s="175" customFormat="1" ht="13.5" customHeight="1">
      <c r="A33" s="204" t="s">
        <v>2059</v>
      </c>
      <c r="B33" s="173" t="s">
        <v>2060</v>
      </c>
      <c r="C33" s="205">
        <f>SUM(C34:C38)</f>
        <v>20434</v>
      </c>
      <c r="D33" s="183"/>
      <c r="E33" s="1531"/>
      <c r="F33" s="191"/>
      <c r="G33" s="184"/>
    </row>
    <row r="34" spans="1:7" s="206" customFormat="1" ht="13.5" customHeight="1">
      <c r="A34" s="176" t="s">
        <v>2039</v>
      </c>
      <c r="B34" s="177" t="s">
        <v>2061</v>
      </c>
      <c r="C34" s="199">
        <f>IF(B1="仅计算典型户型",'数据-取费表'!F18,'数据-取费表'!E18)</f>
        <v>17490</v>
      </c>
      <c r="D34" s="1532"/>
      <c r="E34" s="199"/>
      <c r="F34" s="1543" t="str">
        <f>IF('数据-取费表'!B25=0,"",'数据-取费表'!E20)</f>
        <v/>
      </c>
      <c r="G34" s="179"/>
    </row>
    <row r="35" spans="1:7" ht="13.5" customHeight="1">
      <c r="A35" s="176" t="s">
        <v>2013</v>
      </c>
      <c r="B35" s="177" t="s">
        <v>2062</v>
      </c>
      <c r="C35" s="199">
        <f>ROUND(C34*F35,0)</f>
        <v>175</v>
      </c>
      <c r="D35" s="199"/>
      <c r="E35" s="199"/>
      <c r="F35" s="1544">
        <f>'数据-取费表'!E21</f>
        <v>0.01</v>
      </c>
      <c r="G35" s="179" t="s">
        <v>2063</v>
      </c>
    </row>
    <row r="36" spans="1:7" ht="24">
      <c r="A36" s="176" t="s">
        <v>2015</v>
      </c>
      <c r="B36" s="177" t="s">
        <v>2064</v>
      </c>
      <c r="C36" s="199">
        <f>ROUND(IF('数据-取费表'!B10="住宅",C34*F36,0),0)</f>
        <v>175</v>
      </c>
      <c r="D36" s="199"/>
      <c r="E36" s="199"/>
      <c r="F36" s="1544">
        <f>'数据-取费表'!E22</f>
        <v>0.01</v>
      </c>
      <c r="G36" s="207" t="s">
        <v>2065</v>
      </c>
    </row>
    <row r="37" spans="1:7" s="206" customFormat="1" ht="13.5" customHeight="1">
      <c r="A37" s="176" t="s">
        <v>2046</v>
      </c>
      <c r="B37" s="177" t="s">
        <v>2066</v>
      </c>
      <c r="C37" s="199">
        <f>ROUND(E37*D37,0)</f>
        <v>2332</v>
      </c>
      <c r="D37" s="1532">
        <f>IF(B1="仅计算典型户型",'数据-取费表'!E5,'数据-取费表'!B5)</f>
        <v>11.66</v>
      </c>
      <c r="E37" s="199">
        <f>'数据-取费表'!E23</f>
        <v>200</v>
      </c>
      <c r="F37" s="1544"/>
      <c r="G37" s="208" t="s">
        <v>2067</v>
      </c>
    </row>
    <row r="38" spans="1:7" ht="13.5" customHeight="1">
      <c r="A38" s="176" t="s">
        <v>2068</v>
      </c>
      <c r="B38" s="177" t="s">
        <v>2069</v>
      </c>
      <c r="C38" s="199">
        <f>ROUND(C34*F38,0)</f>
        <v>262</v>
      </c>
      <c r="D38" s="199"/>
      <c r="E38" s="199"/>
      <c r="F38" s="1544">
        <f>'数据-取费表'!E24</f>
        <v>1.4999999999999999E-2</v>
      </c>
      <c r="G38" s="179" t="s">
        <v>2063</v>
      </c>
    </row>
    <row r="39" spans="1:7" s="175" customFormat="1" ht="13.5" customHeight="1">
      <c r="A39" s="204" t="s">
        <v>2028</v>
      </c>
      <c r="B39" s="173" t="s">
        <v>2031</v>
      </c>
      <c r="C39" s="183">
        <f>ROUND(C33*F20,0)</f>
        <v>204</v>
      </c>
      <c r="D39" s="183"/>
      <c r="E39" s="183"/>
      <c r="F39" s="187"/>
      <c r="G39" s="184" t="s">
        <v>2070</v>
      </c>
    </row>
    <row r="40" spans="1:7" s="175" customFormat="1" ht="13.5" customHeight="1">
      <c r="A40" s="204" t="s">
        <v>2030</v>
      </c>
      <c r="B40" s="173" t="s">
        <v>2034</v>
      </c>
      <c r="C40" s="1817">
        <f>F21</f>
        <v>0.01</v>
      </c>
      <c r="D40" s="186" t="s">
        <v>2071</v>
      </c>
      <c r="E40" s="183"/>
      <c r="F40" s="187"/>
      <c r="G40" s="184" t="s">
        <v>2072</v>
      </c>
    </row>
    <row r="41" spans="1:7" s="175" customFormat="1" ht="13.5" customHeight="1">
      <c r="A41" s="204" t="s">
        <v>2033</v>
      </c>
      <c r="B41" s="173" t="s">
        <v>2038</v>
      </c>
      <c r="C41" s="183">
        <f ca="1">ROUND(SUM(C42:C43),0)</f>
        <v>224</v>
      </c>
      <c r="D41" s="185">
        <f ca="1">C44</f>
        <v>1E-4</v>
      </c>
      <c r="E41" s="186" t="s">
        <v>2071</v>
      </c>
      <c r="F41" s="187"/>
      <c r="G41" s="184" t="str">
        <f>IF('数据-取费表'!B23&lt;=1,"单利计息。","复利计息。")</f>
        <v>单利计息。</v>
      </c>
    </row>
    <row r="42" spans="1:7" ht="13.5" customHeight="1">
      <c r="A42" s="176" t="s">
        <v>2039</v>
      </c>
      <c r="B42" s="177" t="s">
        <v>2040</v>
      </c>
      <c r="C42" s="188">
        <f ca="1">ROUND(IF('数据-取费表'!B23&lt;=1,C33*F22*'数据-取费表'!B22/2,C33*(POWER((1+F22),'数据-取费表'!B22/2)-1)),0)</f>
        <v>222</v>
      </c>
      <c r="D42" s="188"/>
      <c r="E42" s="188"/>
      <c r="F42" s="189"/>
      <c r="G42" s="2966" t="s">
        <v>2073</v>
      </c>
    </row>
    <row r="43" spans="1:7" ht="13.5" customHeight="1">
      <c r="A43" s="176" t="s">
        <v>2013</v>
      </c>
      <c r="B43" s="177" t="s">
        <v>2042</v>
      </c>
      <c r="C43" s="188">
        <f ca="1">ROUND(IF('数据-取费表'!B23&lt;=1,C39*F22*'数据-取费表'!B22/2,C39*(POWER((1+F22),'数据-取费表'!B22/2)-1)),0)</f>
        <v>2</v>
      </c>
      <c r="D43" s="188"/>
      <c r="E43" s="188"/>
      <c r="F43" s="189"/>
      <c r="G43" s="2967"/>
    </row>
    <row r="44" spans="1:7" ht="13.5" customHeight="1">
      <c r="A44" s="176" t="s">
        <v>2015</v>
      </c>
      <c r="B44" s="177" t="s">
        <v>2044</v>
      </c>
      <c r="C44" s="188">
        <f ca="1">ROUND(IF('数据-取费表'!B23&lt;=1,C40*F22*'数据-取费表'!B22/2,C40*(POWER((1+F22),'数据-取费表'!B22/2)-1)),4)</f>
        <v>1E-4</v>
      </c>
      <c r="D44" s="188"/>
      <c r="E44" s="188"/>
      <c r="F44" s="189"/>
      <c r="G44" s="2968"/>
    </row>
    <row r="45" spans="1:7" s="175" customFormat="1" ht="13.5" customHeight="1">
      <c r="A45" s="204" t="s">
        <v>2037</v>
      </c>
      <c r="B45" s="194" t="s">
        <v>2049</v>
      </c>
      <c r="C45" s="195">
        <f>C46</f>
        <v>2064</v>
      </c>
      <c r="D45" s="185">
        <f>C47</f>
        <v>1E-3</v>
      </c>
      <c r="E45" s="186" t="s">
        <v>2071</v>
      </c>
      <c r="F45" s="196"/>
      <c r="G45" s="197" t="s">
        <v>2074</v>
      </c>
    </row>
    <row r="46" spans="1:7" s="175" customFormat="1" ht="13.5" customHeight="1">
      <c r="A46" s="176" t="s">
        <v>2039</v>
      </c>
      <c r="B46" s="198" t="s">
        <v>2075</v>
      </c>
      <c r="C46" s="199">
        <f>ROUND((C33+C39)*F27,0)</f>
        <v>2064</v>
      </c>
      <c r="D46" s="209"/>
      <c r="E46" s="186"/>
      <c r="F46" s="196"/>
      <c r="G46" s="197"/>
    </row>
    <row r="47" spans="1:7" s="175" customFormat="1" ht="13.5" customHeight="1">
      <c r="A47" s="176" t="s">
        <v>2013</v>
      </c>
      <c r="B47" s="198" t="s">
        <v>2076</v>
      </c>
      <c r="C47" s="188">
        <f>ROUND(C40*F27,4)</f>
        <v>1E-3</v>
      </c>
      <c r="D47" s="209"/>
      <c r="E47" s="186"/>
      <c r="F47" s="196"/>
      <c r="G47" s="197"/>
    </row>
    <row r="48" spans="1:7" s="175" customFormat="1" ht="13.5" customHeight="1">
      <c r="A48" s="1304" t="s">
        <v>2048</v>
      </c>
      <c r="B48" s="173" t="s">
        <v>2077</v>
      </c>
      <c r="C48" s="1817">
        <f>ROUND(F30/(1+'数据-取费表'!F30),4)</f>
        <v>5.33E-2</v>
      </c>
      <c r="D48" s="186" t="s">
        <v>2071</v>
      </c>
      <c r="E48" s="183"/>
      <c r="F48" s="187"/>
      <c r="G48" s="184" t="s">
        <v>2078</v>
      </c>
    </row>
    <row r="49" spans="1:7" ht="16.5" customHeight="1">
      <c r="A49" s="1304" t="s">
        <v>2079</v>
      </c>
      <c r="B49" s="173" t="s">
        <v>2080</v>
      </c>
      <c r="C49" s="183">
        <f ca="1">ROUND((C33+C39+C41+C45)/(1-C40-D41-D45-C48),0)</f>
        <v>24504</v>
      </c>
      <c r="D49" s="183"/>
      <c r="E49" s="183"/>
      <c r="F49" s="210"/>
      <c r="G49" s="184" t="s">
        <v>2081</v>
      </c>
    </row>
    <row r="50" spans="1:7" s="206" customFormat="1" ht="24">
      <c r="A50" s="1304" t="s">
        <v>2082</v>
      </c>
      <c r="B50" s="173" t="s">
        <v>2083</v>
      </c>
      <c r="C50" s="183"/>
      <c r="D50" s="183"/>
      <c r="E50" s="183"/>
      <c r="F50" s="210">
        <f>IF('数据-取费表'!B25=0,'数据-取费表'!E20,1)</f>
        <v>0.65</v>
      </c>
      <c r="G50" s="197" t="s">
        <v>2084</v>
      </c>
    </row>
    <row r="51" spans="1:7" ht="16.5" customHeight="1">
      <c r="A51" s="1304" t="s">
        <v>2085</v>
      </c>
      <c r="B51" s="173" t="s">
        <v>2086</v>
      </c>
      <c r="C51" s="183">
        <f ca="1">ROUND(C49*F50,0)</f>
        <v>15928</v>
      </c>
      <c r="D51" s="183"/>
      <c r="E51" s="183"/>
      <c r="F51" s="210"/>
      <c r="G51" s="184" t="s">
        <v>2087</v>
      </c>
    </row>
    <row r="52" spans="1:7" s="172" customFormat="1" ht="16.5" thickBot="1">
      <c r="A52" s="211" t="s">
        <v>2088</v>
      </c>
      <c r="B52" s="212"/>
      <c r="C52" s="213">
        <f ca="1">C31+C51</f>
        <v>1196915</v>
      </c>
      <c r="D52" s="212"/>
      <c r="E52" s="212"/>
      <c r="F52" s="212"/>
      <c r="G52" s="214"/>
    </row>
    <row r="55" spans="1:7" ht="15">
      <c r="B55" s="216" t="s">
        <v>2089</v>
      </c>
      <c r="C55" s="217"/>
    </row>
    <row r="56" spans="1:7">
      <c r="B56" s="219" t="s">
        <v>2090</v>
      </c>
      <c r="C56" s="220">
        <f ca="1">ROUND(C51/C52,3)</f>
        <v>1.2999999999999999E-2</v>
      </c>
    </row>
    <row r="57" spans="1:7">
      <c r="B57" s="219" t="s">
        <v>2091</v>
      </c>
      <c r="C57" s="221">
        <f ca="1">1-C56</f>
        <v>0.98699999999999999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0" t="s">
        <v>1299</v>
      </c>
      <c r="D1" s="1451"/>
      <c r="E1" s="1210"/>
      <c r="F1" s="1210"/>
      <c r="G1" s="1210"/>
      <c r="H1" s="1210"/>
      <c r="I1" s="1210"/>
      <c r="J1" s="1210"/>
      <c r="K1" s="1210"/>
    </row>
    <row r="2" spans="1:33" s="223" customFormat="1" ht="18" customHeight="1">
      <c r="A2" s="165" t="s">
        <v>1300</v>
      </c>
      <c r="B2" s="168">
        <f ca="1">IF(C2="元",C32,ROUND(C32/10000,0))</f>
        <v>1832</v>
      </c>
      <c r="C2" s="1966" t="str">
        <f>'数据-取费表'!B3</f>
        <v>元</v>
      </c>
      <c r="D2" s="1210"/>
      <c r="E2" s="1210"/>
      <c r="F2" s="1210"/>
      <c r="G2" s="1210"/>
      <c r="H2" s="1210"/>
      <c r="I2" s="1210"/>
      <c r="J2" s="1210"/>
      <c r="K2" s="1210"/>
    </row>
    <row r="3" spans="1:33" s="223" customFormat="1" ht="18" customHeight="1" thickBot="1">
      <c r="A3" s="167" t="s">
        <v>1301</v>
      </c>
      <c r="B3" s="168" t="e">
        <f ca="1">ROUND(C32/IF(C1="仅计算典型户型",'数据-取费表'!E5,'数据-取费表'!B5),0)</f>
        <v>#DIV/0!</v>
      </c>
      <c r="C3" s="1966" t="s">
        <v>1302</v>
      </c>
      <c r="D3" s="1210"/>
      <c r="E3" s="1210"/>
      <c r="F3" s="1210"/>
      <c r="G3" s="1210"/>
      <c r="H3" s="1210"/>
      <c r="I3" s="1210"/>
      <c r="J3" s="1210"/>
      <c r="K3" s="1210"/>
    </row>
    <row r="4" spans="1:33" s="227" customFormat="1" ht="16.5" customHeight="1">
      <c r="A4" s="224" t="s">
        <v>1303</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1306</v>
      </c>
      <c r="B6" s="231" t="s">
        <v>1307</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7" t="s">
        <v>1310</v>
      </c>
      <c r="B8" s="231" t="s">
        <v>1311</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1317</v>
      </c>
      <c r="C11" s="247">
        <f>IF(C1="仅计算典型户型",'数据-取费表'!F18,'数据-取费表'!E18)</f>
        <v>0</v>
      </c>
      <c r="D11" s="248"/>
      <c r="E11" s="70"/>
      <c r="F11" s="249">
        <f>1-'数据-取费表'!E20</f>
        <v>0.35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1318</v>
      </c>
      <c r="C12" s="14">
        <f>ROUND(C11*F12,0)</f>
        <v>0</v>
      </c>
      <c r="D12" s="248"/>
      <c r="E12" s="70"/>
      <c r="F12" s="251">
        <f>'数据-取费表'!E21</f>
        <v>0.01</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1320</v>
      </c>
      <c r="C13" s="14">
        <f>ROUND(IF('数据-取费表'!B10="住宅",C11*F13,0),0)</f>
        <v>0</v>
      </c>
      <c r="D13" s="248"/>
      <c r="E13" s="70"/>
      <c r="F13" s="251">
        <f>'数据-取费表'!E22</f>
        <v>0.01</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1331</v>
      </c>
      <c r="B18" s="246" t="s">
        <v>1332</v>
      </c>
      <c r="C18" s="14">
        <f>C19+C20-'数据-取费表'!E13</f>
        <v>-1866</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1306</v>
      </c>
      <c r="B21" s="261" t="s">
        <v>1336</v>
      </c>
      <c r="C21" s="262">
        <f>C16+C17+C18</f>
        <v>-1866</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1308</v>
      </c>
      <c r="B22" s="261" t="s">
        <v>1338</v>
      </c>
      <c r="C22" s="262">
        <f>ROUND(C21*F22,0)</f>
        <v>-19</v>
      </c>
      <c r="D22" s="264"/>
      <c r="E22" s="264"/>
      <c r="F22" s="265">
        <f>'数据-取费表'!E25</f>
        <v>0.01</v>
      </c>
      <c r="G22" s="240" t="s">
        <v>1339</v>
      </c>
      <c r="H22" s="243"/>
      <c r="I22" s="243"/>
      <c r="J22" s="243"/>
      <c r="K22" s="244"/>
      <c r="L22" s="266"/>
      <c r="M22" s="266"/>
      <c r="N22" s="266"/>
    </row>
    <row r="23" spans="1:33" s="250" customFormat="1" ht="13.5" customHeight="1">
      <c r="A23" s="1305" t="s">
        <v>1310</v>
      </c>
      <c r="B23" s="261" t="s">
        <v>1340</v>
      </c>
      <c r="C23" s="262">
        <f>ROUND(C4*F23*F11,0)</f>
        <v>0</v>
      </c>
      <c r="D23" s="264"/>
      <c r="E23" s="264"/>
      <c r="F23" s="265">
        <f>'数据-取费表'!E26</f>
        <v>0.01</v>
      </c>
      <c r="G23" s="240" t="s">
        <v>1341</v>
      </c>
      <c r="H23" s="243"/>
      <c r="I23" s="243"/>
      <c r="J23" s="243"/>
      <c r="K23" s="244"/>
    </row>
    <row r="24" spans="1:33" s="250" customFormat="1" ht="13.5" customHeight="1">
      <c r="A24" s="1305"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5" t="s">
        <v>1345</v>
      </c>
      <c r="B25" s="263" t="s">
        <v>1346</v>
      </c>
      <c r="C25" s="272">
        <f ca="1">C27</f>
        <v>0</v>
      </c>
      <c r="D25" s="267">
        <f ca="1">C26</f>
        <v>0</v>
      </c>
      <c r="E25" s="273" t="s">
        <v>12</v>
      </c>
      <c r="F25" s="274">
        <f ca="1">'数据-取费表'!E27</f>
        <v>4.3499999999999997E-2</v>
      </c>
      <c r="G25" s="231" t="s">
        <v>1347</v>
      </c>
      <c r="H25" s="270"/>
      <c r="I25" s="270"/>
      <c r="J25" s="270"/>
      <c r="K25" s="271"/>
    </row>
    <row r="26" spans="1:33" s="280" customFormat="1" ht="13.5" customHeight="1">
      <c r="A26" s="1306"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5" t="s">
        <v>1352</v>
      </c>
      <c r="B28" s="282" t="s">
        <v>1353</v>
      </c>
      <c r="C28" s="283">
        <f>C30</f>
        <v>-189</v>
      </c>
      <c r="D28" s="267">
        <f>C29</f>
        <v>0.10290000000000001</v>
      </c>
      <c r="E28" s="273" t="s">
        <v>12</v>
      </c>
      <c r="F28" s="284">
        <f>'数据-取费表'!E28</f>
        <v>0.1</v>
      </c>
      <c r="G28" s="269"/>
      <c r="H28" s="270"/>
      <c r="I28" s="270"/>
      <c r="J28" s="270"/>
      <c r="K28" s="271"/>
    </row>
    <row r="29" spans="1:33" s="288" customFormat="1" ht="13.5" customHeight="1">
      <c r="A29" s="1306" t="s">
        <v>1354</v>
      </c>
      <c r="B29" s="286" t="s">
        <v>1355</v>
      </c>
      <c r="C29" s="277">
        <f>ROUND((1+C24)*F28,4)</f>
        <v>0.10290000000000001</v>
      </c>
      <c r="D29" s="277"/>
      <c r="E29" s="278"/>
      <c r="F29" s="287"/>
      <c r="G29" s="231" t="s">
        <v>1356</v>
      </c>
      <c r="H29" s="254"/>
      <c r="I29" s="254"/>
      <c r="J29" s="254"/>
      <c r="K29" s="255"/>
    </row>
    <row r="30" spans="1:33" s="288" customFormat="1" ht="13.5" customHeight="1">
      <c r="A30" s="1306" t="s">
        <v>1357</v>
      </c>
      <c r="B30" s="286" t="s">
        <v>1358</v>
      </c>
      <c r="C30" s="289">
        <f>ROUND((C21+C22+C23)*F28,0)</f>
        <v>-189</v>
      </c>
      <c r="D30" s="277"/>
      <c r="E30" s="290"/>
      <c r="F30" s="287"/>
      <c r="G30" s="231"/>
      <c r="H30" s="254"/>
      <c r="I30" s="254"/>
      <c r="J30" s="254"/>
      <c r="K30" s="255"/>
    </row>
    <row r="31" spans="1:33" s="266" customFormat="1" ht="13.5" customHeight="1" thickBot="1">
      <c r="A31" s="1968"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1832</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16" sqref="D16"/>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2" t="s">
        <v>2828</v>
      </c>
      <c r="E1" s="2703"/>
      <c r="F1" s="2704"/>
      <c r="G1" s="2705"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1580155</v>
      </c>
      <c r="C2" s="2333" t="str">
        <f>'数据-取费表'!B3</f>
        <v>元</v>
      </c>
      <c r="D2" s="1213"/>
      <c r="E2" s="1214"/>
      <c r="F2" s="1214"/>
      <c r="G2" s="1239"/>
      <c r="H2" s="729"/>
      <c r="I2" s="1215"/>
      <c r="J2" s="1215"/>
      <c r="K2" s="1216"/>
      <c r="L2" s="1215"/>
      <c r="M2" s="1215"/>
    </row>
    <row r="3" spans="1:37" ht="18" customHeight="1" thickBot="1">
      <c r="A3" s="310" t="s">
        <v>2003</v>
      </c>
      <c r="B3" s="766">
        <f ca="1">ROUND(IF('数据-取费表'!B28="租赁期内按合同租金",(C40+L47+J29)/F43,(C40+L47)/F43),0)</f>
        <v>135519</v>
      </c>
      <c r="C3" s="2333" t="s">
        <v>2093</v>
      </c>
      <c r="D3" s="1213"/>
      <c r="E3" s="1214"/>
      <c r="F3" s="1214"/>
      <c r="G3" s="1239"/>
      <c r="H3" s="311" t="s">
        <v>2094</v>
      </c>
      <c r="I3" s="1215"/>
      <c r="J3" s="1215"/>
      <c r="K3" s="1216"/>
      <c r="L3" s="1215"/>
      <c r="M3" s="1215"/>
    </row>
    <row r="4" spans="1:37" ht="18" customHeight="1">
      <c r="A4" s="312" t="s">
        <v>2095</v>
      </c>
      <c r="B4" s="313" t="s">
        <v>2096</v>
      </c>
      <c r="C4" s="313" t="s">
        <v>2097</v>
      </c>
      <c r="D4" s="313" t="s">
        <v>2098</v>
      </c>
      <c r="E4" s="314" t="s">
        <v>2099</v>
      </c>
      <c r="F4" s="315"/>
      <c r="G4" s="1237"/>
      <c r="H4" s="312" t="s">
        <v>2095</v>
      </c>
      <c r="I4" s="313" t="s">
        <v>2096</v>
      </c>
      <c r="J4" s="313" t="s">
        <v>2097</v>
      </c>
      <c r="K4" s="313" t="s">
        <v>2098</v>
      </c>
      <c r="L4" s="314" t="s">
        <v>2099</v>
      </c>
      <c r="M4" s="315"/>
    </row>
    <row r="5" spans="1:37" ht="18" customHeight="1">
      <c r="A5" s="316">
        <v>1</v>
      </c>
      <c r="B5" s="317" t="s">
        <v>2100</v>
      </c>
      <c r="C5" s="318">
        <f ca="1">C6+C10+C12</f>
        <v>29751</v>
      </c>
      <c r="D5" s="2334" t="s">
        <v>2101</v>
      </c>
      <c r="E5" s="1213"/>
      <c r="F5" s="1382"/>
      <c r="G5" s="1237"/>
      <c r="H5" s="316">
        <v>1</v>
      </c>
      <c r="I5" s="317" t="s">
        <v>2100</v>
      </c>
      <c r="J5" s="318">
        <f ca="1">J6+J10+J12</f>
        <v>0</v>
      </c>
      <c r="K5" s="2334" t="s">
        <v>2101</v>
      </c>
      <c r="L5" s="1213"/>
      <c r="M5" s="1382"/>
    </row>
    <row r="6" spans="1:37" ht="18" customHeight="1">
      <c r="A6" s="1383" t="s">
        <v>2102</v>
      </c>
      <c r="B6" s="2022" t="s">
        <v>2103</v>
      </c>
      <c r="C6" s="318">
        <f>ROUND(F6*F8*F7*(1-F9),0)</f>
        <v>29640</v>
      </c>
      <c r="D6" s="80" t="s">
        <v>2793</v>
      </c>
      <c r="E6" s="319" t="s">
        <v>2104</v>
      </c>
      <c r="F6" s="320">
        <f>'数据-取费表'!B29</f>
        <v>2600</v>
      </c>
      <c r="G6" s="1237"/>
      <c r="H6" s="1383" t="s">
        <v>2102</v>
      </c>
      <c r="I6" s="2022" t="s">
        <v>2103</v>
      </c>
      <c r="J6" s="318">
        <f>ROUND(M6*M8*M7*(1-M9),0)</f>
        <v>0</v>
      </c>
      <c r="K6" s="80" t="s">
        <v>2793</v>
      </c>
      <c r="L6" s="319" t="s">
        <v>2104</v>
      </c>
      <c r="M6" s="320">
        <f>'数据-取费表'!B36</f>
        <v>0</v>
      </c>
    </row>
    <row r="7" spans="1:37" ht="18" customHeight="1">
      <c r="A7" s="1446"/>
      <c r="B7" s="322"/>
      <c r="C7" s="323"/>
      <c r="D7" s="324"/>
      <c r="E7" s="319" t="s">
        <v>2105</v>
      </c>
      <c r="F7" s="320">
        <f>IF('数据-取费表'!B41="",IF(D1="仅计算典型户型",'数据-取费表'!E5,'数据-取费表'!B5),'数据-取费表'!B41)</f>
        <v>1</v>
      </c>
      <c r="G7" s="1237"/>
      <c r="H7" s="321"/>
      <c r="I7" s="322"/>
      <c r="J7" s="323"/>
      <c r="K7" s="324"/>
      <c r="L7" s="319" t="s">
        <v>2105</v>
      </c>
      <c r="M7" s="320">
        <f>IF('数据-取费表'!B41="",IF(D1="仅计算典型户型",'数据-取费表'!E5,'数据-取费表'!B5),'数据-取费表'!B41)</f>
        <v>1</v>
      </c>
    </row>
    <row r="8" spans="1:37" ht="18" customHeight="1">
      <c r="A8" s="1446"/>
      <c r="B8" s="322"/>
      <c r="C8" s="323"/>
      <c r="D8" s="324"/>
      <c r="E8" s="319" t="s">
        <v>2106</v>
      </c>
      <c r="F8" s="320">
        <f>'数据-取费表'!B42</f>
        <v>12</v>
      </c>
      <c r="G8" s="1237"/>
      <c r="H8" s="321"/>
      <c r="I8" s="322"/>
      <c r="J8" s="323"/>
      <c r="K8" s="324"/>
      <c r="L8" s="319" t="s">
        <v>2107</v>
      </c>
      <c r="M8" s="320">
        <f>'数据-取费表'!B42</f>
        <v>12</v>
      </c>
    </row>
    <row r="9" spans="1:37" ht="18" customHeight="1">
      <c r="A9" s="1446"/>
      <c r="B9" s="322"/>
      <c r="C9" s="323"/>
      <c r="D9" s="328"/>
      <c r="E9" s="319" t="s">
        <v>2108</v>
      </c>
      <c r="F9" s="329">
        <f>'数据-取费表'!B32</f>
        <v>0.05</v>
      </c>
      <c r="G9" s="1237"/>
      <c r="H9" s="321"/>
      <c r="I9" s="322"/>
      <c r="J9" s="1385"/>
      <c r="K9" s="95"/>
      <c r="L9" s="330" t="s">
        <v>2108</v>
      </c>
      <c r="M9" s="329">
        <f>'数据-取费表'!B38</f>
        <v>0</v>
      </c>
    </row>
    <row r="10" spans="1:37" ht="18" customHeight="1">
      <c r="A10" s="1383" t="s">
        <v>2109</v>
      </c>
      <c r="B10" s="2335" t="s">
        <v>2110</v>
      </c>
      <c r="C10" s="1384">
        <f ca="1">ROUND(IF(F10="押一",C6/12*F11,IF(F10="押二",C6/12*2*F11,IF(F10="押三",C6/12*3*F11,C11*F11))),0)</f>
        <v>111</v>
      </c>
      <c r="D10" s="2336" t="s">
        <v>2801</v>
      </c>
      <c r="E10" s="330" t="s">
        <v>2111</v>
      </c>
      <c r="F10" s="2337" t="s">
        <v>2845</v>
      </c>
      <c r="G10" s="1237"/>
      <c r="H10" s="1383" t="s">
        <v>2109</v>
      </c>
      <c r="I10" s="2335" t="s">
        <v>2110</v>
      </c>
      <c r="J10" s="1384">
        <f ca="1">ROUND(IF(M10="押一",J6/12*M11,IF(M10="押二",J6/12*2*M11,IF(M10="押三",J6/12*3*M11,J11*M11))),0)</f>
        <v>0</v>
      </c>
      <c r="K10" s="80" t="s">
        <v>2801</v>
      </c>
      <c r="L10" s="330" t="s">
        <v>2111</v>
      </c>
      <c r="M10" s="2337"/>
    </row>
    <row r="11" spans="1:37" s="341" customFormat="1" ht="18" customHeight="1">
      <c r="A11" s="348"/>
      <c r="B11" s="2338" t="s">
        <v>2112</v>
      </c>
      <c r="C11" s="1417"/>
      <c r="D11" s="324"/>
      <c r="E11" s="330" t="s">
        <v>2113</v>
      </c>
      <c r="F11" s="331">
        <f ca="1">'数据-取费表'!B30</f>
        <v>1.4999999999999999E-2</v>
      </c>
      <c r="G11" s="1238"/>
      <c r="H11" s="325"/>
      <c r="I11" s="2338" t="s">
        <v>2114</v>
      </c>
      <c r="J11" s="1417"/>
      <c r="K11" s="324"/>
      <c r="L11" s="330" t="s">
        <v>2113</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2115</v>
      </c>
      <c r="B12" s="2339" t="s">
        <v>2116</v>
      </c>
      <c r="C12" s="1424"/>
      <c r="D12" s="2340"/>
      <c r="E12" s="1430"/>
      <c r="F12" s="1425"/>
      <c r="G12" s="1237"/>
      <c r="H12" s="1423" t="s">
        <v>2115</v>
      </c>
      <c r="I12" s="2339" t="s">
        <v>2116</v>
      </c>
      <c r="J12" s="1424"/>
      <c r="K12" s="1440"/>
      <c r="L12" s="1430"/>
      <c r="M12" s="1441"/>
    </row>
    <row r="13" spans="1:37" s="341" customFormat="1" ht="18" customHeight="1" thickTop="1">
      <c r="A13" s="1419">
        <v>2</v>
      </c>
      <c r="B13" s="1420" t="s">
        <v>2117</v>
      </c>
      <c r="C13" s="327">
        <f ca="1">ROUND(C29*F13,0)</f>
        <v>15928</v>
      </c>
      <c r="D13" s="1421" t="s">
        <v>2118</v>
      </c>
      <c r="E13" s="1421" t="s">
        <v>2119</v>
      </c>
      <c r="F13" s="1422">
        <f>'数据-取费表'!E20</f>
        <v>0.65</v>
      </c>
      <c r="G13" s="1238"/>
      <c r="H13" s="1419">
        <v>2</v>
      </c>
      <c r="I13" s="1420" t="s">
        <v>2117</v>
      </c>
      <c r="J13" s="1385">
        <f ca="1">ROUND(J14*J15,0)</f>
        <v>0</v>
      </c>
      <c r="K13" s="1426" t="s">
        <v>2118</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2120</v>
      </c>
      <c r="B14" s="319" t="s">
        <v>2121</v>
      </c>
      <c r="C14" s="338">
        <f>IF(D1="仅计算典型户型",'数据-取费表'!F18,'数据-取费表'!E18)</f>
        <v>17490</v>
      </c>
      <c r="D14" s="1885" t="s">
        <v>2122</v>
      </c>
      <c r="E14" s="1886"/>
      <c r="F14" s="978"/>
      <c r="G14" s="1238"/>
      <c r="H14" s="337" t="s">
        <v>2102</v>
      </c>
      <c r="I14" s="319" t="s">
        <v>2123</v>
      </c>
      <c r="J14" s="14">
        <f ca="1">C29</f>
        <v>24504</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2124</v>
      </c>
      <c r="B15" s="319" t="s">
        <v>2125</v>
      </c>
      <c r="C15" s="14">
        <f>ROUND(C14*F15,0)</f>
        <v>175</v>
      </c>
      <c r="D15" s="339" t="s">
        <v>2126</v>
      </c>
      <c r="E15" s="339" t="s">
        <v>2127</v>
      </c>
      <c r="F15" s="340">
        <f>'数据-取费表'!E21</f>
        <v>0.01</v>
      </c>
      <c r="G15" s="1237"/>
      <c r="H15" s="1429" t="s">
        <v>2128</v>
      </c>
      <c r="I15" s="1430" t="s">
        <v>2129</v>
      </c>
      <c r="J15" s="1442">
        <f>'数据-取费表'!B39</f>
        <v>0</v>
      </c>
      <c r="K15" s="1443"/>
      <c r="L15" s="1444"/>
      <c r="M15" s="1445"/>
    </row>
    <row r="16" spans="1:37" s="341" customFormat="1" ht="18" customHeight="1" thickTop="1">
      <c r="A16" s="337" t="s">
        <v>2130</v>
      </c>
      <c r="B16" s="319" t="s">
        <v>2131</v>
      </c>
      <c r="C16" s="14">
        <f>ROUND(C14*F16,0)</f>
        <v>175</v>
      </c>
      <c r="D16" s="319" t="s">
        <v>2126</v>
      </c>
      <c r="E16" s="319" t="s">
        <v>2127</v>
      </c>
      <c r="F16" s="342">
        <f>IF('数据-取费表'!B10="住宅",'数据-取费表'!E22,0)</f>
        <v>0.01</v>
      </c>
      <c r="G16" s="1238"/>
      <c r="H16" s="1419" t="s">
        <v>14</v>
      </c>
      <c r="I16" s="1420" t="s">
        <v>2132</v>
      </c>
      <c r="J16" s="327">
        <f ca="1">ROUND(J17+J22+J23+J24,0)</f>
        <v>245</v>
      </c>
      <c r="K16" s="1426" t="s">
        <v>2133</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2134</v>
      </c>
      <c r="B17" s="319" t="s">
        <v>2135</v>
      </c>
      <c r="C17" s="14">
        <f>ROUND(F17*IF(D1="仅计算典型户型",'数据-取费表'!E5,'数据-取费表'!B5),0)</f>
        <v>2332</v>
      </c>
      <c r="D17" s="319" t="s">
        <v>2136</v>
      </c>
      <c r="E17" s="319" t="s">
        <v>2137</v>
      </c>
      <c r="F17" s="16">
        <f>'数据-取费表'!E23</f>
        <v>200</v>
      </c>
      <c r="G17" s="1238"/>
      <c r="H17" s="337" t="s">
        <v>2138</v>
      </c>
      <c r="I17" s="319" t="s">
        <v>2139</v>
      </c>
      <c r="J17" s="14">
        <f ca="1">ROUND(IF(项目基本情况!B7="自然人",J5*M17,J18+J19+J20),0)</f>
        <v>0</v>
      </c>
      <c r="K17" s="1885" t="s">
        <v>2140</v>
      </c>
      <c r="L17" s="1890" t="s">
        <v>2141</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2142</v>
      </c>
      <c r="B18" s="319" t="s">
        <v>2143</v>
      </c>
      <c r="C18" s="14">
        <f>ROUND(C14*F18,0)</f>
        <v>262</v>
      </c>
      <c r="D18" s="319" t="s">
        <v>2126</v>
      </c>
      <c r="E18" s="319" t="s">
        <v>2127</v>
      </c>
      <c r="F18" s="342">
        <f>'数据-取费表'!E24</f>
        <v>1.4999999999999999E-2</v>
      </c>
      <c r="G18" s="1237"/>
      <c r="H18" s="337" t="s">
        <v>2144</v>
      </c>
      <c r="I18" s="319" t="s">
        <v>2145</v>
      </c>
      <c r="J18" s="14" t="str">
        <f>IF(项目基本情况!B7="自然人","——",ROUND(J5*M18/(1+'数据-取费表'!F30),0))</f>
        <v>——</v>
      </c>
      <c r="K18" s="1890" t="s">
        <v>2146</v>
      </c>
      <c r="L18" s="319" t="s">
        <v>2127</v>
      </c>
      <c r="M18" s="342">
        <f>'数据-取费表'!E29</f>
        <v>5.6000000000000001E-2</v>
      </c>
    </row>
    <row r="19" spans="1:37" s="341" customFormat="1" ht="18" customHeight="1">
      <c r="A19" s="337" t="s">
        <v>2138</v>
      </c>
      <c r="B19" s="319" t="s">
        <v>2147</v>
      </c>
      <c r="C19" s="14">
        <f>SUM(C14:C18)</f>
        <v>20434</v>
      </c>
      <c r="D19" s="56" t="s">
        <v>2148</v>
      </c>
      <c r="E19" s="1895"/>
      <c r="F19" s="16"/>
      <c r="G19" s="1238"/>
      <c r="H19" s="337" t="s">
        <v>2124</v>
      </c>
      <c r="I19" s="319" t="s">
        <v>2149</v>
      </c>
      <c r="J19" s="14" t="str">
        <f>IF(项目基本情况!B7="自然人","——",IF(K19="按租金收入计税",ROUND(J5*M19,1),ROUND(C29*M19*0.7,1)))</f>
        <v>——</v>
      </c>
      <c r="K19" s="2011" t="s">
        <v>2150</v>
      </c>
      <c r="L19" s="319" t="s">
        <v>2127</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204</v>
      </c>
      <c r="D20" s="344" t="s">
        <v>2152</v>
      </c>
      <c r="E20" s="319" t="s">
        <v>2153</v>
      </c>
      <c r="F20" s="342">
        <f>'数据-取费表'!E25</f>
        <v>0.01</v>
      </c>
      <c r="G20" s="1238"/>
      <c r="H20" s="337" t="s">
        <v>2130</v>
      </c>
      <c r="I20" s="80" t="s">
        <v>2154</v>
      </c>
      <c r="J20" s="15" t="str">
        <f>IF(项目基本情况!B7="自然人","——",ROUND(M20*M21,0))</f>
        <v>——</v>
      </c>
      <c r="K20" s="346" t="s">
        <v>2155</v>
      </c>
      <c r="L20" s="319" t="s">
        <v>2156</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0.01</v>
      </c>
      <c r="D21" s="344" t="s">
        <v>2159</v>
      </c>
      <c r="E21" s="319" t="s">
        <v>2160</v>
      </c>
      <c r="F21" s="342">
        <f>'数据-取费表'!E26</f>
        <v>0.01</v>
      </c>
      <c r="G21" s="1237"/>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单利计息。建造成本、管理费用、销售费用产生的利息。</v>
      </c>
      <c r="E22" s="1895"/>
      <c r="F22" s="16"/>
      <c r="G22" s="1237"/>
      <c r="H22" s="337" t="s">
        <v>2128</v>
      </c>
      <c r="I22" s="319" t="s">
        <v>2164</v>
      </c>
      <c r="J22" s="14">
        <f ca="1">ROUND(J14*M22,0)</f>
        <v>245</v>
      </c>
      <c r="K22" s="1890" t="s">
        <v>2165</v>
      </c>
      <c r="L22" s="319" t="s">
        <v>2127</v>
      </c>
      <c r="M22" s="350">
        <f>'数据-取费表'!B44</f>
        <v>0.01</v>
      </c>
    </row>
    <row r="23" spans="1:37" ht="18" customHeight="1">
      <c r="A23" s="337" t="s">
        <v>2144</v>
      </c>
      <c r="B23" s="319" t="s">
        <v>2166</v>
      </c>
      <c r="C23" s="14">
        <f ca="1">IF('数据-取费表'!B23&lt;=1,ROUND(C19*F24*F23/2,0)+ROUND(C20*F24*F23/2,0),ROUND(C19*(POWER((1+F24),F23/2)-1),0)+ROUND(C20*(POWER((1+F24),F23/2)-1),0))</f>
        <v>224</v>
      </c>
      <c r="D23" s="2005" t="str">
        <f>IF(F23&lt;=1,"(建造成本+管理费用)×利率×(建设周期÷2)","(建造成本+管理费用)×((1+利率)^(建设周期÷2)-1)")</f>
        <v>(建造成本+管理费用)×利率×(建设周期÷2)</v>
      </c>
      <c r="E23" s="319" t="s">
        <v>2167</v>
      </c>
      <c r="F23" s="347">
        <f>'数据-取费表'!B21</f>
        <v>0.5</v>
      </c>
      <c r="G23" s="1237"/>
      <c r="H23" s="337" t="s">
        <v>2157</v>
      </c>
      <c r="I23" s="319" t="s">
        <v>2168</v>
      </c>
      <c r="J23" s="14">
        <f ca="1">ROUND(J13*M23,0)</f>
        <v>0</v>
      </c>
      <c r="K23" s="1890" t="s">
        <v>2169</v>
      </c>
      <c r="L23" s="319" t="s">
        <v>2170</v>
      </c>
      <c r="M23" s="351">
        <f>'数据-取费表'!B45</f>
        <v>1E-3</v>
      </c>
    </row>
    <row r="24" spans="1:37" s="341" customFormat="1" ht="18" customHeight="1" thickBot="1">
      <c r="A24" s="337" t="s">
        <v>2171</v>
      </c>
      <c r="B24" s="319" t="s">
        <v>2172</v>
      </c>
      <c r="C24" s="14">
        <f ca="1">ROUND(IF('数据-取费表'!B23&lt;=1,F21*F24*F23/2,F21*(POWER((1+F24),F23/2)-1)),4)</f>
        <v>1E-4</v>
      </c>
      <c r="D24" s="2005" t="str">
        <f>IF(F23&lt;=1,"销售费用×利率×(建设周期÷2)","销售费用×((1+利率)^(建设周期÷2)-1)")</f>
        <v>销售费用×利率×(建设周期÷2)</v>
      </c>
      <c r="E24" s="319" t="s">
        <v>2173</v>
      </c>
      <c r="F24" s="352">
        <f ca="1">'数据-取费表'!E27</f>
        <v>4.3499999999999997E-2</v>
      </c>
      <c r="G24" s="1238"/>
      <c r="H24" s="1429" t="s">
        <v>2162</v>
      </c>
      <c r="I24" s="1430" t="s">
        <v>2151</v>
      </c>
      <c r="J24" s="1431">
        <f ca="1">ROUND(J5*M24,0)</f>
        <v>0</v>
      </c>
      <c r="K24" s="1432" t="s">
        <v>2174</v>
      </c>
      <c r="L24" s="1430" t="s">
        <v>2170</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5"/>
      <c r="F25" s="16"/>
      <c r="G25" s="1238"/>
      <c r="H25" s="1419" t="s">
        <v>22</v>
      </c>
      <c r="I25" s="1434" t="s">
        <v>2178</v>
      </c>
      <c r="J25" s="327">
        <f ca="1">J5-J16</f>
        <v>-245</v>
      </c>
      <c r="K25" s="1435" t="s">
        <v>2179</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2120</v>
      </c>
      <c r="B26" s="319" t="s">
        <v>2180</v>
      </c>
      <c r="C26" s="14">
        <f>ROUND((C19+C20)*F26,0)</f>
        <v>2064</v>
      </c>
      <c r="D26" s="344" t="s">
        <v>2181</v>
      </c>
      <c r="E26" s="330" t="s">
        <v>2182</v>
      </c>
      <c r="F26" s="329">
        <f>'数据-取费表'!E28</f>
        <v>0.1</v>
      </c>
      <c r="G26" s="791"/>
      <c r="H26" s="316" t="s">
        <v>23</v>
      </c>
      <c r="I26" s="317" t="s">
        <v>2183</v>
      </c>
      <c r="J26" s="318">
        <f ca="1">IF(J5&lt;&gt;0,ROUND(J25*(1-((1+M28)/(1+M26))^M27)/(M26-M28),0),0)</f>
        <v>0</v>
      </c>
      <c r="K26" s="346" t="s">
        <v>2184</v>
      </c>
      <c r="L26" s="319" t="s">
        <v>2185</v>
      </c>
      <c r="M26" s="329">
        <f>'数据-取费表'!B16</f>
        <v>4.4999999999999998E-2</v>
      </c>
    </row>
    <row r="27" spans="1:37" ht="18" customHeight="1">
      <c r="A27" s="337" t="s">
        <v>2186</v>
      </c>
      <c r="B27" s="319" t="s">
        <v>2187</v>
      </c>
      <c r="C27" s="14">
        <f>ROUND(F21*F26,4)</f>
        <v>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9" t="s">
        <v>2195</v>
      </c>
      <c r="B29" s="1430" t="s">
        <v>2196</v>
      </c>
      <c r="C29" s="1431">
        <f ca="1">ROUND((C19+C20+C23+C26)/(1-F21-C24-C27-C28),0)</f>
        <v>24504</v>
      </c>
      <c r="D29" s="1432"/>
      <c r="E29" s="1430"/>
      <c r="F29" s="1433"/>
      <c r="G29" s="791"/>
      <c r="H29" s="356" t="s">
        <v>24</v>
      </c>
      <c r="I29" s="357" t="s">
        <v>2197</v>
      </c>
      <c r="J29" s="358">
        <f ca="1">ROUND(J26/(1+F40)^F41,0)</f>
        <v>0</v>
      </c>
      <c r="K29" s="359" t="s">
        <v>2198</v>
      </c>
      <c r="L29" s="360"/>
      <c r="M29" s="361">
        <f>IF(D1="仅计算典型户型",'数据-取费表'!E5,'数据-取费表'!B5)</f>
        <v>11.66</v>
      </c>
    </row>
    <row r="30" spans="1:37" ht="18" customHeight="1" thickTop="1">
      <c r="A30" s="1419" t="s">
        <v>14</v>
      </c>
      <c r="B30" s="1420" t="s">
        <v>2199</v>
      </c>
      <c r="C30" s="327">
        <f ca="1">ROUND(C31+C36+C37+C38,0)</f>
        <v>2047</v>
      </c>
      <c r="D30" s="1426" t="s">
        <v>2200</v>
      </c>
      <c r="E30" s="1427"/>
      <c r="F30" s="1428"/>
      <c r="G30" s="791"/>
      <c r="H30" s="1217"/>
      <c r="I30" s="1218"/>
      <c r="J30" s="1219"/>
      <c r="K30" s="1220"/>
      <c r="L30" s="1221"/>
      <c r="M30" s="1222"/>
    </row>
    <row r="31" spans="1:37" ht="18" customHeight="1">
      <c r="A31" s="337" t="s">
        <v>2102</v>
      </c>
      <c r="B31" s="319" t="s">
        <v>2139</v>
      </c>
      <c r="C31" s="14">
        <f ca="1">ROUND(IF(项目基本情况!B7="自然人",C5*F31,C32+C33+C34),1)</f>
        <v>1487.6</v>
      </c>
      <c r="D31" s="1885" t="s">
        <v>2201</v>
      </c>
      <c r="E31" s="1890" t="s">
        <v>2202</v>
      </c>
      <c r="F31" s="343">
        <f>IF(项目基本情况!B7="企业","",IF('数据-取费表'!B10="住宅",5%,IF(F6*F7*F8/12/(1+'数据-取费表'!F30)&gt;20000,12%,7%)))</f>
        <v>0.05</v>
      </c>
      <c r="G31" s="791"/>
      <c r="H31" s="1217"/>
      <c r="I31" s="1218"/>
      <c r="J31" s="1219"/>
      <c r="K31" s="1220"/>
      <c r="L31" s="1221"/>
      <c r="M31" s="1222"/>
    </row>
    <row r="32" spans="1:37" ht="18" customHeight="1">
      <c r="A32" s="337" t="s">
        <v>2120</v>
      </c>
      <c r="B32" s="319" t="s">
        <v>2203</v>
      </c>
      <c r="C32" s="14" t="str">
        <f>IF(项目基本情况!B7="自然人","——",ROUND(C5*F32/(1+'数据-取费表'!F30),0))</f>
        <v>——</v>
      </c>
      <c r="D32" s="1890" t="s">
        <v>2204</v>
      </c>
      <c r="E32" s="319" t="s">
        <v>2153</v>
      </c>
      <c r="F32" s="352">
        <f>'数据-取费表'!E29</f>
        <v>5.6000000000000001E-2</v>
      </c>
      <c r="G32" s="791"/>
      <c r="H32" s="1223"/>
      <c r="I32" s="1224"/>
      <c r="J32" s="1225"/>
      <c r="K32" s="1226"/>
      <c r="L32" s="1227"/>
      <c r="M32" s="1228"/>
    </row>
    <row r="33" spans="1:18" ht="18" customHeight="1">
      <c r="A33" s="337" t="s">
        <v>2124</v>
      </c>
      <c r="B33" s="319" t="s">
        <v>2149</v>
      </c>
      <c r="C33" s="14" t="str">
        <f>IF(项目基本情况!B7="自然人","——",IF(D33="按租金收入计税",ROUND(C5*F33,1),IF(D33="按房产原值计税",ROUND(C29*F33*0.7,1),'数据-取费表'!B43)))</f>
        <v>——</v>
      </c>
      <c r="D33" s="2011" t="s">
        <v>2150</v>
      </c>
      <c r="E33" s="319" t="s">
        <v>2127</v>
      </c>
      <c r="F33" s="342">
        <f>IF(D33="按票据","——",IF(D33="按租金收入计税",'数据-取费表'!E39,'数据-取费表'!E38))</f>
        <v>1.2E-2</v>
      </c>
      <c r="G33" s="791"/>
      <c r="H33" s="1229"/>
      <c r="I33" s="363" t="s">
        <v>2205</v>
      </c>
      <c r="J33" s="364"/>
      <c r="K33" s="1230"/>
      <c r="L33" s="1229"/>
      <c r="M33" s="1229"/>
    </row>
    <row r="34" spans="1:18" ht="18" customHeight="1">
      <c r="A34" s="1383" t="s">
        <v>2130</v>
      </c>
      <c r="B34" s="80" t="s">
        <v>2154</v>
      </c>
      <c r="C34" s="15" t="str">
        <f>IF(项目基本情况!B7="自然人","——",ROUND(F34*F35,0))</f>
        <v>——</v>
      </c>
      <c r="D34" s="346" t="s">
        <v>2155</v>
      </c>
      <c r="E34" s="319" t="s">
        <v>2156</v>
      </c>
      <c r="F34" s="347">
        <f>'数据-取费表'!E40</f>
        <v>0</v>
      </c>
      <c r="G34" s="791"/>
      <c r="H34" s="1217"/>
      <c r="I34" s="365" t="s">
        <v>2206</v>
      </c>
      <c r="J34" s="366">
        <f ca="1">ROUND(C13*J35,0)</f>
        <v>1274</v>
      </c>
      <c r="K34" s="1231"/>
      <c r="L34" s="1232"/>
      <c r="M34" s="1232"/>
    </row>
    <row r="35" spans="1:18" ht="24.6" customHeight="1">
      <c r="A35" s="1387"/>
      <c r="B35" s="328"/>
      <c r="C35" s="19"/>
      <c r="D35" s="349"/>
      <c r="E35" s="319" t="s">
        <v>2161</v>
      </c>
      <c r="F35" s="320">
        <f>IF(D1="仅计算典型户型",'数据-取费表'!E6,'数据-取费表'!B6)</f>
        <v>0</v>
      </c>
      <c r="G35" s="791"/>
      <c r="H35" s="1217"/>
      <c r="I35" s="367" t="s">
        <v>2207</v>
      </c>
      <c r="J35" s="368">
        <f>'数据-取费表'!B17</f>
        <v>0.08</v>
      </c>
      <c r="K35" s="1230"/>
      <c r="L35" s="1229"/>
      <c r="M35" s="1229"/>
    </row>
    <row r="36" spans="1:18" ht="18" customHeight="1">
      <c r="A36" s="1386" t="s">
        <v>2109</v>
      </c>
      <c r="B36" s="319" t="s">
        <v>2208</v>
      </c>
      <c r="C36" s="14">
        <f ca="1">ROUND(C29*F36,0)</f>
        <v>245</v>
      </c>
      <c r="D36" s="1890" t="s">
        <v>2209</v>
      </c>
      <c r="E36" s="319" t="s">
        <v>2153</v>
      </c>
      <c r="F36" s="350">
        <f>'数据-取费表'!B44</f>
        <v>0.01</v>
      </c>
      <c r="G36" s="791"/>
      <c r="H36" s="1229"/>
      <c r="I36" s="369" t="s">
        <v>2210</v>
      </c>
      <c r="J36" s="370"/>
      <c r="K36" s="1233"/>
      <c r="L36" s="1229"/>
      <c r="M36" s="1229"/>
    </row>
    <row r="37" spans="1:18" ht="18" customHeight="1">
      <c r="A37" s="337" t="s">
        <v>2157</v>
      </c>
      <c r="B37" s="319" t="s">
        <v>2168</v>
      </c>
      <c r="C37" s="14">
        <f ca="1">ROUND(C13*F37,0)</f>
        <v>16</v>
      </c>
      <c r="D37" s="1890" t="s">
        <v>2169</v>
      </c>
      <c r="E37" s="319" t="s">
        <v>2170</v>
      </c>
      <c r="F37" s="351">
        <f>'数据-取费表'!B45</f>
        <v>1E-3</v>
      </c>
      <c r="G37" s="791"/>
      <c r="H37" s="1229"/>
      <c r="I37" s="216" t="s">
        <v>2211</v>
      </c>
      <c r="J37" s="371"/>
      <c r="K37" s="1233"/>
      <c r="L37" s="1229"/>
      <c r="M37" s="1229"/>
    </row>
    <row r="38" spans="1:18" ht="18" customHeight="1" thickBot="1">
      <c r="A38" s="1429" t="s">
        <v>2162</v>
      </c>
      <c r="B38" s="1430" t="s">
        <v>2151</v>
      </c>
      <c r="C38" s="1431">
        <f ca="1">ROUND(C5*F38,0)</f>
        <v>298</v>
      </c>
      <c r="D38" s="1432" t="s">
        <v>2174</v>
      </c>
      <c r="E38" s="1430" t="s">
        <v>2170</v>
      </c>
      <c r="F38" s="1425">
        <f>'数据-取费表'!B46</f>
        <v>0.01</v>
      </c>
      <c r="G38" s="791"/>
      <c r="H38" s="1229"/>
      <c r="I38" s="365" t="s">
        <v>2212</v>
      </c>
      <c r="J38" s="220">
        <f ca="1">ROUND(J34/C39,3)</f>
        <v>4.5999999999999999E-2</v>
      </c>
      <c r="K38" s="1234"/>
      <c r="L38" s="1229"/>
      <c r="M38" s="1229"/>
    </row>
    <row r="39" spans="1:18" ht="18" customHeight="1" thickTop="1">
      <c r="A39" s="1419" t="s">
        <v>22</v>
      </c>
      <c r="B39" s="1434" t="s">
        <v>2213</v>
      </c>
      <c r="C39" s="327">
        <f ca="1">C5-C30</f>
        <v>27704</v>
      </c>
      <c r="D39" s="1435" t="s">
        <v>2214</v>
      </c>
      <c r="E39" s="1436"/>
      <c r="F39" s="1437"/>
      <c r="G39" s="791"/>
      <c r="H39" s="1229"/>
      <c r="I39" s="365" t="s">
        <v>2215</v>
      </c>
      <c r="J39" s="220">
        <f ca="1">1-J38</f>
        <v>0.95399999999999996</v>
      </c>
      <c r="K39" s="1234"/>
      <c r="L39" s="1229"/>
      <c r="M39" s="1229"/>
    </row>
    <row r="40" spans="1:18" s="791" customFormat="1" ht="18" customHeight="1">
      <c r="A40" s="316" t="s">
        <v>23</v>
      </c>
      <c r="B40" s="317" t="s">
        <v>2216</v>
      </c>
      <c r="C40" s="318">
        <f ca="1">ROUND(C39*(1-((1+F42)/(1+F40))^F41)/(F40-F42),0)</f>
        <v>1580155</v>
      </c>
      <c r="D40" s="346" t="s">
        <v>2184</v>
      </c>
      <c r="E40" s="319" t="s">
        <v>2185</v>
      </c>
      <c r="F40" s="329">
        <f>'数据-取费表'!B16</f>
        <v>4.4999999999999998E-2</v>
      </c>
      <c r="H40" s="1235"/>
      <c r="I40" s="216" t="s">
        <v>2217</v>
      </c>
      <c r="J40" s="217"/>
      <c r="K40" s="1234"/>
      <c r="L40" s="1235"/>
      <c r="M40" s="1235"/>
      <c r="Q40" s="795"/>
    </row>
    <row r="41" spans="1:18" s="791" customFormat="1" ht="18" customHeight="1">
      <c r="A41" s="321"/>
      <c r="B41" s="322"/>
      <c r="C41" s="323"/>
      <c r="D41" s="354" t="s">
        <v>2218</v>
      </c>
      <c r="E41" s="1823" t="s">
        <v>2831</v>
      </c>
      <c r="F41" s="355">
        <f>IF('数据-取费表'!B28="租赁期内按合同租金",'数据-取费表'!B34,IF(E41="收益年期(n)",'数据-取费表'!B33,'数据-取费表'!B13))</f>
        <v>70</v>
      </c>
      <c r="H41" s="1236"/>
      <c r="I41" s="219" t="s">
        <v>2090</v>
      </c>
      <c r="J41" s="220">
        <f ca="1">ROUND(C13/C40,3)</f>
        <v>0.01</v>
      </c>
      <c r="K41" s="1233"/>
      <c r="L41" s="1236"/>
      <c r="M41" s="1236"/>
      <c r="Q41" s="795"/>
    </row>
    <row r="42" spans="1:18" s="791" customFormat="1" ht="18" customHeight="1">
      <c r="A42" s="325"/>
      <c r="B42" s="326"/>
      <c r="C42" s="327"/>
      <c r="D42" s="349"/>
      <c r="E42" s="319" t="s">
        <v>2194</v>
      </c>
      <c r="F42" s="329">
        <f>'数据-取费表'!B31</f>
        <v>0.04</v>
      </c>
      <c r="H42" s="1236"/>
      <c r="I42" s="219" t="s">
        <v>2091</v>
      </c>
      <c r="J42" s="221">
        <f ca="1">1-J41</f>
        <v>0.99</v>
      </c>
      <c r="K42" s="1233"/>
      <c r="L42" s="1236"/>
      <c r="M42" s="1236"/>
      <c r="Q42" s="795"/>
    </row>
    <row r="43" spans="1:18" s="791" customFormat="1" ht="18" customHeight="1" thickBot="1">
      <c r="A43" s="356" t="s">
        <v>24</v>
      </c>
      <c r="B43" s="357" t="s">
        <v>2219</v>
      </c>
      <c r="C43" s="358">
        <f ca="1">ROUND(C40/F43,0)</f>
        <v>135519</v>
      </c>
      <c r="D43" s="359" t="s">
        <v>2220</v>
      </c>
      <c r="E43" s="360" t="s">
        <v>2221</v>
      </c>
      <c r="F43" s="361">
        <f>IF(D1="仅计算典型户型",'数据-取费表'!E5,'数据-取费表'!B5)</f>
        <v>11.66</v>
      </c>
      <c r="G43" s="793"/>
      <c r="H43" s="1236"/>
      <c r="I43" s="1236"/>
      <c r="J43" s="1236"/>
      <c r="K43" s="1233"/>
      <c r="L43" s="1236"/>
      <c r="M43" s="1236"/>
      <c r="O43" s="1360" t="s">
        <v>2222</v>
      </c>
      <c r="P43" s="1361"/>
      <c r="Q43" s="1357"/>
      <c r="R43" s="1361"/>
    </row>
    <row r="44" spans="1:18" s="791" customFormat="1" ht="18" customHeight="1" thickBot="1">
      <c r="A44" s="776"/>
      <c r="B44" s="776"/>
      <c r="C44" s="790"/>
      <c r="D44" s="776"/>
      <c r="E44" s="776"/>
      <c r="F44" s="776"/>
      <c r="G44" s="793"/>
      <c r="K44" s="792"/>
      <c r="O44" s="1362" t="s">
        <v>2223</v>
      </c>
      <c r="P44" s="1363" t="s">
        <v>2224</v>
      </c>
      <c r="Q44" s="1364" t="s">
        <v>2225</v>
      </c>
      <c r="R44" s="1365" t="s">
        <v>2226</v>
      </c>
    </row>
    <row r="45" spans="1:18" s="791" customFormat="1" ht="18" customHeight="1" thickBot="1">
      <c r="A45" s="776"/>
      <c r="B45" s="776"/>
      <c r="C45" s="790"/>
      <c r="D45" s="776"/>
      <c r="E45" s="776"/>
      <c r="F45" s="776"/>
      <c r="G45" s="794"/>
      <c r="K45" s="792"/>
      <c r="O45" s="1366" t="s">
        <v>955</v>
      </c>
      <c r="P45" s="1367" t="s">
        <v>2227</v>
      </c>
      <c r="Q45" s="1368">
        <f ca="1">C40+J29</f>
        <v>1580155</v>
      </c>
      <c r="R45" s="1369" t="s">
        <v>2228</v>
      </c>
    </row>
    <row r="46" spans="1:18" s="791" customFormat="1" ht="18" customHeight="1" thickBot="1">
      <c r="A46" s="776"/>
      <c r="D46" s="776"/>
      <c r="E46" s="776"/>
      <c r="F46" s="776"/>
      <c r="K46" s="792"/>
      <c r="O46" s="1366" t="s">
        <v>956</v>
      </c>
      <c r="P46" s="1367" t="s">
        <v>2229</v>
      </c>
      <c r="Q46" s="1368" t="str">
        <f>J61</f>
        <v>0</v>
      </c>
      <c r="R46" s="1369" t="s">
        <v>2230</v>
      </c>
    </row>
    <row r="47" spans="1:18" s="791" customFormat="1" ht="21.75" thickBot="1">
      <c r="A47" s="2341" t="s">
        <v>2231</v>
      </c>
      <c r="C47" s="1302">
        <f ca="1">IF(C2="元",C69-C40,ROUND((C69-C40)/10000,0))</f>
        <v>-1585689</v>
      </c>
      <c r="D47" s="2342" t="str">
        <f>C2</f>
        <v>元</v>
      </c>
      <c r="E47" s="776"/>
      <c r="F47" s="776"/>
      <c r="I47" s="2343" t="s">
        <v>2232</v>
      </c>
      <c r="J47" s="1342"/>
      <c r="K47" s="1343"/>
      <c r="L47" s="1356">
        <f>IF(M48="住宅",0,IF(L49&gt;J52,L61,J61))</f>
        <v>0</v>
      </c>
      <c r="O47" s="1370" t="s">
        <v>957</v>
      </c>
      <c r="P47" s="1367" t="s">
        <v>2233</v>
      </c>
      <c r="Q47" s="1368">
        <f ca="1">C29</f>
        <v>24504</v>
      </c>
      <c r="R47" s="1369" t="s">
        <v>2228</v>
      </c>
    </row>
    <row r="48" spans="1:18" s="791" customFormat="1" ht="15.75" thickBot="1">
      <c r="A48" s="312" t="s">
        <v>2234</v>
      </c>
      <c r="B48" s="313" t="s">
        <v>2235</v>
      </c>
      <c r="C48" s="313" t="s">
        <v>2236</v>
      </c>
      <c r="D48" s="313" t="s">
        <v>2237</v>
      </c>
      <c r="E48" s="1296" t="s">
        <v>2238</v>
      </c>
      <c r="F48" s="1297"/>
      <c r="I48" s="2344" t="s">
        <v>2239</v>
      </c>
      <c r="J48" s="2345" t="s">
        <v>2832</v>
      </c>
      <c r="K48" s="2346" t="s">
        <v>2240</v>
      </c>
      <c r="L48" s="1344">
        <f>'数据-取费表'!B11</f>
        <v>70</v>
      </c>
      <c r="M48" s="1357" t="str">
        <f>IF('数据-取费表'!B10="住宅","住宅","非住宅")</f>
        <v>住宅</v>
      </c>
      <c r="O48" s="1370" t="s">
        <v>958</v>
      </c>
      <c r="P48" s="1367" t="s">
        <v>2241</v>
      </c>
      <c r="Q48" s="1371" t="e">
        <f>J59</f>
        <v>#VALUE!</v>
      </c>
      <c r="R48" s="1369"/>
    </row>
    <row r="49" spans="1:18" s="791" customFormat="1" ht="15.75" thickBot="1">
      <c r="A49" s="1456" t="s">
        <v>1028</v>
      </c>
      <c r="B49" s="317" t="s">
        <v>2242</v>
      </c>
      <c r="C49" s="1457">
        <f ca="1">C50+C54+C56</f>
        <v>0</v>
      </c>
      <c r="D49" s="1458"/>
      <c r="E49" s="101"/>
      <c r="F49" s="16"/>
      <c r="I49" s="2347" t="s">
        <v>2243</v>
      </c>
      <c r="J49" s="2348" t="s">
        <v>2833</v>
      </c>
      <c r="K49" s="2349" t="s">
        <v>2244</v>
      </c>
      <c r="L49" s="1127">
        <f>'数据-取费表'!B13</f>
        <v>70</v>
      </c>
      <c r="O49" s="1370" t="s">
        <v>959</v>
      </c>
      <c r="P49" s="1367" t="s">
        <v>2245</v>
      </c>
      <c r="Q49" s="1371">
        <f>J53</f>
        <v>0</v>
      </c>
      <c r="R49" s="1369"/>
    </row>
    <row r="50" spans="1:18" s="791" customFormat="1" ht="15.75" thickBot="1">
      <c r="A50" s="345" t="s">
        <v>2102</v>
      </c>
      <c r="B50" s="2022" t="s">
        <v>2246</v>
      </c>
      <c r="C50" s="318">
        <f>ROUND(F50*F52*F51*(1-F53),0)</f>
        <v>0</v>
      </c>
      <c r="D50" s="93" t="s">
        <v>2794</v>
      </c>
      <c r="E50" s="2350" t="s">
        <v>2247</v>
      </c>
      <c r="F50" s="1298"/>
      <c r="I50" s="2347" t="s">
        <v>2248</v>
      </c>
      <c r="J50" s="1127">
        <f>'数据-取费表'!B26</f>
        <v>0</v>
      </c>
      <c r="K50" s="2351" t="s">
        <v>2249</v>
      </c>
      <c r="L50" s="1345"/>
      <c r="O50" s="1370" t="s">
        <v>960</v>
      </c>
      <c r="P50" s="1367" t="s">
        <v>2250</v>
      </c>
      <c r="Q50" s="1368">
        <f>J54</f>
        <v>69.5</v>
      </c>
      <c r="R50" s="1369" t="s">
        <v>2251</v>
      </c>
    </row>
    <row r="51" spans="1:18" s="791" customFormat="1" ht="15.75" thickBot="1">
      <c r="A51" s="321"/>
      <c r="B51" s="322"/>
      <c r="C51" s="323"/>
      <c r="D51" s="324"/>
      <c r="E51" s="339" t="s">
        <v>2105</v>
      </c>
      <c r="F51" s="1295">
        <f>F7</f>
        <v>1</v>
      </c>
      <c r="I51" s="2347" t="s">
        <v>2252</v>
      </c>
      <c r="J51" s="1346">
        <f>SUMPRODUCT((I64:I66=J48)*(J63:L63=J49)*(J64:L66))</f>
        <v>50</v>
      </c>
      <c r="K51" s="2351" t="s">
        <v>2253</v>
      </c>
      <c r="L51" s="1345"/>
      <c r="O51" s="1366" t="s">
        <v>961</v>
      </c>
      <c r="P51" s="1367" t="str">
        <f>IF(C2="元","收益价值(元)","收益价值(万元)")</f>
        <v>收益价值(元)</v>
      </c>
      <c r="Q51" s="1368">
        <f ca="1">ROUND(IF(C2="元",Q45+Q46,(Q45+Q46)/10000),0)</f>
        <v>1580155</v>
      </c>
      <c r="R51" s="1369" t="s">
        <v>962</v>
      </c>
    </row>
    <row r="52" spans="1:18" s="791" customFormat="1" ht="16.5" thickBot="1">
      <c r="A52" s="321"/>
      <c r="B52" s="322"/>
      <c r="C52" s="323"/>
      <c r="D52" s="324"/>
      <c r="E52" s="319" t="s">
        <v>2107</v>
      </c>
      <c r="F52" s="320">
        <f>F8</f>
        <v>12</v>
      </c>
      <c r="I52" s="2352" t="s">
        <v>2254</v>
      </c>
      <c r="J52" s="1347">
        <f>IF(J50="",J51,J50+J51-YEAR('数据-取费表'!B2))</f>
        <v>-1968</v>
      </c>
      <c r="K52" s="2353" t="s">
        <v>2255</v>
      </c>
      <c r="L52" s="1348">
        <f ca="1">ROUND(-PV('数据-取费表'!B15,L49,(C40-C13*J35)),0)</f>
        <v>36937150</v>
      </c>
      <c r="O52" s="1360" t="s">
        <v>2256</v>
      </c>
      <c r="P52" s="1361"/>
      <c r="Q52" s="1357"/>
      <c r="R52" s="1361"/>
    </row>
    <row r="53" spans="1:18" s="791" customFormat="1" ht="15.75" thickBot="1">
      <c r="A53" s="325"/>
      <c r="B53" s="326"/>
      <c r="C53" s="327"/>
      <c r="D53" s="328"/>
      <c r="E53" s="319" t="s">
        <v>2108</v>
      </c>
      <c r="F53" s="1355"/>
      <c r="I53" s="2354" t="s">
        <v>2257</v>
      </c>
      <c r="J53" s="1349"/>
      <c r="K53" s="2354" t="s">
        <v>2258</v>
      </c>
      <c r="L53" s="1349"/>
      <c r="O53" s="1362" t="s">
        <v>2223</v>
      </c>
      <c r="P53" s="1363" t="s">
        <v>2224</v>
      </c>
      <c r="Q53" s="1364" t="s">
        <v>2225</v>
      </c>
      <c r="R53" s="1365" t="s">
        <v>2226</v>
      </c>
    </row>
    <row r="54" spans="1:18" s="791" customFormat="1" ht="29.25" customHeight="1" thickBot="1">
      <c r="A54" s="1383" t="s">
        <v>2109</v>
      </c>
      <c r="B54" s="2335" t="s">
        <v>2110</v>
      </c>
      <c r="C54" s="1384">
        <f ca="1">ROUND(IF(F54="押一",C50/12*F11,IF(F54="押二",C50/12*2*F11,IF(F54="押三",C50/12*3*F11,C55*F11))),0)</f>
        <v>0</v>
      </c>
      <c r="D54" s="2336" t="s">
        <v>2802</v>
      </c>
      <c r="E54" s="330" t="s">
        <v>2111</v>
      </c>
      <c r="F54" s="2337"/>
      <c r="I54" s="2725" t="s">
        <v>2804</v>
      </c>
      <c r="J54" s="1350">
        <f>IF(M48="住宅",IF(E1="——",MAX(J52,L49),IF(E1="在建（套用方法）",MAX(J52,L49-'数据-取费表'!B25),MAX(J52,L49-'数据-取费表'!B21))),IF(E1="——",MIN(J52,L49),IF(E1="在建（套用方法）",MIN(J52,L49-'数据-取费表'!B25),IF(E1="土地（套用方法）",MIN(J52,L49-'数据-取费表'!B21)))))</f>
        <v>69.5</v>
      </c>
      <c r="K54" s="2969" t="s">
        <v>2792</v>
      </c>
      <c r="L54" s="2970"/>
      <c r="O54" s="1366" t="s">
        <v>955</v>
      </c>
      <c r="P54" s="1367" t="s">
        <v>2227</v>
      </c>
      <c r="Q54" s="1368">
        <f ca="1">C40+J29</f>
        <v>1580155</v>
      </c>
      <c r="R54" s="1369" t="s">
        <v>2228</v>
      </c>
    </row>
    <row r="55" spans="1:18" s="791" customFormat="1" ht="20.25" thickBot="1">
      <c r="A55" s="1383"/>
      <c r="B55" s="2355" t="s">
        <v>2114</v>
      </c>
      <c r="C55" s="1417"/>
      <c r="D55" s="93"/>
      <c r="E55" s="2356"/>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7"/>
      <c r="K55" s="2357"/>
      <c r="L55" s="2357"/>
      <c r="O55" s="1366" t="s">
        <v>956</v>
      </c>
      <c r="P55" s="1367" t="s">
        <v>2259</v>
      </c>
      <c r="Q55" s="1368">
        <f>L61</f>
        <v>0</v>
      </c>
      <c r="R55" s="1369" t="s">
        <v>2260</v>
      </c>
    </row>
    <row r="56" spans="1:18" s="791" customFormat="1" ht="20.25" thickBot="1">
      <c r="A56" s="1423" t="s">
        <v>2115</v>
      </c>
      <c r="B56" s="2339" t="s">
        <v>2116</v>
      </c>
      <c r="C56" s="1424"/>
      <c r="D56" s="1440"/>
      <c r="E56" s="2358"/>
      <c r="F56" s="1500"/>
      <c r="I56" s="2359" t="s">
        <v>2261</v>
      </c>
      <c r="J56" s="1869" t="e">
        <f>ROUND(IF(J48="钢混",J58/J51,1-(1-2%)*(J51-J58)/J51),3)</f>
        <v>#VALUE!</v>
      </c>
      <c r="K56" s="2360" t="s">
        <v>2262</v>
      </c>
      <c r="L56" s="1351"/>
      <c r="O56" s="1370" t="s">
        <v>957</v>
      </c>
      <c r="P56" s="1367" t="s">
        <v>2263</v>
      </c>
      <c r="Q56" s="1368">
        <f>IF(L56="比较法",L50,IF(L56="基准地价",L51,0))</f>
        <v>0</v>
      </c>
      <c r="R56" s="1369" t="s">
        <v>2228</v>
      </c>
    </row>
    <row r="57" spans="1:18" s="791" customFormat="1" ht="44.25" thickTop="1" thickBot="1">
      <c r="A57" s="1419">
        <v>2</v>
      </c>
      <c r="B57" s="1420" t="s">
        <v>2117</v>
      </c>
      <c r="C57" s="1499">
        <f ca="1">C13</f>
        <v>15928</v>
      </c>
      <c r="D57" s="1293"/>
      <c r="E57" s="1294"/>
      <c r="F57" s="1301"/>
      <c r="I57" s="2361" t="s">
        <v>2264</v>
      </c>
      <c r="J57" s="1354" t="s">
        <v>2834</v>
      </c>
      <c r="K57" s="2347" t="s">
        <v>2265</v>
      </c>
      <c r="L57" s="1127">
        <f>IF(L49&lt;J52,"——",L49-J52)</f>
        <v>2038</v>
      </c>
      <c r="O57" s="1370" t="s">
        <v>958</v>
      </c>
      <c r="P57" s="1367" t="s">
        <v>2266</v>
      </c>
      <c r="Q57" s="1371">
        <f>L53</f>
        <v>0</v>
      </c>
      <c r="R57" s="1369"/>
    </row>
    <row r="58" spans="1:18" s="791" customFormat="1" ht="29.25" thickBot="1">
      <c r="A58" s="1300"/>
      <c r="B58" s="319" t="s">
        <v>2196</v>
      </c>
      <c r="C58" s="188">
        <f ca="1">C29</f>
        <v>24504</v>
      </c>
      <c r="D58" s="1293"/>
      <c r="E58" s="1294"/>
      <c r="F58" s="1301"/>
      <c r="I58" s="2362" t="s">
        <v>2267</v>
      </c>
      <c r="J58" s="1353" t="str">
        <f>IF(OR(M48="住宅",J52&lt;L49,J57="是"),"——",J52-L49)</f>
        <v>——</v>
      </c>
      <c r="K58" s="2347" t="s">
        <v>2268</v>
      </c>
      <c r="L58" s="1127">
        <f ca="1">IF(L49&lt;J52,"——",IF(L56="比较法",L50,IF(L56="基准地价",L51,L52)))</f>
        <v>36937150</v>
      </c>
      <c r="O58" s="1370" t="s">
        <v>959</v>
      </c>
      <c r="P58" s="1367" t="s">
        <v>2269</v>
      </c>
      <c r="Q58" s="1368" t="e">
        <f>L59</f>
        <v>#DIV/0!</v>
      </c>
      <c r="R58" s="1369" t="s">
        <v>2270</v>
      </c>
    </row>
    <row r="59" spans="1:18" s="791" customFormat="1" ht="29.25" thickBot="1">
      <c r="A59" s="332" t="s">
        <v>14</v>
      </c>
      <c r="B59" s="333" t="s">
        <v>2199</v>
      </c>
      <c r="C59" s="334">
        <f ca="1">ROUND(C60+C65+C66+C67,0)</f>
        <v>261</v>
      </c>
      <c r="D59" s="12" t="s">
        <v>2200</v>
      </c>
      <c r="E59" s="1895"/>
      <c r="F59" s="16"/>
      <c r="I59" s="2362" t="s">
        <v>2271</v>
      </c>
      <c r="J59" s="1868" t="e">
        <f>IF(J56&lt;0.4,0.4,J56)</f>
        <v>#VALUE!</v>
      </c>
      <c r="K59" s="2353" t="s">
        <v>2272</v>
      </c>
      <c r="L59" s="1127" t="e">
        <f>ROUND(POWER(1+L53,L48-L49)*(POWER(1+L53,L49)-1)/(POWER(1+L53,L48)-1),4)</f>
        <v>#DIV/0!</v>
      </c>
      <c r="O59" s="1370" t="s">
        <v>960</v>
      </c>
      <c r="P59" s="1367" t="str">
        <f>K60</f>
        <v>建设期及建筑物耐用年限下的土地年期修正系数Kn</v>
      </c>
      <c r="Q59" s="1368" t="e">
        <f>L60</f>
        <v>#DIV/0!</v>
      </c>
      <c r="R59" s="1369" t="s">
        <v>2273</v>
      </c>
    </row>
    <row r="60" spans="1:18" s="791" customFormat="1" ht="29.25" thickBot="1">
      <c r="A60" s="337" t="s">
        <v>15</v>
      </c>
      <c r="B60" s="319" t="s">
        <v>2139</v>
      </c>
      <c r="C60" s="14">
        <f ca="1">ROUND(IF(项目基本情况!B7="自然人",C49*F60,C61+C62+C63),1)</f>
        <v>0</v>
      </c>
      <c r="D60" s="1885" t="s">
        <v>2201</v>
      </c>
      <c r="E60" s="1890" t="s">
        <v>2202</v>
      </c>
      <c r="F60" s="343">
        <f>IF(项目基本情况!B7="企业","",IF('数据-取费表'!B10="住宅",5%,IF(F50*F51*F52/12/(1+'数据-取费表'!F30)&gt;20000,12%,7%)))</f>
        <v>0.05</v>
      </c>
      <c r="I60" s="2362" t="s">
        <v>2274</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收益价值(元)</v>
      </c>
      <c r="Q60" s="1368">
        <f ca="1">ROUND(IF(C2="元",Q54+Q55,(Q54+Q55)/10000),0)</f>
        <v>1580155</v>
      </c>
      <c r="R60" s="1369" t="s">
        <v>962</v>
      </c>
    </row>
    <row r="61" spans="1:18" s="791" customFormat="1" ht="16.5" thickBot="1">
      <c r="A61" s="337" t="s">
        <v>16</v>
      </c>
      <c r="B61" s="319" t="s">
        <v>2203</v>
      </c>
      <c r="C61" s="14" t="str">
        <f>IF(项目基本情况!B7="自然人","——",ROUND(C49*F61/(1+'数据-取费表'!F30),0))</f>
        <v>——</v>
      </c>
      <c r="D61" s="1890" t="s">
        <v>2204</v>
      </c>
      <c r="E61" s="319" t="s">
        <v>2153</v>
      </c>
      <c r="F61" s="352">
        <f t="shared" ref="F61:F67" si="0">F32</f>
        <v>5.6000000000000001E-2</v>
      </c>
      <c r="I61" s="2363" t="s">
        <v>2275</v>
      </c>
      <c r="J61" s="1352" t="str">
        <f>IF(OR(M48="住宅",J52&lt;L49,J57="是"),"0",ROUND(J60/(1+J53)^J54,0))</f>
        <v>0</v>
      </c>
      <c r="K61" s="2364" t="s">
        <v>2276</v>
      </c>
      <c r="L61" s="1352">
        <f>IF(OR(M48="住宅",L49&lt;J52),0,ROUND(L58*(L59/L60-1),0))</f>
        <v>0</v>
      </c>
      <c r="O61" s="1360" t="s">
        <v>2277</v>
      </c>
      <c r="P61" s="1361"/>
      <c r="Q61" s="1357"/>
      <c r="R61" s="1361"/>
    </row>
    <row r="62" spans="1:18" s="791" customFormat="1" ht="15.75" thickBot="1">
      <c r="A62" s="337" t="s">
        <v>17</v>
      </c>
      <c r="B62" s="319" t="s">
        <v>2278</v>
      </c>
      <c r="C62" s="14" t="str">
        <f>IF(项目基本情况!B7="自然人","——",IF(D62="按租金收入计税",ROUND(C49*F62,1),IF(D62="按房产原值计税",ROUND(C58*F62*0.7,1),'数据-取费表'!B43)))</f>
        <v>——</v>
      </c>
      <c r="D62" s="2011" t="s">
        <v>2150</v>
      </c>
      <c r="E62" s="319" t="s">
        <v>2153</v>
      </c>
      <c r="F62" s="342">
        <f t="shared" si="0"/>
        <v>1.2E-2</v>
      </c>
      <c r="O62" s="1362" t="s">
        <v>2223</v>
      </c>
      <c r="P62" s="1363" t="s">
        <v>2224</v>
      </c>
      <c r="Q62" s="1364" t="s">
        <v>2225</v>
      </c>
      <c r="R62" s="1365" t="s">
        <v>2226</v>
      </c>
    </row>
    <row r="63" spans="1:18" s="791" customFormat="1" ht="15.75" thickBot="1">
      <c r="A63" s="345" t="s">
        <v>18</v>
      </c>
      <c r="B63" s="80" t="s">
        <v>2279</v>
      </c>
      <c r="C63" s="15" t="str">
        <f>IF(项目基本情况!B7="自然人","——",ROUND(F63*F64,0))</f>
        <v>——</v>
      </c>
      <c r="D63" s="346" t="s">
        <v>2280</v>
      </c>
      <c r="E63" s="319" t="s">
        <v>2281</v>
      </c>
      <c r="F63" s="347">
        <f t="shared" si="0"/>
        <v>0</v>
      </c>
      <c r="I63" s="2365" t="s">
        <v>2282</v>
      </c>
      <c r="J63" s="1872" t="s">
        <v>2283</v>
      </c>
      <c r="K63" s="1872" t="s">
        <v>2284</v>
      </c>
      <c r="L63" s="1872" t="s">
        <v>2285</v>
      </c>
      <c r="M63" s="1871" t="s">
        <v>2286</v>
      </c>
      <c r="O63" s="1366" t="s">
        <v>955</v>
      </c>
      <c r="P63" s="1367" t="s">
        <v>2227</v>
      </c>
      <c r="Q63" s="1368">
        <f ca="1">C40+J29</f>
        <v>1580155</v>
      </c>
      <c r="R63" s="1369" t="s">
        <v>2228</v>
      </c>
    </row>
    <row r="64" spans="1:18" s="791" customFormat="1" ht="20.25" thickBot="1">
      <c r="A64" s="348"/>
      <c r="B64" s="328"/>
      <c r="C64" s="19"/>
      <c r="D64" s="349"/>
      <c r="E64" s="319" t="s">
        <v>2287</v>
      </c>
      <c r="F64" s="320">
        <f t="shared" si="0"/>
        <v>0</v>
      </c>
      <c r="I64" s="2365" t="s">
        <v>2288</v>
      </c>
      <c r="J64" s="1872">
        <v>70</v>
      </c>
      <c r="K64" s="1872">
        <v>50</v>
      </c>
      <c r="L64" s="1872">
        <v>80</v>
      </c>
      <c r="M64" s="1870">
        <v>0.02</v>
      </c>
      <c r="O64" s="1366" t="s">
        <v>956</v>
      </c>
      <c r="P64" s="1367" t="s">
        <v>2259</v>
      </c>
      <c r="Q64" s="1368">
        <f>L61</f>
        <v>0</v>
      </c>
      <c r="R64" s="1369" t="s">
        <v>2260</v>
      </c>
    </row>
    <row r="65" spans="1:18" s="791" customFormat="1" ht="23.25" thickBot="1">
      <c r="A65" s="337" t="s">
        <v>19</v>
      </c>
      <c r="B65" s="319" t="s">
        <v>2208</v>
      </c>
      <c r="C65" s="14">
        <f ca="1">ROUND(C58*F65,0)</f>
        <v>245</v>
      </c>
      <c r="D65" s="1890" t="s">
        <v>2209</v>
      </c>
      <c r="E65" s="319" t="s">
        <v>2153</v>
      </c>
      <c r="F65" s="350">
        <f t="shared" si="0"/>
        <v>0.01</v>
      </c>
      <c r="I65" s="2365" t="s">
        <v>2289</v>
      </c>
      <c r="J65" s="1872">
        <v>50</v>
      </c>
      <c r="K65" s="1872">
        <v>35</v>
      </c>
      <c r="L65" s="1872">
        <v>60</v>
      </c>
      <c r="M65" s="1871">
        <v>0</v>
      </c>
      <c r="O65" s="1370" t="s">
        <v>957</v>
      </c>
      <c r="P65" s="1367" t="s">
        <v>2263</v>
      </c>
      <c r="Q65" s="1372">
        <f ca="1">L52</f>
        <v>36937150</v>
      </c>
      <c r="R65" s="1373" t="s">
        <v>2290</v>
      </c>
    </row>
    <row r="66" spans="1:18" s="791" customFormat="1" ht="20.25" thickBot="1">
      <c r="A66" s="337" t="s">
        <v>20</v>
      </c>
      <c r="B66" s="319" t="s">
        <v>2168</v>
      </c>
      <c r="C66" s="14">
        <f ca="1">ROUND(C57*F66,0)</f>
        <v>16</v>
      </c>
      <c r="D66" s="1890" t="s">
        <v>2169</v>
      </c>
      <c r="E66" s="319" t="s">
        <v>2170</v>
      </c>
      <c r="F66" s="351">
        <f t="shared" si="0"/>
        <v>1E-3</v>
      </c>
      <c r="I66" s="2365" t="s">
        <v>2291</v>
      </c>
      <c r="J66" s="1872">
        <v>40</v>
      </c>
      <c r="K66" s="1872">
        <v>30</v>
      </c>
      <c r="L66" s="1872">
        <v>50</v>
      </c>
      <c r="M66" s="1870">
        <v>0.02</v>
      </c>
      <c r="O66" s="1370" t="s">
        <v>958</v>
      </c>
      <c r="P66" s="1374" t="s">
        <v>2292</v>
      </c>
      <c r="Q66" s="1368">
        <f ca="1">ROUND(Q67-Q68*Q69,0)</f>
        <v>26430</v>
      </c>
      <c r="R66" s="1369"/>
    </row>
    <row r="67" spans="1:18" s="791" customFormat="1" ht="15.75" thickBot="1">
      <c r="A67" s="337" t="s">
        <v>21</v>
      </c>
      <c r="B67" s="319" t="s">
        <v>2151</v>
      </c>
      <c r="C67" s="14">
        <f ca="1">ROUND(C49*F67,0)</f>
        <v>0</v>
      </c>
      <c r="D67" s="1890" t="s">
        <v>2174</v>
      </c>
      <c r="E67" s="319" t="s">
        <v>2170</v>
      </c>
      <c r="F67" s="329">
        <f t="shared" si="0"/>
        <v>0.01</v>
      </c>
      <c r="O67" s="1370" t="s">
        <v>963</v>
      </c>
      <c r="P67" s="1374" t="s">
        <v>2293</v>
      </c>
      <c r="Q67" s="1368">
        <f ca="1">C39</f>
        <v>27704</v>
      </c>
      <c r="R67" s="1369" t="s">
        <v>2228</v>
      </c>
    </row>
    <row r="68" spans="1:18" ht="15.75" thickBot="1">
      <c r="A68" s="332" t="s">
        <v>22</v>
      </c>
      <c r="B68" s="89" t="s">
        <v>2178</v>
      </c>
      <c r="C68" s="334">
        <f ca="1">C49-C59</f>
        <v>-261</v>
      </c>
      <c r="D68" s="1885" t="s">
        <v>2179</v>
      </c>
      <c r="E68" s="1889"/>
      <c r="F68" s="353"/>
      <c r="H68" s="791"/>
      <c r="I68" s="791"/>
      <c r="J68" s="791"/>
      <c r="K68" s="791"/>
      <c r="L68" s="791"/>
      <c r="M68" s="791"/>
      <c r="O68" s="1370" t="s">
        <v>964</v>
      </c>
      <c r="P68" s="1374" t="s">
        <v>2294</v>
      </c>
      <c r="Q68" s="1368">
        <f ca="1">C13</f>
        <v>15928</v>
      </c>
      <c r="R68" s="1369" t="s">
        <v>2228</v>
      </c>
    </row>
    <row r="69" spans="1:18" ht="15.75" thickBot="1">
      <c r="A69" s="316" t="s">
        <v>23</v>
      </c>
      <c r="B69" s="317" t="s">
        <v>2216</v>
      </c>
      <c r="C69" s="318">
        <f ca="1">ROUND(C68*(1-((1+F71)/(1+F69))^F70)/(F69-F71),0)</f>
        <v>-5534</v>
      </c>
      <c r="D69" s="346" t="s">
        <v>2184</v>
      </c>
      <c r="E69" s="319" t="s">
        <v>2185</v>
      </c>
      <c r="F69" s="329">
        <f>F40</f>
        <v>4.4999999999999998E-2</v>
      </c>
      <c r="H69" s="791"/>
      <c r="I69" s="791"/>
      <c r="J69" s="791"/>
      <c r="K69" s="791"/>
      <c r="L69" s="791"/>
      <c r="M69" s="791"/>
      <c r="O69" s="1370" t="s">
        <v>965</v>
      </c>
      <c r="P69" s="1374" t="s">
        <v>2295</v>
      </c>
      <c r="Q69" s="1371">
        <f>J35</f>
        <v>0.08</v>
      </c>
      <c r="R69" s="1369"/>
    </row>
    <row r="70" spans="1:18" ht="15.75" thickBot="1">
      <c r="A70" s="321"/>
      <c r="B70" s="322"/>
      <c r="C70" s="323"/>
      <c r="D70" s="354" t="s">
        <v>2218</v>
      </c>
      <c r="E70" s="319" t="s">
        <v>2190</v>
      </c>
      <c r="F70" s="355">
        <f>F41</f>
        <v>70</v>
      </c>
      <c r="H70" s="791"/>
      <c r="I70" s="791"/>
      <c r="J70" s="791"/>
      <c r="K70" s="791"/>
      <c r="L70" s="791"/>
      <c r="M70" s="791"/>
      <c r="O70" s="1370" t="s">
        <v>959</v>
      </c>
      <c r="P70" s="1367" t="s">
        <v>2266</v>
      </c>
      <c r="Q70" s="1371">
        <f>L53</f>
        <v>0</v>
      </c>
      <c r="R70" s="1369"/>
    </row>
    <row r="71" spans="1:18" ht="20.25" thickBot="1">
      <c r="A71" s="325"/>
      <c r="B71" s="326"/>
      <c r="C71" s="327"/>
      <c r="D71" s="349"/>
      <c r="E71" s="319" t="s">
        <v>2194</v>
      </c>
      <c r="F71" s="1355"/>
      <c r="H71" s="791"/>
      <c r="M71" s="791"/>
      <c r="O71" s="1370" t="s">
        <v>960</v>
      </c>
      <c r="P71" s="1367" t="s">
        <v>2269</v>
      </c>
      <c r="Q71" s="1368" t="e">
        <f>L59</f>
        <v>#DIV/0!</v>
      </c>
      <c r="R71" s="1369" t="s">
        <v>2270</v>
      </c>
    </row>
    <row r="72" spans="1:18" ht="15.75" thickBot="1">
      <c r="A72" s="356" t="s">
        <v>24</v>
      </c>
      <c r="B72" s="357" t="s">
        <v>2219</v>
      </c>
      <c r="C72" s="358">
        <f ca="1">ROUND(C69/F72,0)</f>
        <v>-475</v>
      </c>
      <c r="D72" s="359" t="s">
        <v>2220</v>
      </c>
      <c r="E72" s="360" t="s">
        <v>2221</v>
      </c>
      <c r="F72" s="361">
        <f>F43</f>
        <v>11.66</v>
      </c>
      <c r="O72" s="1370" t="s">
        <v>966</v>
      </c>
      <c r="P72" s="1367" t="str">
        <f>K60</f>
        <v>建设期及建筑物耐用年限下的土地年期修正系数Kn</v>
      </c>
      <c r="Q72" s="1368" t="e">
        <f>L60</f>
        <v>#DIV/0!</v>
      </c>
      <c r="R72" s="1369" t="s">
        <v>2273</v>
      </c>
    </row>
    <row r="73" spans="1:18" ht="15.75" thickBot="1">
      <c r="A73" s="791"/>
      <c r="B73" s="795"/>
      <c r="C73" s="795"/>
      <c r="D73" s="791"/>
      <c r="E73" s="791"/>
      <c r="F73" s="791"/>
      <c r="O73" s="1366" t="s">
        <v>961</v>
      </c>
      <c r="P73" s="1367" t="str">
        <f>IF(C2="元","收益价值(元)","收益价值(万元)")</f>
        <v>收益价值(元)</v>
      </c>
      <c r="Q73" s="1368">
        <f ca="1">ROUND(IF(C2="元",Q63+Q64,(Q63+Q64)/10000),0)</f>
        <v>1580155</v>
      </c>
      <c r="R73" s="1369"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7" t="s">
        <v>1022</v>
      </c>
      <c r="B1" s="2988"/>
      <c r="C1" s="2989"/>
      <c r="D1" s="2990">
        <f>SUM(I10,I15,I20,I21,I23)</f>
        <v>0</v>
      </c>
      <c r="E1" s="2990"/>
      <c r="F1" s="2990"/>
      <c r="G1" s="2990"/>
      <c r="H1" s="2990"/>
      <c r="I1" s="2991"/>
    </row>
    <row r="2" spans="1:9">
      <c r="A2" s="2977" t="s">
        <v>1023</v>
      </c>
      <c r="B2" s="2978" t="s">
        <v>972</v>
      </c>
      <c r="C2" s="2978"/>
      <c r="D2" s="1388" t="s">
        <v>973</v>
      </c>
      <c r="E2" s="1388" t="s">
        <v>974</v>
      </c>
      <c r="F2" s="1388" t="s">
        <v>975</v>
      </c>
      <c r="G2" s="1388" t="s">
        <v>976</v>
      </c>
      <c r="H2" s="1388" t="s">
        <v>977</v>
      </c>
      <c r="I2" s="1389" t="s">
        <v>978</v>
      </c>
    </row>
    <row r="3" spans="1:9">
      <c r="A3" s="2977"/>
      <c r="B3" s="2978" t="s">
        <v>979</v>
      </c>
      <c r="C3" s="2978"/>
      <c r="D3" s="1390"/>
      <c r="E3" s="1388"/>
      <c r="F3" s="1391"/>
      <c r="G3" s="1391"/>
      <c r="H3" s="1392"/>
      <c r="I3" s="1393">
        <f>ROUND(D3*E3*F3*G3*H3/10000,0)</f>
        <v>0</v>
      </c>
    </row>
    <row r="4" spans="1:9">
      <c r="A4" s="2977"/>
      <c r="B4" s="2978" t="s">
        <v>980</v>
      </c>
      <c r="C4" s="2978"/>
      <c r="D4" s="1390"/>
      <c r="E4" s="1388"/>
      <c r="F4" s="1391"/>
      <c r="G4" s="1391"/>
      <c r="H4" s="1392"/>
      <c r="I4" s="1393">
        <f t="shared" ref="I4:I9" si="0">ROUND(D4*E4*F4*G4*H4/10000,0)</f>
        <v>0</v>
      </c>
    </row>
    <row r="5" spans="1:9">
      <c r="A5" s="2977"/>
      <c r="B5" s="2978" t="s">
        <v>981</v>
      </c>
      <c r="C5" s="2978"/>
      <c r="D5" s="1390"/>
      <c r="E5" s="1388"/>
      <c r="F5" s="1391"/>
      <c r="G5" s="1391"/>
      <c r="H5" s="1392"/>
      <c r="I5" s="1393">
        <f t="shared" si="0"/>
        <v>0</v>
      </c>
    </row>
    <row r="6" spans="1:9">
      <c r="A6" s="2977"/>
      <c r="B6" s="2978" t="s">
        <v>982</v>
      </c>
      <c r="C6" s="2978"/>
      <c r="D6" s="1390"/>
      <c r="E6" s="1388"/>
      <c r="F6" s="1391"/>
      <c r="G6" s="1391"/>
      <c r="H6" s="1392"/>
      <c r="I6" s="1393">
        <f t="shared" si="0"/>
        <v>0</v>
      </c>
    </row>
    <row r="7" spans="1:9">
      <c r="A7" s="2977"/>
      <c r="B7" s="2978" t="s">
        <v>983</v>
      </c>
      <c r="C7" s="2978"/>
      <c r="D7" s="1390"/>
      <c r="E7" s="1388"/>
      <c r="F7" s="1391"/>
      <c r="G7" s="1391"/>
      <c r="H7" s="1392"/>
      <c r="I7" s="1393">
        <f t="shared" si="0"/>
        <v>0</v>
      </c>
    </row>
    <row r="8" spans="1:9">
      <c r="A8" s="2977"/>
      <c r="B8" s="2978" t="s">
        <v>984</v>
      </c>
      <c r="C8" s="2978"/>
      <c r="D8" s="1390"/>
      <c r="E8" s="1388"/>
      <c r="F8" s="1391"/>
      <c r="G8" s="1391"/>
      <c r="H8" s="1392"/>
      <c r="I8" s="1393">
        <f t="shared" si="0"/>
        <v>0</v>
      </c>
    </row>
    <row r="9" spans="1:9">
      <c r="A9" s="2977"/>
      <c r="B9" s="2978" t="s">
        <v>985</v>
      </c>
      <c r="C9" s="2978"/>
      <c r="D9" s="1390"/>
      <c r="E9" s="1388"/>
      <c r="F9" s="1391"/>
      <c r="G9" s="1391"/>
      <c r="H9" s="1392"/>
      <c r="I9" s="1393">
        <f t="shared" si="0"/>
        <v>0</v>
      </c>
    </row>
    <row r="10" spans="1:9">
      <c r="A10" s="2977"/>
      <c r="B10" s="2979" t="s">
        <v>986</v>
      </c>
      <c r="C10" s="2979"/>
      <c r="D10" s="1394">
        <v>527</v>
      </c>
      <c r="E10" s="1394" t="e">
        <f>ROUND(D1*10000/D10/H9,0)</f>
        <v>#DIV/0!</v>
      </c>
      <c r="F10" s="1395"/>
      <c r="G10" s="1395"/>
      <c r="H10" s="1396"/>
      <c r="I10" s="1397">
        <f>SUM(I3:I9)</f>
        <v>0</v>
      </c>
    </row>
    <row r="11" spans="1:9" ht="14.25">
      <c r="A11" s="2977" t="s">
        <v>1024</v>
      </c>
      <c r="B11" s="2978" t="s">
        <v>987</v>
      </c>
      <c r="C11" s="2978"/>
      <c r="D11" s="1390" t="s">
        <v>988</v>
      </c>
      <c r="E11" s="1390" t="s">
        <v>989</v>
      </c>
      <c r="F11" s="1391" t="s">
        <v>990</v>
      </c>
      <c r="G11" s="1391" t="s">
        <v>977</v>
      </c>
      <c r="H11" s="1398" t="s">
        <v>991</v>
      </c>
      <c r="I11" s="1389" t="s">
        <v>978</v>
      </c>
    </row>
    <row r="12" spans="1:9">
      <c r="A12" s="2977"/>
      <c r="B12" s="2978" t="s">
        <v>992</v>
      </c>
      <c r="C12" s="2978"/>
      <c r="D12" s="1390"/>
      <c r="E12" s="1390"/>
      <c r="F12" s="1391"/>
      <c r="G12" s="1392"/>
      <c r="H12" s="1399"/>
      <c r="I12" s="1389">
        <f>ROUND(D12*E12*F12*G12/10000,0)</f>
        <v>0</v>
      </c>
    </row>
    <row r="13" spans="1:9">
      <c r="A13" s="2977"/>
      <c r="B13" s="2978" t="s">
        <v>993</v>
      </c>
      <c r="C13" s="2978"/>
      <c r="D13" s="1390"/>
      <c r="E13" s="1390"/>
      <c r="F13" s="1391"/>
      <c r="G13" s="1392"/>
      <c r="H13" s="1399"/>
      <c r="I13" s="1389">
        <f>ROUND(D13*E13*F13*G13/10000,0)</f>
        <v>0</v>
      </c>
    </row>
    <row r="14" spans="1:9">
      <c r="A14" s="2977"/>
      <c r="B14" s="2978" t="s">
        <v>994</v>
      </c>
      <c r="C14" s="2978"/>
      <c r="D14" s="1390"/>
      <c r="E14" s="1390"/>
      <c r="F14" s="1391"/>
      <c r="G14" s="1392"/>
      <c r="H14" s="1399"/>
      <c r="I14" s="1389">
        <f>ROUND(D14*E14*F14*G14/10000,0)</f>
        <v>0</v>
      </c>
    </row>
    <row r="15" spans="1:9">
      <c r="A15" s="2977"/>
      <c r="B15" s="2979" t="s">
        <v>986</v>
      </c>
      <c r="C15" s="2979"/>
      <c r="D15" s="1394"/>
      <c r="E15" s="1394">
        <f>SUM(E12:E14)</f>
        <v>0</v>
      </c>
      <c r="F15" s="1395"/>
      <c r="G15" s="1392"/>
      <c r="H15" s="1399"/>
      <c r="I15" s="1400">
        <f>SUM(I12:I14)</f>
        <v>0</v>
      </c>
    </row>
    <row r="16" spans="1:9" ht="24">
      <c r="A16" s="2977" t="s">
        <v>1025</v>
      </c>
      <c r="B16" s="2978" t="s">
        <v>995</v>
      </c>
      <c r="C16" s="2978"/>
      <c r="D16" s="1390" t="s">
        <v>973</v>
      </c>
      <c r="E16" s="1401" t="s">
        <v>996</v>
      </c>
      <c r="F16" s="1391" t="s">
        <v>997</v>
      </c>
      <c r="G16" s="1392" t="s">
        <v>977</v>
      </c>
      <c r="H16" s="1398" t="s">
        <v>991</v>
      </c>
      <c r="I16" s="1389" t="s">
        <v>978</v>
      </c>
    </row>
    <row r="17" spans="1:9" ht="14.25">
      <c r="A17" s="2977"/>
      <c r="B17" s="2978" t="s">
        <v>998</v>
      </c>
      <c r="C17" s="2978"/>
      <c r="D17" s="1390"/>
      <c r="E17" s="1390"/>
      <c r="F17" s="1391"/>
      <c r="G17" s="1392"/>
      <c r="H17" s="1402"/>
      <c r="I17" s="1403">
        <f>ROUND(D17*E17*F17*G17/10000,0)</f>
        <v>0</v>
      </c>
    </row>
    <row r="18" spans="1:9" ht="14.25">
      <c r="A18" s="2977"/>
      <c r="B18" s="2978" t="s">
        <v>999</v>
      </c>
      <c r="C18" s="2978"/>
      <c r="D18" s="1390"/>
      <c r="E18" s="1390"/>
      <c r="F18" s="1391"/>
      <c r="G18" s="1392"/>
      <c r="H18" s="1402"/>
      <c r="I18" s="1403">
        <f>ROUND(D18*E18*F18*G18/10000,0)</f>
        <v>0</v>
      </c>
    </row>
    <row r="19" spans="1:9" ht="14.25">
      <c r="A19" s="2977"/>
      <c r="B19" s="2978" t="s">
        <v>1000</v>
      </c>
      <c r="C19" s="2978"/>
      <c r="D19" s="1390"/>
      <c r="E19" s="1390"/>
      <c r="F19" s="1391"/>
      <c r="G19" s="1392"/>
      <c r="H19" s="1402"/>
      <c r="I19" s="1403">
        <f>ROUND(D19*E19*F19*G19/10000,0)</f>
        <v>0</v>
      </c>
    </row>
    <row r="20" spans="1:9">
      <c r="A20" s="2977"/>
      <c r="B20" s="2979" t="s">
        <v>986</v>
      </c>
      <c r="C20" s="2979"/>
      <c r="D20" s="1394">
        <f>SUM(D17:D19)</f>
        <v>0</v>
      </c>
      <c r="E20" s="1394"/>
      <c r="F20" s="1395"/>
      <c r="G20" s="1392"/>
      <c r="H20" s="1399"/>
      <c r="I20" s="1400">
        <f>SUM(I17:I19)</f>
        <v>0</v>
      </c>
    </row>
    <row r="21" spans="1:9">
      <c r="A21" s="2977" t="s">
        <v>1026</v>
      </c>
      <c r="B21" s="2980"/>
      <c r="C21" s="2980"/>
      <c r="D21" s="2980"/>
      <c r="E21" s="2980"/>
      <c r="F21" s="2980"/>
      <c r="G21" s="2980"/>
      <c r="H21" s="1404">
        <v>0.1</v>
      </c>
      <c r="I21" s="1397">
        <f>ROUND(I10*H21,0)</f>
        <v>0</v>
      </c>
    </row>
    <row r="22" spans="1:9" ht="14.25">
      <c r="A22" s="2981" t="s">
        <v>1027</v>
      </c>
      <c r="B22" s="2982"/>
      <c r="C22" s="2983"/>
      <c r="D22" s="1405" t="s">
        <v>1001</v>
      </c>
      <c r="E22" s="1405" t="s">
        <v>1002</v>
      </c>
      <c r="F22" s="1406" t="s">
        <v>977</v>
      </c>
      <c r="G22" s="1406" t="s">
        <v>1003</v>
      </c>
      <c r="H22" s="1398" t="s">
        <v>991</v>
      </c>
      <c r="I22" s="1389" t="s">
        <v>978</v>
      </c>
    </row>
    <row r="23" spans="1:9" ht="14.25" thickBot="1">
      <c r="A23" s="2984"/>
      <c r="B23" s="2985"/>
      <c r="C23" s="2986"/>
      <c r="D23" s="1407"/>
      <c r="E23" s="1407"/>
      <c r="F23" s="1407"/>
      <c r="G23" s="1408"/>
      <c r="H23" s="1409"/>
      <c r="I23" s="1410">
        <f>ROUND(E23*D23*F23*(1-G23)/10000,0)</f>
        <v>0</v>
      </c>
    </row>
    <row r="26" spans="1:9">
      <c r="A26" s="1411" t="s">
        <v>1004</v>
      </c>
      <c r="B26" s="1411"/>
      <c r="C26" s="1411"/>
      <c r="D26" s="1411"/>
      <c r="E26" s="2974">
        <f>C27-C30-C31-C32</f>
        <v>0</v>
      </c>
      <c r="F26" s="2974"/>
      <c r="G26" s="2974"/>
      <c r="H26" s="1827" t="s">
        <v>1216</v>
      </c>
    </row>
    <row r="27" spans="1:9">
      <c r="A27" s="1412">
        <v>1</v>
      </c>
      <c r="B27" s="1413" t="s">
        <v>1005</v>
      </c>
      <c r="C27" s="1413">
        <f>C28+C29</f>
        <v>0</v>
      </c>
      <c r="D27" s="1413"/>
      <c r="E27" s="2975"/>
      <c r="F27" s="2975"/>
      <c r="G27" s="2975"/>
    </row>
    <row r="28" spans="1:9">
      <c r="A28" s="1414" t="s">
        <v>1006</v>
      </c>
      <c r="B28" s="1413" t="s">
        <v>1007</v>
      </c>
      <c r="C28" s="1413"/>
      <c r="D28" s="1413"/>
      <c r="E28" s="2975"/>
      <c r="F28" s="2975"/>
      <c r="G28" s="2975"/>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2976"/>
      <c r="F32" s="2976"/>
      <c r="G32" s="2976"/>
    </row>
    <row r="33" spans="1:7" hidden="1">
      <c r="A33" s="2971" t="s">
        <v>1016</v>
      </c>
      <c r="B33" s="2972"/>
      <c r="C33" s="2972"/>
      <c r="D33" s="2973"/>
      <c r="E33" s="2974"/>
      <c r="F33" s="2974"/>
      <c r="G33" s="2974"/>
    </row>
    <row r="34" spans="1:7" hidden="1">
      <c r="A34" s="1416">
        <v>1</v>
      </c>
      <c r="B34" s="1413" t="s">
        <v>1017</v>
      </c>
      <c r="C34" s="1413"/>
      <c r="D34" s="1413"/>
      <c r="E34" s="2975"/>
      <c r="F34" s="2975"/>
      <c r="G34" s="2975"/>
    </row>
    <row r="35" spans="1:7" hidden="1">
      <c r="A35" s="1416">
        <v>2</v>
      </c>
      <c r="B35" s="1413" t="s">
        <v>1018</v>
      </c>
      <c r="C35" s="1413"/>
      <c r="D35" s="1413"/>
      <c r="E35" s="2975"/>
      <c r="F35" s="2975"/>
      <c r="G35" s="2975"/>
    </row>
    <row r="36" spans="1:7" hidden="1">
      <c r="A36" s="1416">
        <v>3</v>
      </c>
      <c r="B36" s="1413" t="s">
        <v>1019</v>
      </c>
      <c r="C36" s="1413"/>
      <c r="D36" s="1413"/>
      <c r="E36" s="2975"/>
      <c r="F36" s="2975"/>
      <c r="G36" s="2975"/>
    </row>
    <row r="37" spans="1:7" hidden="1">
      <c r="A37" s="1416">
        <v>4</v>
      </c>
      <c r="B37" s="1413" t="s">
        <v>1020</v>
      </c>
      <c r="C37" s="1413"/>
      <c r="D37" s="1413"/>
      <c r="E37" s="2975"/>
      <c r="F37" s="2975"/>
      <c r="G37" s="2975"/>
    </row>
    <row r="38" spans="1:7" hidden="1">
      <c r="A38" s="2971" t="s">
        <v>1021</v>
      </c>
      <c r="B38" s="2972"/>
      <c r="C38" s="2972"/>
      <c r="D38" s="2973"/>
      <c r="E38" s="2974"/>
      <c r="F38" s="2974"/>
      <c r="G38" s="297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2296</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2297</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2298</v>
      </c>
      <c r="B3" s="334" t="e">
        <f>B24</f>
        <v>#DIV/0!</v>
      </c>
      <c r="C3" s="1182" t="s">
        <v>2299</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2300</v>
      </c>
      <c r="C4" s="2995" t="s">
        <v>2301</v>
      </c>
      <c r="D4" s="2996"/>
      <c r="E4" s="2996"/>
      <c r="F4" s="2996"/>
      <c r="G4" s="2996"/>
      <c r="H4" s="2996"/>
      <c r="I4" s="2996"/>
      <c r="J4" s="2996"/>
      <c r="K4" s="2996"/>
      <c r="L4" s="2996"/>
      <c r="M4" s="2996"/>
      <c r="N4" s="2996"/>
      <c r="O4" s="2996"/>
      <c r="P4" s="2996"/>
      <c r="Q4" s="2996"/>
      <c r="R4" s="2996"/>
      <c r="S4" s="2997"/>
      <c r="T4" s="678" t="s">
        <v>2302</v>
      </c>
      <c r="U4" s="1311"/>
      <c r="V4" s="1311"/>
      <c r="X4" s="1311"/>
      <c r="Y4" s="1311"/>
    </row>
    <row r="5" spans="1:44" s="692" customFormat="1">
      <c r="A5" s="1321"/>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2304</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2305</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2306</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2307</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2308</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2309</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2310</v>
      </c>
      <c r="B20" s="2367" t="s">
        <v>2311</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8" t="s">
        <v>2312</v>
      </c>
      <c r="G22" s="1875"/>
      <c r="H22" s="1875"/>
      <c r="I22" s="1875"/>
      <c r="J22" s="1876"/>
      <c r="K22" s="84"/>
      <c r="L22" s="84"/>
      <c r="M22" s="84"/>
      <c r="N22" s="84"/>
      <c r="O22" s="84"/>
      <c r="P22" s="84"/>
      <c r="Q22" s="84"/>
      <c r="R22" s="769"/>
      <c r="S22" s="54"/>
      <c r="T22" s="54"/>
      <c r="U22" s="1311"/>
      <c r="V22" s="1312"/>
      <c r="W22" s="801"/>
      <c r="X22" s="36"/>
      <c r="Y22" s="36"/>
      <c r="Z22" s="801"/>
    </row>
    <row r="23" spans="1:45" ht="16.5" thickBot="1">
      <c r="A23" s="165" t="s">
        <v>2313</v>
      </c>
      <c r="B23" s="308">
        <f>IF(F23="——",IF(C23="万元",T25,S25),IF(C23="万元",T25-H23,S25-H23))</f>
        <v>0</v>
      </c>
      <c r="C23" s="2369" t="str">
        <f>'数据-取费表'!B3</f>
        <v>元</v>
      </c>
      <c r="D23" s="84"/>
      <c r="E23" s="84"/>
      <c r="F23" s="2370" t="s">
        <v>1250</v>
      </c>
      <c r="G23" s="1877"/>
      <c r="H23" s="678" t="e">
        <f ca="1">SUMIF(INDIRECT("'"&amp;J23&amp;"'"&amp;"!A:A"),"承租人权益价值",INDIRECT("'"&amp;J23&amp;"'"&amp;"!c:c"))</f>
        <v>#REF!</v>
      </c>
      <c r="I23" s="678" t="str">
        <f>C2</f>
        <v>元</v>
      </c>
      <c r="J23" s="2371"/>
      <c r="K23" s="84"/>
      <c r="L23" s="84"/>
      <c r="M23" s="84"/>
      <c r="N23" s="84"/>
      <c r="O23" s="84"/>
      <c r="P23" s="84"/>
      <c r="Q23" s="84"/>
      <c r="R23" s="769"/>
      <c r="S23" s="54"/>
      <c r="T23" s="54"/>
      <c r="V23" s="1312"/>
      <c r="W23" s="801"/>
      <c r="X23" s="36"/>
      <c r="Y23" s="36"/>
      <c r="Z23" s="801"/>
    </row>
    <row r="24" spans="1:45" ht="15.75">
      <c r="A24" s="2369" t="s">
        <v>2314</v>
      </c>
      <c r="B24" s="308" t="e">
        <f>R25</f>
        <v>#DIV/0!</v>
      </c>
      <c r="C24" s="1143"/>
      <c r="D24" s="84"/>
      <c r="E24" s="84"/>
      <c r="F24" s="84"/>
      <c r="G24" s="84"/>
      <c r="H24" s="84"/>
      <c r="I24" s="84"/>
      <c r="J24" s="84"/>
      <c r="K24" s="84"/>
      <c r="L24" s="84"/>
      <c r="M24" s="84"/>
      <c r="N24" s="84"/>
      <c r="O24" s="84"/>
      <c r="P24" s="84"/>
      <c r="Q24" s="84"/>
      <c r="R24" s="769"/>
      <c r="S24" s="14" t="s">
        <v>2315</v>
      </c>
      <c r="T24" s="1894" t="s">
        <v>2316</v>
      </c>
      <c r="U24" s="2372" t="s">
        <v>2317</v>
      </c>
      <c r="V24" s="1341"/>
      <c r="W24" s="2373" t="s">
        <v>2318</v>
      </c>
      <c r="X24" s="2372" t="s">
        <v>2319</v>
      </c>
      <c r="Y24" s="1341"/>
      <c r="Z24" s="2374" t="s">
        <v>2318</v>
      </c>
    </row>
    <row r="25" spans="1:45">
      <c r="A25" s="334" t="s">
        <v>2320</v>
      </c>
      <c r="B25" s="14">
        <f>SUM(B27:B10000)</f>
        <v>0</v>
      </c>
      <c r="C25" s="2992" t="s">
        <v>45</v>
      </c>
      <c r="D25" s="2993"/>
      <c r="E25" s="2993"/>
      <c r="F25" s="2993"/>
      <c r="G25" s="2993"/>
      <c r="H25" s="2993"/>
      <c r="I25" s="2993"/>
      <c r="J25" s="2993"/>
      <c r="K25" s="2993"/>
      <c r="L25" s="2993"/>
      <c r="M25" s="2993"/>
      <c r="N25" s="2993"/>
      <c r="O25" s="2993"/>
      <c r="P25" s="2993"/>
      <c r="Q25" s="299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5"/>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80" t="s">
        <v>2326</v>
      </c>
      <c r="V26" s="2376" t="s">
        <v>2327</v>
      </c>
      <c r="W26" s="2377" t="s">
        <v>2328</v>
      </c>
      <c r="X26" s="1880" t="s">
        <v>2326</v>
      </c>
      <c r="Y26" s="2376" t="s">
        <v>2327</v>
      </c>
      <c r="Z26" s="2377"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2331</v>
      </c>
      <c r="C1" s="1725"/>
      <c r="D1" s="2378"/>
      <c r="E1" s="2379"/>
      <c r="F1" s="1739" t="s">
        <v>2332</v>
      </c>
      <c r="G1" s="1738"/>
      <c r="H1" s="1738"/>
      <c r="I1" s="1738"/>
      <c r="J1" s="1738"/>
      <c r="K1" s="1740"/>
      <c r="L1" s="1732"/>
      <c r="M1" s="1733"/>
      <c r="N1" s="1733"/>
      <c r="O1" s="1733"/>
      <c r="P1" s="2380"/>
      <c r="Q1" s="1734"/>
      <c r="R1" s="1734"/>
      <c r="S1" s="1734"/>
      <c r="T1" s="1734"/>
      <c r="U1" s="1734"/>
      <c r="V1" s="1734"/>
      <c r="W1" s="1734"/>
      <c r="X1" s="1734"/>
      <c r="Y1" s="1734"/>
      <c r="Z1" s="1734"/>
      <c r="AA1" s="1734"/>
      <c r="AB1" s="1734"/>
      <c r="AC1" s="1735"/>
    </row>
    <row r="2" spans="1:29" s="372" customFormat="1" ht="28.5" customHeight="1" thickTop="1">
      <c r="A2" s="1726" t="s">
        <v>2002</v>
      </c>
      <c r="B2" s="1724" t="e">
        <f ca="1">IF(D2="——",IF(C2="元",ROUND(C49*D3,0),ROUND(C49*D3/10000,0)),IF(C2="元",ROUND(C49*D3,0),ROUND(C49*D3/10000,0))-E2)</f>
        <v>#DIV/0!</v>
      </c>
      <c r="C2" s="163" t="str">
        <f>'数据-取费表'!B3</f>
        <v>元</v>
      </c>
      <c r="D2" s="2381"/>
      <c r="E2" s="1841" t="e">
        <f ca="1">SUMIF(INDIRECT("'"&amp;G2&amp;"'"&amp;"!A:A"),"承租人权益价值",INDIRECT("'"&amp;G2&amp;"'"&amp;"!c:c"))</f>
        <v>#REF!</v>
      </c>
      <c r="F2" s="2382" t="str">
        <f>C2</f>
        <v>元</v>
      </c>
      <c r="G2" s="2383"/>
      <c r="H2" s="979"/>
      <c r="I2" s="979"/>
      <c r="J2" s="979"/>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2003</v>
      </c>
      <c r="B3" s="378" t="e">
        <f ca="1">ROUND(IF(D2="——",C49,IF(C2="万元",B2*10000/D3,B2/D3)),0)</f>
        <v>#DIV/0!</v>
      </c>
      <c r="C3" s="379" t="s">
        <v>2333</v>
      </c>
      <c r="D3" s="378">
        <f>IF(C1="仅计算典型户型",'数据-取费表'!E5,'数据-取费表'!B5)</f>
        <v>11.66</v>
      </c>
      <c r="E3" s="979"/>
      <c r="F3" s="2390"/>
      <c r="G3" s="979"/>
      <c r="H3" s="979"/>
      <c r="I3" s="979"/>
      <c r="J3" s="979"/>
      <c r="K3" s="2384"/>
      <c r="L3" s="2385"/>
      <c r="M3" s="2386"/>
      <c r="N3" s="2386"/>
      <c r="O3" s="2386"/>
      <c r="P3" s="2391"/>
      <c r="Q3" s="2388"/>
      <c r="R3" s="2388"/>
      <c r="S3" s="2388"/>
      <c r="T3" s="2388"/>
      <c r="U3" s="2388"/>
      <c r="V3" s="2388"/>
      <c r="W3" s="2388"/>
      <c r="X3" s="2388"/>
      <c r="Y3" s="2388"/>
      <c r="Z3" s="2388"/>
      <c r="AA3" s="2388"/>
      <c r="AB3" s="2388"/>
      <c r="AC3" s="1357"/>
    </row>
    <row r="4" spans="1:29" ht="15">
      <c r="A4" s="380" t="s">
        <v>2334</v>
      </c>
      <c r="B4" s="381"/>
      <c r="C4" s="3031" t="s">
        <v>2335</v>
      </c>
      <c r="D4" s="3032"/>
      <c r="E4" s="3033" t="s">
        <v>2336</v>
      </c>
      <c r="F4" s="3034"/>
      <c r="G4" s="3031" t="s">
        <v>2337</v>
      </c>
      <c r="H4" s="3032"/>
      <c r="I4" s="3031" t="s">
        <v>2338</v>
      </c>
      <c r="J4" s="3032"/>
      <c r="K4" s="2392"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8" t="s">
        <v>2337</v>
      </c>
      <c r="AC4" s="3028" t="s">
        <v>2338</v>
      </c>
    </row>
    <row r="5" spans="1:29" ht="15">
      <c r="A5" s="383"/>
      <c r="B5" s="384"/>
      <c r="C5" s="3016" t="s">
        <v>2341</v>
      </c>
      <c r="D5" s="3017"/>
      <c r="E5" s="3042" t="s">
        <v>2342</v>
      </c>
      <c r="F5" s="3043"/>
      <c r="G5" s="3016" t="s">
        <v>2343</v>
      </c>
      <c r="H5" s="3017"/>
      <c r="I5" s="3016" t="s">
        <v>2344</v>
      </c>
      <c r="J5" s="3017"/>
      <c r="K5" s="2393"/>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2393"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SUMIF(58:58,YEAR(E7)&amp;"-"&amp;MONTH(E7),59:59)</f>
        <v>0</v>
      </c>
      <c r="G7" s="391"/>
      <c r="H7" s="390">
        <f>SUMIF(58:58,YEAR(G7)&amp;"-"&amp;MONTH(G7),59:59)</f>
        <v>0</v>
      </c>
      <c r="I7" s="391"/>
      <c r="J7" s="390">
        <f>SUMIF(58:58,YEAR(I7)&amp;"-"&amp;MONTH(I7),59:59)</f>
        <v>0</v>
      </c>
      <c r="K7" s="2394"/>
      <c r="L7" s="1244"/>
      <c r="M7" s="1245"/>
      <c r="N7" s="1245"/>
      <c r="O7" s="1245"/>
      <c r="P7" s="3018" t="s">
        <v>2348</v>
      </c>
      <c r="Q7" s="3026"/>
      <c r="R7" s="749" t="s">
        <v>34</v>
      </c>
      <c r="S7" s="750">
        <f t="shared" ref="S7:S15" si="0">F7</f>
        <v>0</v>
      </c>
      <c r="T7" s="749" t="s">
        <v>34</v>
      </c>
      <c r="U7" s="750">
        <f t="shared" ref="U7:U15" si="1">H7</f>
        <v>0</v>
      </c>
      <c r="V7" s="749" t="s">
        <v>34</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2395"/>
      <c r="F8" s="392">
        <f>SUMIF(61:61,E8,62:62)-SUMIF(61:61,C8,62:62)+100</f>
        <v>0</v>
      </c>
      <c r="G8" s="394"/>
      <c r="H8" s="390">
        <f>SUMIF(61:61,G8,62:62)-SUMIF(61:61,C8,62:62)+100</f>
        <v>0</v>
      </c>
      <c r="I8" s="2395"/>
      <c r="J8" s="390">
        <f>SUMIF(61:61,I8,62:62)-SUMIF(61:61,C8,62:62)+100</f>
        <v>0</v>
      </c>
      <c r="K8" s="2394"/>
      <c r="L8" s="1244"/>
      <c r="M8" s="1245"/>
      <c r="N8" s="1245"/>
      <c r="O8" s="1245"/>
      <c r="P8" s="3018" t="s">
        <v>2351</v>
      </c>
      <c r="Q8" s="3019"/>
      <c r="R8" s="749" t="s">
        <v>34</v>
      </c>
      <c r="S8" s="750">
        <f t="shared" si="0"/>
        <v>0</v>
      </c>
      <c r="T8" s="749" t="s">
        <v>34</v>
      </c>
      <c r="U8" s="750">
        <f t="shared" si="1"/>
        <v>0</v>
      </c>
      <c r="V8" s="749" t="s">
        <v>34</v>
      </c>
      <c r="W8" s="750">
        <f t="shared" si="2"/>
        <v>0</v>
      </c>
      <c r="X8" s="751"/>
      <c r="Y8" s="3018" t="s">
        <v>2351</v>
      </c>
      <c r="Z8" s="3019"/>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9"/>
      <c r="H9" s="51">
        <f>SUMIF(63:63,G9,64:64)-SUMIF(63:63,C9,64:64)+100</f>
        <v>100</v>
      </c>
      <c r="I9" s="399"/>
      <c r="J9" s="51">
        <f>SUMIF(63:63,I9,64:64)-SUMIF(63:63,C9,64:64)+100</f>
        <v>100</v>
      </c>
      <c r="K9" s="2394"/>
      <c r="L9" s="1244"/>
      <c r="M9" s="1245"/>
      <c r="N9" s="1245"/>
      <c r="O9" s="1245"/>
      <c r="P9" s="3027"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27"/>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27"/>
      <c r="Q11" s="1884" t="str">
        <f t="shared" si="6"/>
        <v>容积率</v>
      </c>
      <c r="R11" s="749" t="s">
        <v>28</v>
      </c>
      <c r="S11" s="750" t="e">
        <f t="shared" si="0"/>
        <v>#N/A</v>
      </c>
      <c r="T11" s="749" t="s">
        <v>28</v>
      </c>
      <c r="U11" s="750" t="e">
        <f t="shared" si="1"/>
        <v>#N/A</v>
      </c>
      <c r="V11" s="749" t="s">
        <v>28</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4"/>
      <c r="M12" s="1245"/>
      <c r="N12" s="1245"/>
      <c r="O12" s="1245"/>
      <c r="P12" s="3027"/>
      <c r="Q12" s="1884">
        <f t="shared" si="6"/>
        <v>111</v>
      </c>
      <c r="R12" s="749" t="s">
        <v>28</v>
      </c>
      <c r="S12" s="750">
        <f t="shared" si="0"/>
        <v>100</v>
      </c>
      <c r="T12" s="749" t="s">
        <v>28</v>
      </c>
      <c r="U12" s="750">
        <f t="shared" si="1"/>
        <v>100</v>
      </c>
      <c r="V12" s="749" t="s">
        <v>28</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2"/>
      <c r="M13" s="1243"/>
      <c r="N13" s="1243"/>
      <c r="O13" s="1243"/>
      <c r="P13" s="3027"/>
      <c r="Q13" s="1884">
        <f t="shared" si="6"/>
        <v>111</v>
      </c>
      <c r="R13" s="749" t="s">
        <v>28</v>
      </c>
      <c r="S13" s="750">
        <f t="shared" si="0"/>
        <v>100</v>
      </c>
      <c r="T13" s="749" t="s">
        <v>28</v>
      </c>
      <c r="U13" s="750">
        <f t="shared" si="1"/>
        <v>100</v>
      </c>
      <c r="V13" s="749" t="s">
        <v>28</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2"/>
      <c r="M14" s="1243"/>
      <c r="N14" s="1243"/>
      <c r="O14" s="1243"/>
      <c r="P14" s="3027"/>
      <c r="Q14" s="1884">
        <f t="shared" si="6"/>
        <v>111</v>
      </c>
      <c r="R14" s="749" t="s">
        <v>28</v>
      </c>
      <c r="S14" s="750">
        <f t="shared" si="0"/>
        <v>100</v>
      </c>
      <c r="T14" s="749" t="s">
        <v>28</v>
      </c>
      <c r="U14" s="750">
        <f t="shared" si="1"/>
        <v>100</v>
      </c>
      <c r="V14" s="749" t="s">
        <v>28</v>
      </c>
      <c r="W14" s="750">
        <f t="shared" si="2"/>
        <v>100</v>
      </c>
      <c r="X14" s="751"/>
      <c r="Y14" s="2830"/>
      <c r="Z14" s="23">
        <f t="shared" si="7"/>
        <v>111</v>
      </c>
      <c r="AA14" s="752">
        <f t="shared" si="3"/>
        <v>1</v>
      </c>
      <c r="AB14" s="752">
        <f t="shared" si="4"/>
        <v>1</v>
      </c>
      <c r="AC14" s="752">
        <f t="shared" si="5"/>
        <v>1</v>
      </c>
    </row>
    <row r="15" spans="1:29" ht="28.5">
      <c r="A15" s="419" t="s">
        <v>2358</v>
      </c>
      <c r="B15" s="26" t="s">
        <v>1736</v>
      </c>
      <c r="C15" s="2400" t="str">
        <f>估价对象房地状况!C3</f>
        <v>周边有等居住社区成熟度较好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05" t="s">
        <v>2359</v>
      </c>
      <c r="Q15" s="1896" t="str">
        <f t="shared" si="6"/>
        <v>居住社区成熟度</v>
      </c>
      <c r="R15" s="753" t="s">
        <v>28</v>
      </c>
      <c r="S15" s="754">
        <f t="shared" si="0"/>
        <v>100</v>
      </c>
      <c r="T15" s="753" t="s">
        <v>28</v>
      </c>
      <c r="U15" s="754">
        <f t="shared" si="1"/>
        <v>100</v>
      </c>
      <c r="V15" s="753" t="s">
        <v>28</v>
      </c>
      <c r="W15" s="754">
        <f t="shared" si="2"/>
        <v>100</v>
      </c>
      <c r="X15" s="1897"/>
      <c r="Y15" s="3007" t="s">
        <v>2359</v>
      </c>
      <c r="Z15" s="1899" t="str">
        <f t="shared" si="7"/>
        <v>居住社区成熟度</v>
      </c>
      <c r="AA15" s="1900">
        <f t="shared" si="3"/>
        <v>1</v>
      </c>
      <c r="AB15" s="1900">
        <f t="shared" si="4"/>
        <v>1</v>
      </c>
      <c r="AC15" s="1900">
        <f t="shared" si="5"/>
        <v>1</v>
      </c>
    </row>
    <row r="16" spans="1:29" ht="15">
      <c r="A16" s="408"/>
      <c r="B16" s="425"/>
      <c r="C16" s="426"/>
      <c r="D16" s="427"/>
      <c r="E16" s="428"/>
      <c r="F16" s="429"/>
      <c r="G16" s="2401"/>
      <c r="H16" s="430"/>
      <c r="I16" s="428"/>
      <c r="J16" s="427"/>
      <c r="K16" s="2402"/>
      <c r="L16" s="1252"/>
      <c r="M16" s="1243"/>
      <c r="N16" s="1243"/>
      <c r="O16" s="1243"/>
      <c r="P16" s="3006"/>
      <c r="Q16" s="1896"/>
      <c r="R16" s="753"/>
      <c r="S16" s="754"/>
      <c r="T16" s="753"/>
      <c r="U16" s="754"/>
      <c r="V16" s="753"/>
      <c r="W16" s="754"/>
      <c r="X16" s="1897"/>
      <c r="Y16" s="3008"/>
      <c r="Z16" s="1899"/>
      <c r="AA16" s="1900">
        <v>1</v>
      </c>
      <c r="AB16" s="1900">
        <v>1</v>
      </c>
      <c r="AC16" s="1900">
        <v>1</v>
      </c>
    </row>
    <row r="17" spans="1:29" ht="128.25">
      <c r="A17" s="408"/>
      <c r="B17" s="431" t="s">
        <v>1745</v>
      </c>
      <c r="C17" s="2403" t="str">
        <f>估价对象房地状况!C6</f>
        <v>临近城市支路——府右街，紧邻言志胡同，周边有14路、68路等多条公交线路及地铁1、4号线换乘站（西单站），交通状况较好。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06"/>
      <c r="Q17" s="1896" t="str">
        <f>B17</f>
        <v>交通便捷度</v>
      </c>
      <c r="R17" s="753" t="s">
        <v>28</v>
      </c>
      <c r="S17" s="754">
        <f>F17</f>
        <v>100</v>
      </c>
      <c r="T17" s="753" t="s">
        <v>28</v>
      </c>
      <c r="U17" s="754">
        <f>H17</f>
        <v>100</v>
      </c>
      <c r="V17" s="753" t="s">
        <v>28</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2402"/>
      <c r="L18" s="1252"/>
      <c r="M18" s="1243"/>
      <c r="N18" s="1243"/>
      <c r="O18" s="1243"/>
      <c r="P18" s="3006"/>
      <c r="Q18" s="1896"/>
      <c r="R18" s="753"/>
      <c r="S18" s="754"/>
      <c r="T18" s="753"/>
      <c r="U18" s="754"/>
      <c r="V18" s="753"/>
      <c r="W18" s="754"/>
      <c r="X18" s="1897"/>
      <c r="Y18" s="3008"/>
      <c r="Z18" s="1899"/>
      <c r="AA18" s="1900">
        <v>1</v>
      </c>
      <c r="AB18" s="1900">
        <v>1</v>
      </c>
      <c r="AC18" s="1900">
        <v>1</v>
      </c>
    </row>
    <row r="19" spans="1:29" ht="270.75">
      <c r="A19" s="408"/>
      <c r="B19" s="431" t="s">
        <v>1743</v>
      </c>
      <c r="C19" s="2403"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06"/>
      <c r="Q19" s="1896" t="str">
        <f>B19</f>
        <v>公共配套设施</v>
      </c>
      <c r="R19" s="753" t="s">
        <v>28</v>
      </c>
      <c r="S19" s="754">
        <f>F19</f>
        <v>100</v>
      </c>
      <c r="T19" s="753" t="s">
        <v>28</v>
      </c>
      <c r="U19" s="754">
        <f>H19</f>
        <v>100</v>
      </c>
      <c r="V19" s="753" t="s">
        <v>28</v>
      </c>
      <c r="W19" s="754">
        <f>J19</f>
        <v>100</v>
      </c>
      <c r="X19" s="1897"/>
      <c r="Y19" s="3008"/>
      <c r="Z19" s="1899" t="str">
        <f>Q19</f>
        <v>公共配套设施</v>
      </c>
      <c r="AA19" s="1900">
        <f t="shared" si="3"/>
        <v>1</v>
      </c>
      <c r="AB19" s="1900">
        <f t="shared" si="4"/>
        <v>1</v>
      </c>
      <c r="AC19" s="1900">
        <f t="shared" si="5"/>
        <v>1</v>
      </c>
    </row>
    <row r="20" spans="1:29" ht="15">
      <c r="A20" s="408"/>
      <c r="B20" s="436"/>
      <c r="C20" s="426"/>
      <c r="D20" s="427"/>
      <c r="E20" s="428"/>
      <c r="F20" s="429"/>
      <c r="G20" s="2401"/>
      <c r="H20" s="427"/>
      <c r="I20" s="428"/>
      <c r="J20" s="427"/>
      <c r="K20" s="2402"/>
      <c r="L20" s="1252"/>
      <c r="M20" s="1243"/>
      <c r="N20" s="1243"/>
      <c r="O20" s="1243"/>
      <c r="P20" s="3006"/>
      <c r="Q20" s="1896"/>
      <c r="R20" s="753"/>
      <c r="S20" s="754"/>
      <c r="T20" s="753"/>
      <c r="U20" s="754"/>
      <c r="V20" s="753"/>
      <c r="W20" s="754"/>
      <c r="X20" s="1897"/>
      <c r="Y20" s="3008"/>
      <c r="Z20" s="1899"/>
      <c r="AA20" s="1900">
        <v>1</v>
      </c>
      <c r="AB20" s="1900">
        <v>1</v>
      </c>
      <c r="AC20" s="1900">
        <v>1</v>
      </c>
    </row>
    <row r="21" spans="1:29" ht="15">
      <c r="A21" s="408"/>
      <c r="B21" s="2405" t="s">
        <v>1746</v>
      </c>
      <c r="C21" s="2403" t="str">
        <f>估价对象房地状况!C8</f>
        <v>五通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06"/>
      <c r="Q21" s="1896" t="str">
        <f>B21</f>
        <v>基础设施水平</v>
      </c>
      <c r="R21" s="753" t="s">
        <v>28</v>
      </c>
      <c r="S21" s="754">
        <f>F21</f>
        <v>100</v>
      </c>
      <c r="T21" s="753" t="s">
        <v>28</v>
      </c>
      <c r="U21" s="754">
        <f>H21</f>
        <v>100</v>
      </c>
      <c r="V21" s="753" t="s">
        <v>28</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2406"/>
      <c r="L22" s="1252"/>
      <c r="M22" s="1243"/>
      <c r="N22" s="1243"/>
      <c r="O22" s="1243"/>
      <c r="P22" s="3006"/>
      <c r="Q22" s="1896"/>
      <c r="R22" s="753"/>
      <c r="S22" s="754"/>
      <c r="T22" s="753"/>
      <c r="U22" s="754"/>
      <c r="V22" s="753"/>
      <c r="W22" s="754"/>
      <c r="X22" s="1897"/>
      <c r="Y22" s="3008"/>
      <c r="Z22" s="1899"/>
      <c r="AA22" s="1900">
        <v>1</v>
      </c>
      <c r="AB22" s="1900">
        <v>1</v>
      </c>
      <c r="AC22" s="1900">
        <v>1</v>
      </c>
    </row>
    <row r="23" spans="1:29" ht="99.75">
      <c r="A23" s="408"/>
      <c r="B23" s="431" t="s">
        <v>1750</v>
      </c>
      <c r="C23" s="2403" t="str">
        <f>估价对象房地状况!C9</f>
        <v>区域自然环境：中南海、南海、护城河；人文环境：国家大剧院、北京图书大厦；综合评价环境状况较好。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06"/>
      <c r="Q23" s="1896" t="str">
        <f>B23</f>
        <v>自然及人文环境</v>
      </c>
      <c r="R23" s="753" t="s">
        <v>28</v>
      </c>
      <c r="S23" s="754">
        <f>F23</f>
        <v>100</v>
      </c>
      <c r="T23" s="753" t="s">
        <v>28</v>
      </c>
      <c r="U23" s="754">
        <f>H23</f>
        <v>100</v>
      </c>
      <c r="V23" s="753" t="s">
        <v>28</v>
      </c>
      <c r="W23" s="754">
        <f>J23</f>
        <v>100</v>
      </c>
      <c r="X23" s="1897"/>
      <c r="Y23" s="3008"/>
      <c r="Z23" s="1899" t="str">
        <f>Q23</f>
        <v>自然及人文环境</v>
      </c>
      <c r="AA23" s="1900">
        <f t="shared" si="3"/>
        <v>1</v>
      </c>
      <c r="AB23" s="1900">
        <f t="shared" si="4"/>
        <v>1</v>
      </c>
      <c r="AC23" s="1900">
        <f t="shared" si="5"/>
        <v>1</v>
      </c>
    </row>
    <row r="24" spans="1:29" ht="15">
      <c r="A24" s="408"/>
      <c r="B24" s="436"/>
      <c r="C24" s="426"/>
      <c r="D24" s="427"/>
      <c r="E24" s="428"/>
      <c r="F24" s="429"/>
      <c r="G24" s="2401"/>
      <c r="H24" s="427"/>
      <c r="I24" s="428"/>
      <c r="J24" s="427"/>
      <c r="K24" s="2402"/>
      <c r="L24" s="1252"/>
      <c r="M24" s="1243"/>
      <c r="N24" s="1243"/>
      <c r="O24" s="1243"/>
      <c r="P24" s="3006"/>
      <c r="Q24" s="1896"/>
      <c r="R24" s="753"/>
      <c r="S24" s="754"/>
      <c r="T24" s="753"/>
      <c r="U24" s="754"/>
      <c r="V24" s="753"/>
      <c r="W24" s="754"/>
      <c r="X24" s="1897"/>
      <c r="Y24" s="3008"/>
      <c r="Z24" s="1899"/>
      <c r="AA24" s="1900">
        <v>1</v>
      </c>
      <c r="AB24" s="1900">
        <v>1</v>
      </c>
      <c r="AC24" s="1900">
        <v>1</v>
      </c>
    </row>
    <row r="25" spans="1:29" ht="15">
      <c r="A25" s="408"/>
      <c r="B25" s="402" t="s">
        <v>2360</v>
      </c>
      <c r="C25" s="441"/>
      <c r="D25" s="415">
        <v>100</v>
      </c>
      <c r="E25" s="2407"/>
      <c r="F25" s="442">
        <f>SUMIF(86:86,E25,87:87)-SUMIF(86:86,C25,87:87)+100</f>
        <v>100</v>
      </c>
      <c r="G25" s="2408"/>
      <c r="H25" s="415">
        <f>SUMIF(86:86,G25,87:87)-SUMIF(86:86,C25,87:87)+100</f>
        <v>100</v>
      </c>
      <c r="I25" s="2407"/>
      <c r="J25" s="415">
        <f>SUMIF(86:86,I25,87:87)-SUMIF(86:86,C25,87:87)+100</f>
        <v>100</v>
      </c>
      <c r="K25" s="406"/>
      <c r="L25" s="1252"/>
      <c r="M25" s="1243"/>
      <c r="N25" s="1243"/>
      <c r="O25" s="1243"/>
      <c r="P25" s="3006"/>
      <c r="Q25" s="1896" t="str">
        <f t="shared" ref="Q25:Q46" si="11">B25</f>
        <v>楼层-1</v>
      </c>
      <c r="R25" s="753" t="s">
        <v>28</v>
      </c>
      <c r="S25" s="754">
        <f>F25</f>
        <v>100</v>
      </c>
      <c r="T25" s="753" t="s">
        <v>28</v>
      </c>
      <c r="U25" s="754">
        <f>H25</f>
        <v>100</v>
      </c>
      <c r="V25" s="753" t="s">
        <v>28</v>
      </c>
      <c r="W25" s="754">
        <f>J25</f>
        <v>100</v>
      </c>
      <c r="X25" s="1897"/>
      <c r="Y25" s="3008"/>
      <c r="Z25" s="1899" t="str">
        <f>Q25</f>
        <v>楼层-1</v>
      </c>
      <c r="AA25" s="1900">
        <f t="shared" si="3"/>
        <v>1</v>
      </c>
      <c r="AB25" s="1900">
        <f t="shared" si="4"/>
        <v>1</v>
      </c>
      <c r="AC25" s="1900">
        <f t="shared" si="5"/>
        <v>1</v>
      </c>
    </row>
    <row r="26" spans="1:29" ht="15">
      <c r="A26" s="408"/>
      <c r="B26" s="402" t="s">
        <v>2361</v>
      </c>
      <c r="C26" s="441"/>
      <c r="D26" s="415">
        <v>100</v>
      </c>
      <c r="E26" s="2407"/>
      <c r="F26" s="442">
        <f>SUMIF(88:88,E26,89:89)-SUMIF(88:88,C26,89:89)+100</f>
        <v>100</v>
      </c>
      <c r="G26" s="2408"/>
      <c r="H26" s="415">
        <f>SUMIF(88:88,G26,89:89)-SUMIF(88:88,C26,89:89)+100</f>
        <v>100</v>
      </c>
      <c r="I26" s="2407"/>
      <c r="J26" s="415">
        <f>SUMIF(88:88,I26,89:89)-SUMIF(88:88,C26,89:89)+100</f>
        <v>100</v>
      </c>
      <c r="K26" s="406"/>
      <c r="L26" s="1252"/>
      <c r="M26" s="1243"/>
      <c r="N26" s="1243"/>
      <c r="O26" s="1243"/>
      <c r="P26" s="3006"/>
      <c r="Q26" s="1896" t="str">
        <f t="shared" si="11"/>
        <v>朝向</v>
      </c>
      <c r="R26" s="753" t="s">
        <v>28</v>
      </c>
      <c r="S26" s="754">
        <f>F26</f>
        <v>100</v>
      </c>
      <c r="T26" s="753" t="s">
        <v>28</v>
      </c>
      <c r="U26" s="754">
        <f>H26</f>
        <v>100</v>
      </c>
      <c r="V26" s="753" t="s">
        <v>28</v>
      </c>
      <c r="W26" s="754">
        <f>J26</f>
        <v>100</v>
      </c>
      <c r="X26" s="1897"/>
      <c r="Y26" s="3008"/>
      <c r="Z26" s="1899" t="str">
        <f>Q26</f>
        <v>朝向</v>
      </c>
      <c r="AA26" s="1900">
        <f t="shared" si="3"/>
        <v>1</v>
      </c>
      <c r="AB26" s="1900">
        <f t="shared" si="4"/>
        <v>1</v>
      </c>
      <c r="AC26" s="1900">
        <f t="shared" si="5"/>
        <v>1</v>
      </c>
    </row>
    <row r="27" spans="1:29" s="35" customFormat="1" ht="15">
      <c r="A27" s="411"/>
      <c r="B27" s="2396" t="s">
        <v>2362</v>
      </c>
      <c r="C27" s="412"/>
      <c r="D27" s="443">
        <v>100</v>
      </c>
      <c r="E27" s="444"/>
      <c r="F27" s="445">
        <f>SUMIF(90:90,E27,91:91)-SUMIF(90:90,C27,91:91)+100</f>
        <v>100</v>
      </c>
      <c r="G27" s="446"/>
      <c r="H27" s="443">
        <f>SUMIF(90:90,G27,91:91)-SUMIF(90:90,C27,91:91)+100</f>
        <v>100</v>
      </c>
      <c r="I27" s="444"/>
      <c r="J27" s="443">
        <f>SUMIF(90:90,I27,91:91)-SUMIF(90:90,C27,91:91)+100</f>
        <v>100</v>
      </c>
      <c r="K27" s="2397"/>
      <c r="L27" s="1244"/>
      <c r="M27" s="1245"/>
      <c r="N27" s="1245"/>
      <c r="O27" s="1245"/>
      <c r="P27" s="3006"/>
      <c r="Q27" s="1884" t="str">
        <f t="shared" si="11"/>
        <v>道路级别</v>
      </c>
      <c r="R27" s="749" t="s">
        <v>28</v>
      </c>
      <c r="S27" s="750">
        <f>F27</f>
        <v>100</v>
      </c>
      <c r="T27" s="749" t="s">
        <v>28</v>
      </c>
      <c r="U27" s="750">
        <f>H27</f>
        <v>100</v>
      </c>
      <c r="V27" s="749" t="s">
        <v>28</v>
      </c>
      <c r="W27" s="750">
        <f>J27</f>
        <v>100</v>
      </c>
      <c r="X27" s="751"/>
      <c r="Y27" s="3008"/>
      <c r="Z27" s="23" t="str">
        <f>Q27</f>
        <v>道路级别</v>
      </c>
      <c r="AA27" s="1900">
        <f>D27/F27</f>
        <v>1</v>
      </c>
      <c r="AB27" s="1900">
        <f>D27/H27</f>
        <v>1</v>
      </c>
      <c r="AC27" s="1900">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52"/>
      <c r="M28" s="1243"/>
      <c r="N28" s="1243"/>
      <c r="O28" s="1243"/>
      <c r="P28" s="3006"/>
      <c r="Q28" s="1896">
        <f t="shared" si="11"/>
        <v>111</v>
      </c>
      <c r="R28" s="753" t="s">
        <v>28</v>
      </c>
      <c r="S28" s="754">
        <f t="shared" ref="S28:S46" si="12">F28</f>
        <v>100</v>
      </c>
      <c r="T28" s="753" t="s">
        <v>28</v>
      </c>
      <c r="U28" s="754">
        <f t="shared" ref="U28:U46" si="13">H28</f>
        <v>100</v>
      </c>
      <c r="V28" s="753" t="s">
        <v>28</v>
      </c>
      <c r="W28" s="754">
        <f t="shared" ref="W28:W46" si="14">J28</f>
        <v>100</v>
      </c>
      <c r="X28" s="1897"/>
      <c r="Y28" s="3008"/>
      <c r="Z28" s="1899">
        <f t="shared" ref="Z28:Z46" si="15">Q28</f>
        <v>111</v>
      </c>
      <c r="AA28" s="1900">
        <f t="shared" si="3"/>
        <v>1</v>
      </c>
      <c r="AB28" s="1900">
        <f t="shared" si="4"/>
        <v>1</v>
      </c>
      <c r="AC28" s="1900">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2"/>
      <c r="M29" s="1243"/>
      <c r="N29" s="1243"/>
      <c r="O29" s="1243"/>
      <c r="P29" s="3006"/>
      <c r="Q29" s="1896">
        <f t="shared" si="11"/>
        <v>111</v>
      </c>
      <c r="R29" s="753" t="s">
        <v>28</v>
      </c>
      <c r="S29" s="754">
        <f t="shared" si="12"/>
        <v>100</v>
      </c>
      <c r="T29" s="753" t="s">
        <v>28</v>
      </c>
      <c r="U29" s="754">
        <f t="shared" si="13"/>
        <v>100</v>
      </c>
      <c r="V29" s="753" t="s">
        <v>28</v>
      </c>
      <c r="W29" s="754">
        <f t="shared" si="14"/>
        <v>100</v>
      </c>
      <c r="X29" s="1897"/>
      <c r="Y29" s="3008"/>
      <c r="Z29" s="1899">
        <f t="shared" si="15"/>
        <v>111</v>
      </c>
      <c r="AA29" s="1900">
        <f t="shared" si="3"/>
        <v>1</v>
      </c>
      <c r="AB29" s="1900">
        <f t="shared" si="4"/>
        <v>1</v>
      </c>
      <c r="AC29" s="1900">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2"/>
      <c r="M30" s="1243"/>
      <c r="N30" s="1243"/>
      <c r="O30" s="1243"/>
      <c r="P30" s="3006"/>
      <c r="Q30" s="1896">
        <f t="shared" si="11"/>
        <v>111</v>
      </c>
      <c r="R30" s="753" t="s">
        <v>28</v>
      </c>
      <c r="S30" s="754">
        <f t="shared" si="12"/>
        <v>100</v>
      </c>
      <c r="T30" s="753" t="s">
        <v>28</v>
      </c>
      <c r="U30" s="754">
        <f t="shared" si="13"/>
        <v>100</v>
      </c>
      <c r="V30" s="753" t="s">
        <v>28</v>
      </c>
      <c r="W30" s="754">
        <f t="shared" si="14"/>
        <v>100</v>
      </c>
      <c r="X30" s="1897"/>
      <c r="Y30" s="3008"/>
      <c r="Z30" s="1899">
        <f t="shared" si="15"/>
        <v>111</v>
      </c>
      <c r="AA30" s="1900">
        <f t="shared" si="3"/>
        <v>1</v>
      </c>
      <c r="AB30" s="1900">
        <f t="shared" si="4"/>
        <v>1</v>
      </c>
      <c r="AC30" s="1900">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2"/>
      <c r="M31" s="1243"/>
      <c r="N31" s="1243"/>
      <c r="O31" s="1243"/>
      <c r="P31" s="3006"/>
      <c r="Q31" s="1896">
        <f t="shared" si="11"/>
        <v>111</v>
      </c>
      <c r="R31" s="753" t="s">
        <v>28</v>
      </c>
      <c r="S31" s="754">
        <f t="shared" si="12"/>
        <v>100</v>
      </c>
      <c r="T31" s="753" t="s">
        <v>28</v>
      </c>
      <c r="U31" s="754">
        <f t="shared" si="13"/>
        <v>100</v>
      </c>
      <c r="V31" s="753" t="s">
        <v>28</v>
      </c>
      <c r="W31" s="754">
        <f t="shared" si="14"/>
        <v>100</v>
      </c>
      <c r="X31" s="1897"/>
      <c r="Y31" s="3008"/>
      <c r="Z31" s="1899">
        <f t="shared" si="15"/>
        <v>111</v>
      </c>
      <c r="AA31" s="1900">
        <f t="shared" si="3"/>
        <v>1</v>
      </c>
      <c r="AB31" s="1900">
        <f t="shared" si="4"/>
        <v>1</v>
      </c>
      <c r="AC31" s="1900">
        <f t="shared" si="5"/>
        <v>1</v>
      </c>
    </row>
    <row r="32" spans="1:29" ht="15">
      <c r="A32" s="419" t="s">
        <v>2363</v>
      </c>
      <c r="B32" s="28" t="s">
        <v>2364</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2"/>
      <c r="M32" s="1243"/>
      <c r="N32" s="1243"/>
      <c r="O32" s="1243"/>
      <c r="P32" s="3009" t="s">
        <v>2365</v>
      </c>
      <c r="Q32" s="1896" t="str">
        <f t="shared" si="11"/>
        <v>建筑类型</v>
      </c>
      <c r="R32" s="753" t="s">
        <v>28</v>
      </c>
      <c r="S32" s="754">
        <f t="shared" si="12"/>
        <v>100</v>
      </c>
      <c r="T32" s="753" t="s">
        <v>28</v>
      </c>
      <c r="U32" s="754">
        <f t="shared" si="13"/>
        <v>100</v>
      </c>
      <c r="V32" s="753" t="s">
        <v>28</v>
      </c>
      <c r="W32" s="754">
        <f t="shared" si="14"/>
        <v>100</v>
      </c>
      <c r="X32" s="1897"/>
      <c r="Y32" s="3012" t="s">
        <v>2365</v>
      </c>
      <c r="Z32" s="1899" t="str">
        <f t="shared" si="15"/>
        <v>建筑类型</v>
      </c>
      <c r="AA32" s="1900">
        <f t="shared" si="3"/>
        <v>1</v>
      </c>
      <c r="AB32" s="1900">
        <f t="shared" si="4"/>
        <v>1</v>
      </c>
      <c r="AC32" s="1900">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50"/>
      <c r="M33" s="1253"/>
      <c r="N33" s="1253"/>
      <c r="O33" s="1253"/>
      <c r="P33" s="3010"/>
      <c r="Q33" s="755" t="str">
        <f t="shared" si="11"/>
        <v>项目建筑规模</v>
      </c>
      <c r="R33" s="756" t="s">
        <v>28</v>
      </c>
      <c r="S33" s="757" t="e">
        <f t="shared" si="12"/>
        <v>#N/A</v>
      </c>
      <c r="T33" s="756" t="s">
        <v>28</v>
      </c>
      <c r="U33" s="757" t="e">
        <f t="shared" si="13"/>
        <v>#N/A</v>
      </c>
      <c r="V33" s="756" t="s">
        <v>28</v>
      </c>
      <c r="W33" s="757" t="e">
        <f t="shared" si="14"/>
        <v>#N/A</v>
      </c>
      <c r="X33" s="758"/>
      <c r="Y33" s="3012"/>
      <c r="Z33" s="759" t="str">
        <f t="shared" si="15"/>
        <v>项目建筑规模</v>
      </c>
      <c r="AA33" s="1900" t="e">
        <f t="shared" si="3"/>
        <v>#N/A</v>
      </c>
      <c r="AB33" s="1900" t="e">
        <f t="shared" si="4"/>
        <v>#N/A</v>
      </c>
      <c r="AC33" s="1900" t="e">
        <f t="shared" si="5"/>
        <v>#N/A</v>
      </c>
    </row>
    <row r="34" spans="1:29" ht="15">
      <c r="A34" s="453"/>
      <c r="B34" s="402" t="s">
        <v>2367</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52"/>
      <c r="M34" s="1243"/>
      <c r="N34" s="1243"/>
      <c r="O34" s="1243"/>
      <c r="P34" s="3010"/>
      <c r="Q34" s="1896" t="str">
        <f t="shared" si="11"/>
        <v>建筑结构</v>
      </c>
      <c r="R34" s="753" t="s">
        <v>28</v>
      </c>
      <c r="S34" s="754">
        <f t="shared" si="12"/>
        <v>100</v>
      </c>
      <c r="T34" s="753" t="s">
        <v>28</v>
      </c>
      <c r="U34" s="754">
        <f t="shared" si="13"/>
        <v>100</v>
      </c>
      <c r="V34" s="753" t="s">
        <v>28</v>
      </c>
      <c r="W34" s="754">
        <f t="shared" si="14"/>
        <v>100</v>
      </c>
      <c r="X34" s="1897"/>
      <c r="Y34" s="3012"/>
      <c r="Z34" s="1899" t="str">
        <f t="shared" si="15"/>
        <v>建筑结构</v>
      </c>
      <c r="AA34" s="1900">
        <f t="shared" si="3"/>
        <v>1</v>
      </c>
      <c r="AB34" s="1900">
        <f t="shared" si="4"/>
        <v>1</v>
      </c>
      <c r="AC34" s="1900">
        <f t="shared" si="5"/>
        <v>1</v>
      </c>
    </row>
    <row r="35" spans="1:29" ht="15">
      <c r="A35" s="453"/>
      <c r="B35" s="402" t="s">
        <v>2368</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52"/>
      <c r="M35" s="1243"/>
      <c r="N35" s="1243"/>
      <c r="O35" s="1243"/>
      <c r="P35" s="3010"/>
      <c r="Q35" s="1896" t="str">
        <f t="shared" si="11"/>
        <v>建筑品质</v>
      </c>
      <c r="R35" s="753" t="s">
        <v>28</v>
      </c>
      <c r="S35" s="754">
        <f t="shared" si="12"/>
        <v>100</v>
      </c>
      <c r="T35" s="753" t="s">
        <v>28</v>
      </c>
      <c r="U35" s="754">
        <f t="shared" si="13"/>
        <v>100</v>
      </c>
      <c r="V35" s="753" t="s">
        <v>28</v>
      </c>
      <c r="W35" s="754">
        <f t="shared" si="14"/>
        <v>100</v>
      </c>
      <c r="X35" s="1897"/>
      <c r="Y35" s="3012"/>
      <c r="Z35" s="1899" t="str">
        <f t="shared" si="15"/>
        <v>建筑品质</v>
      </c>
      <c r="AA35" s="1900">
        <f t="shared" si="3"/>
        <v>1</v>
      </c>
      <c r="AB35" s="1900">
        <f t="shared" si="4"/>
        <v>1</v>
      </c>
      <c r="AC35" s="1900">
        <f t="shared" si="5"/>
        <v>1</v>
      </c>
    </row>
    <row r="36" spans="1:29" ht="15">
      <c r="A36" s="453"/>
      <c r="B36" s="402" t="s">
        <v>2369</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52"/>
      <c r="M36" s="1243"/>
      <c r="N36" s="1243"/>
      <c r="O36" s="1243"/>
      <c r="P36" s="3010"/>
      <c r="Q36" s="1896" t="str">
        <f t="shared" si="11"/>
        <v>公共部分装修</v>
      </c>
      <c r="R36" s="753" t="s">
        <v>28</v>
      </c>
      <c r="S36" s="754">
        <f t="shared" si="12"/>
        <v>100</v>
      </c>
      <c r="T36" s="753" t="s">
        <v>28</v>
      </c>
      <c r="U36" s="754">
        <f t="shared" si="13"/>
        <v>100</v>
      </c>
      <c r="V36" s="753" t="s">
        <v>28</v>
      </c>
      <c r="W36" s="754">
        <f t="shared" si="14"/>
        <v>100</v>
      </c>
      <c r="X36" s="1897"/>
      <c r="Y36" s="3012"/>
      <c r="Z36" s="1899" t="str">
        <f t="shared" si="15"/>
        <v>公共部分装修</v>
      </c>
      <c r="AA36" s="1900">
        <f t="shared" si="3"/>
        <v>1</v>
      </c>
      <c r="AB36" s="1900">
        <f t="shared" si="4"/>
        <v>1</v>
      </c>
      <c r="AC36" s="1900">
        <f t="shared" si="5"/>
        <v>1</v>
      </c>
    </row>
    <row r="37" spans="1:29" s="35" customFormat="1" ht="15">
      <c r="A37" s="454"/>
      <c r="B37" s="402" t="s">
        <v>2370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10"/>
      <c r="Q37" s="1884" t="str">
        <f t="shared" si="11"/>
        <v>成新度</v>
      </c>
      <c r="R37" s="749" t="s">
        <v>28</v>
      </c>
      <c r="S37" s="750" t="e">
        <f t="shared" si="12"/>
        <v>#N/A</v>
      </c>
      <c r="T37" s="749" t="s">
        <v>28</v>
      </c>
      <c r="U37" s="750" t="e">
        <f t="shared" si="13"/>
        <v>#N/A</v>
      </c>
      <c r="V37" s="749" t="s">
        <v>28</v>
      </c>
      <c r="W37" s="750" t="e">
        <f t="shared" si="14"/>
        <v>#N/A</v>
      </c>
      <c r="X37" s="751"/>
      <c r="Y37" s="3012"/>
      <c r="Z37" s="23" t="str">
        <f t="shared" si="15"/>
        <v>成新度</v>
      </c>
      <c r="AA37" s="752" t="e">
        <f t="shared" si="3"/>
        <v>#N/A</v>
      </c>
      <c r="AB37" s="752" t="e">
        <f t="shared" si="4"/>
        <v>#N/A</v>
      </c>
      <c r="AC37" s="752" t="e">
        <f t="shared" si="5"/>
        <v>#N/A</v>
      </c>
    </row>
    <row r="38" spans="1:29" ht="15">
      <c r="A38" s="453"/>
      <c r="B38" s="402" t="s">
        <v>2371</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52"/>
      <c r="M38" s="1243"/>
      <c r="N38" s="1243"/>
      <c r="O38" s="1243"/>
      <c r="P38" s="3010" t="s">
        <v>2365</v>
      </c>
      <c r="Q38" s="1896" t="str">
        <f t="shared" si="11"/>
        <v>物业管理</v>
      </c>
      <c r="R38" s="753" t="s">
        <v>28</v>
      </c>
      <c r="S38" s="754">
        <f t="shared" si="12"/>
        <v>100</v>
      </c>
      <c r="T38" s="753" t="s">
        <v>28</v>
      </c>
      <c r="U38" s="754">
        <f t="shared" si="13"/>
        <v>100</v>
      </c>
      <c r="V38" s="753" t="s">
        <v>28</v>
      </c>
      <c r="W38" s="754">
        <f t="shared" si="14"/>
        <v>100</v>
      </c>
      <c r="X38" s="1897"/>
      <c r="Y38" s="3012" t="s">
        <v>2365</v>
      </c>
      <c r="Z38" s="1899" t="str">
        <f t="shared" si="15"/>
        <v>物业管理</v>
      </c>
      <c r="AA38" s="1900">
        <f t="shared" si="3"/>
        <v>1</v>
      </c>
      <c r="AB38" s="1900">
        <f t="shared" si="4"/>
        <v>1</v>
      </c>
      <c r="AC38" s="1900">
        <f t="shared" si="5"/>
        <v>1</v>
      </c>
    </row>
    <row r="39" spans="1:29" ht="15">
      <c r="A39" s="453"/>
      <c r="B39" s="402" t="s">
        <v>2372</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52"/>
      <c r="M39" s="1243"/>
      <c r="N39" s="1243"/>
      <c r="O39" s="1243"/>
      <c r="P39" s="3010"/>
      <c r="Q39" s="1896" t="str">
        <f t="shared" si="11"/>
        <v>市政基础设施</v>
      </c>
      <c r="R39" s="753" t="s">
        <v>28</v>
      </c>
      <c r="S39" s="754">
        <f t="shared" si="12"/>
        <v>100</v>
      </c>
      <c r="T39" s="753" t="s">
        <v>28</v>
      </c>
      <c r="U39" s="754">
        <f t="shared" si="13"/>
        <v>100</v>
      </c>
      <c r="V39" s="753" t="s">
        <v>28</v>
      </c>
      <c r="W39" s="754">
        <f t="shared" si="14"/>
        <v>100</v>
      </c>
      <c r="X39" s="1897"/>
      <c r="Y39" s="3012"/>
      <c r="Z39" s="1899" t="str">
        <f t="shared" si="15"/>
        <v>市政基础设施</v>
      </c>
      <c r="AA39" s="1900">
        <f t="shared" si="3"/>
        <v>1</v>
      </c>
      <c r="AB39" s="1900">
        <f t="shared" si="4"/>
        <v>1</v>
      </c>
      <c r="AC39" s="1900">
        <f t="shared" si="5"/>
        <v>1</v>
      </c>
    </row>
    <row r="40" spans="1:29" ht="15">
      <c r="A40" s="453"/>
      <c r="B40" s="402" t="s">
        <v>2373</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2"/>
      <c r="M40" s="1243"/>
      <c r="N40" s="1243"/>
      <c r="O40" s="1243"/>
      <c r="P40" s="3010"/>
      <c r="Q40" s="1896" t="str">
        <f t="shared" si="11"/>
        <v>房型</v>
      </c>
      <c r="R40" s="753" t="s">
        <v>28</v>
      </c>
      <c r="S40" s="754">
        <f t="shared" si="12"/>
        <v>100</v>
      </c>
      <c r="T40" s="753" t="s">
        <v>28</v>
      </c>
      <c r="U40" s="754">
        <f t="shared" si="13"/>
        <v>100</v>
      </c>
      <c r="V40" s="753" t="s">
        <v>28</v>
      </c>
      <c r="W40" s="754">
        <f t="shared" si="14"/>
        <v>100</v>
      </c>
      <c r="X40" s="1897"/>
      <c r="Y40" s="3012"/>
      <c r="Z40" s="1899" t="str">
        <f t="shared" si="15"/>
        <v>房型</v>
      </c>
      <c r="AA40" s="1900">
        <f t="shared" si="3"/>
        <v>1</v>
      </c>
      <c r="AB40" s="1900">
        <f t="shared" si="4"/>
        <v>1</v>
      </c>
      <c r="AC40" s="1900">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50"/>
      <c r="M41" s="1253"/>
      <c r="N41" s="1253"/>
      <c r="O41" s="1253"/>
      <c r="P41" s="3010"/>
      <c r="Q41" s="755" t="str">
        <f t="shared" si="11"/>
        <v>单套/主力户型建筑面积</v>
      </c>
      <c r="R41" s="756" t="s">
        <v>28</v>
      </c>
      <c r="S41" s="757">
        <f t="shared" si="12"/>
        <v>100</v>
      </c>
      <c r="T41" s="756" t="s">
        <v>28</v>
      </c>
      <c r="U41" s="757">
        <f t="shared" si="13"/>
        <v>100</v>
      </c>
      <c r="V41" s="756" t="s">
        <v>28</v>
      </c>
      <c r="W41" s="757">
        <f t="shared" si="14"/>
        <v>100</v>
      </c>
      <c r="X41" s="758"/>
      <c r="Y41" s="3012"/>
      <c r="Z41" s="759" t="str">
        <f t="shared" si="15"/>
        <v>单套/主力户型建筑面积</v>
      </c>
      <c r="AA41" s="1900">
        <f t="shared" si="3"/>
        <v>1</v>
      </c>
      <c r="AB41" s="1900">
        <f t="shared" si="4"/>
        <v>1</v>
      </c>
      <c r="AC41" s="1900">
        <f t="shared" si="5"/>
        <v>1</v>
      </c>
    </row>
    <row r="42" spans="1:29" ht="15">
      <c r="A42" s="453"/>
      <c r="B42" s="402" t="s">
        <v>2375</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52"/>
      <c r="M42" s="1243"/>
      <c r="N42" s="1243"/>
      <c r="O42" s="1243"/>
      <c r="P42" s="3010"/>
      <c r="Q42" s="1896" t="str">
        <f t="shared" si="11"/>
        <v>内部装修</v>
      </c>
      <c r="R42" s="753" t="s">
        <v>28</v>
      </c>
      <c r="S42" s="754">
        <f t="shared" si="12"/>
        <v>100</v>
      </c>
      <c r="T42" s="753" t="s">
        <v>28</v>
      </c>
      <c r="U42" s="754">
        <f t="shared" si="13"/>
        <v>100</v>
      </c>
      <c r="V42" s="753" t="s">
        <v>28</v>
      </c>
      <c r="W42" s="754">
        <f t="shared" si="14"/>
        <v>100</v>
      </c>
      <c r="X42" s="1897"/>
      <c r="Y42" s="3012"/>
      <c r="Z42" s="1899" t="str">
        <f t="shared" si="15"/>
        <v>内部装修</v>
      </c>
      <c r="AA42" s="1900">
        <f t="shared" si="3"/>
        <v>1</v>
      </c>
      <c r="AB42" s="1900">
        <f t="shared" si="4"/>
        <v>1</v>
      </c>
      <c r="AC42" s="1900">
        <f t="shared" si="5"/>
        <v>1</v>
      </c>
    </row>
    <row r="43" spans="1:29" ht="15">
      <c r="A43" s="453"/>
      <c r="B43" s="402" t="s">
        <v>2376</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52"/>
      <c r="M43" s="1243"/>
      <c r="N43" s="1243"/>
      <c r="O43" s="1243"/>
      <c r="P43" s="3010"/>
      <c r="Q43" s="1896" t="str">
        <f t="shared" si="11"/>
        <v>内部装修维护情况</v>
      </c>
      <c r="R43" s="753" t="s">
        <v>28</v>
      </c>
      <c r="S43" s="754">
        <f t="shared" si="12"/>
        <v>100</v>
      </c>
      <c r="T43" s="753" t="s">
        <v>28</v>
      </c>
      <c r="U43" s="754">
        <f t="shared" si="13"/>
        <v>100</v>
      </c>
      <c r="V43" s="753" t="s">
        <v>28</v>
      </c>
      <c r="W43" s="754">
        <f t="shared" si="14"/>
        <v>100</v>
      </c>
      <c r="X43" s="1897"/>
      <c r="Y43" s="3012"/>
      <c r="Z43" s="1899" t="str">
        <f t="shared" si="15"/>
        <v>内部装修维护情况</v>
      </c>
      <c r="AA43" s="1900">
        <f t="shared" si="3"/>
        <v>1</v>
      </c>
      <c r="AB43" s="1900">
        <f t="shared" si="4"/>
        <v>1</v>
      </c>
      <c r="AC43" s="1900">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4"/>
      <c r="M44" s="1245"/>
      <c r="N44" s="1245"/>
      <c r="O44" s="1245"/>
      <c r="P44" s="3010"/>
      <c r="Q44" s="1884">
        <f t="shared" si="11"/>
        <v>111</v>
      </c>
      <c r="R44" s="749" t="s">
        <v>28</v>
      </c>
      <c r="S44" s="750">
        <f t="shared" si="12"/>
        <v>100</v>
      </c>
      <c r="T44" s="749" t="s">
        <v>28</v>
      </c>
      <c r="U44" s="750">
        <f t="shared" si="13"/>
        <v>100</v>
      </c>
      <c r="V44" s="749" t="s">
        <v>28</v>
      </c>
      <c r="W44" s="750">
        <f t="shared" si="14"/>
        <v>100</v>
      </c>
      <c r="X44" s="751"/>
      <c r="Y44" s="301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2"/>
      <c r="M45" s="1243"/>
      <c r="N45" s="1243"/>
      <c r="O45" s="1243"/>
      <c r="P45" s="3010"/>
      <c r="Q45" s="1896">
        <f t="shared" si="11"/>
        <v>111</v>
      </c>
      <c r="R45" s="753" t="s">
        <v>28</v>
      </c>
      <c r="S45" s="754">
        <f t="shared" si="12"/>
        <v>100</v>
      </c>
      <c r="T45" s="753" t="s">
        <v>28</v>
      </c>
      <c r="U45" s="754">
        <f t="shared" si="13"/>
        <v>100</v>
      </c>
      <c r="V45" s="753" t="s">
        <v>28</v>
      </c>
      <c r="W45" s="754">
        <f t="shared" si="14"/>
        <v>100</v>
      </c>
      <c r="X45" s="1897"/>
      <c r="Y45" s="3012"/>
      <c r="Z45" s="1899">
        <f t="shared" si="15"/>
        <v>111</v>
      </c>
      <c r="AA45" s="1900">
        <f t="shared" si="3"/>
        <v>1</v>
      </c>
      <c r="AB45" s="1900">
        <f t="shared" si="4"/>
        <v>1</v>
      </c>
      <c r="AC45" s="1900">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2"/>
      <c r="M46" s="1243"/>
      <c r="N46" s="1243"/>
      <c r="O46" s="1243"/>
      <c r="P46" s="3011"/>
      <c r="Q46" s="1896">
        <f t="shared" si="11"/>
        <v>111</v>
      </c>
      <c r="R46" s="753" t="s">
        <v>27</v>
      </c>
      <c r="S46" s="754">
        <f t="shared" si="12"/>
        <v>100</v>
      </c>
      <c r="T46" s="753" t="s">
        <v>27</v>
      </c>
      <c r="U46" s="754">
        <f t="shared" si="13"/>
        <v>100</v>
      </c>
      <c r="V46" s="753" t="s">
        <v>27</v>
      </c>
      <c r="W46" s="754">
        <f t="shared" si="14"/>
        <v>100</v>
      </c>
      <c r="X46" s="1897"/>
      <c r="Y46" s="3013"/>
      <c r="Z46" s="1899">
        <f t="shared" si="15"/>
        <v>111</v>
      </c>
      <c r="AA46" s="1900">
        <f t="shared" si="3"/>
        <v>1</v>
      </c>
      <c r="AB46" s="1900">
        <f t="shared" si="4"/>
        <v>1</v>
      </c>
      <c r="AC46" s="1900">
        <f t="shared" si="5"/>
        <v>1</v>
      </c>
    </row>
    <row r="47" spans="1:29" ht="15">
      <c r="A47" s="460" t="s">
        <v>2377</v>
      </c>
      <c r="B47" s="461"/>
      <c r="C47" s="1501" t="s">
        <v>26</v>
      </c>
      <c r="D47" s="1502"/>
      <c r="E47" s="1503"/>
      <c r="F47" s="1504"/>
      <c r="G47" s="1505"/>
      <c r="H47" s="1506"/>
      <c r="I47" s="1503"/>
      <c r="J47" s="1506"/>
      <c r="K47" s="2414"/>
      <c r="L47" s="1255"/>
      <c r="M47" s="1256"/>
      <c r="N47" s="1243"/>
      <c r="O47" s="1256"/>
      <c r="P47" s="3004" t="str">
        <f>A47</f>
        <v>成交单价（元/平方米）</v>
      </c>
      <c r="Q47" s="3004"/>
      <c r="R47" s="3000">
        <f>E47</f>
        <v>0</v>
      </c>
      <c r="S47" s="3000"/>
      <c r="T47" s="3000">
        <f>G47</f>
        <v>0</v>
      </c>
      <c r="U47" s="3000"/>
      <c r="V47" s="3000">
        <f>I47</f>
        <v>0</v>
      </c>
      <c r="W47" s="3000"/>
      <c r="X47" s="738"/>
      <c r="Y47" s="760"/>
      <c r="Z47" s="738"/>
      <c r="AA47" s="738"/>
      <c r="AB47" s="738"/>
      <c r="AC47" s="738"/>
    </row>
    <row r="48" spans="1:29" ht="15.75" thickBot="1">
      <c r="A48" s="467" t="s">
        <v>2378</v>
      </c>
      <c r="B48" s="468"/>
      <c r="C48" s="1507" t="e">
        <f>R49</f>
        <v>#DIV/0!</v>
      </c>
      <c r="D48" s="1508"/>
      <c r="E48" s="1509" t="e">
        <f>R48</f>
        <v>#DIV/0!</v>
      </c>
      <c r="F48" s="1509"/>
      <c r="G48" s="1507" t="e">
        <f>T48</f>
        <v>#DIV/0!</v>
      </c>
      <c r="H48" s="1508"/>
      <c r="I48" s="1509" t="e">
        <f>V48</f>
        <v>#DIV/0!</v>
      </c>
      <c r="J48" s="1508"/>
      <c r="K48" s="2415"/>
      <c r="L48" s="1255"/>
      <c r="M48" s="1256"/>
      <c r="N48" s="1256"/>
      <c r="O48" s="1256"/>
      <c r="P48" s="3004" t="str">
        <f>A48</f>
        <v>比较价值（元/平方米）</v>
      </c>
      <c r="Q48" s="3004"/>
      <c r="R48" s="3000" t="e">
        <f>IF(E1="售价",ROUND(PRODUCT(R47,AA7:AA46),0),ROUND(PRODUCT(R47,AA7:AA46),1))</f>
        <v>#DIV/0!</v>
      </c>
      <c r="S48" s="3000"/>
      <c r="T48" s="2998" t="e">
        <f>IF(E1="售价",ROUND(PRODUCT(T47,AB7:AB46),0),ROUND(PRODUCT(T47,AB7:AB46),1))</f>
        <v>#DIV/0!</v>
      </c>
      <c r="U48" s="2999"/>
      <c r="V48" s="3000" t="e">
        <f>IF(E1="售价",ROUND(PRODUCT(V47,AC7:AC46),0),ROUND(PRODUCT(V47,AC7:AC46),1))</f>
        <v>#DIV/0!</v>
      </c>
      <c r="W48" s="3000"/>
      <c r="X48" s="738"/>
      <c r="Y48" s="738"/>
      <c r="Z48" s="738"/>
      <c r="AA48" s="738"/>
      <c r="AB48" s="738"/>
      <c r="AC48" s="738"/>
    </row>
    <row r="49" spans="1:29" ht="15.75" thickBot="1">
      <c r="A49" s="473" t="s">
        <v>2379</v>
      </c>
      <c r="B49" s="474"/>
      <c r="C49" s="1510" t="e">
        <f>R49</f>
        <v>#DIV/0!</v>
      </c>
      <c r="D49" s="1511"/>
      <c r="E49" s="1511"/>
      <c r="F49" s="1511"/>
      <c r="G49" s="1511"/>
      <c r="H49" s="1511"/>
      <c r="I49" s="1511"/>
      <c r="J49" s="1511"/>
      <c r="K49" s="2416"/>
      <c r="L49" s="1255"/>
      <c r="M49" s="1256"/>
      <c r="N49" s="1256"/>
      <c r="O49" s="1256"/>
      <c r="P49" s="3001" t="str">
        <f>A49</f>
        <v>估价对象XX用房的比较价值（楼面单价，元/平方米）</v>
      </c>
      <c r="Q49" s="3002"/>
      <c r="R49" s="3003" t="e">
        <f>IF(E1="售价",ROUND(AVERAGE(R48:V48),0),ROUND(AVERAGE(R48:V48),1))</f>
        <v>#DIV/0!</v>
      </c>
      <c r="S49" s="3003"/>
      <c r="T49" s="3003"/>
      <c r="U49" s="3003"/>
      <c r="V49" s="3003"/>
      <c r="W49" s="3003"/>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18"/>
    </row>
    <row r="55" spans="1:29" s="483" customFormat="1">
      <c r="A55" s="1258"/>
      <c r="B55" s="1259"/>
      <c r="C55" s="1264"/>
      <c r="D55" s="1258"/>
      <c r="E55" s="1258"/>
      <c r="F55" s="1258"/>
      <c r="G55" s="1258"/>
      <c r="H55" s="1258"/>
      <c r="I55" s="1258"/>
      <c r="J55" s="1258"/>
      <c r="K55" s="1262"/>
      <c r="L55" s="1263"/>
      <c r="M55" s="1258"/>
      <c r="N55" s="1258"/>
      <c r="O55" s="1258"/>
      <c r="P55" s="2418"/>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19"/>
      <c r="Q57" s="485"/>
    </row>
    <row r="58" spans="1:29" s="489" customFormat="1" ht="15">
      <c r="A58" s="486" t="s">
        <v>2384</v>
      </c>
      <c r="B58" s="487"/>
      <c r="C58" s="1677" t="str">
        <f>YEAR(C7)&amp;"-"&amp;MONTH(C7)</f>
        <v>2018-12</v>
      </c>
      <c r="D58" s="1678">
        <f>EDATE(C58,-1)</f>
        <v>43405</v>
      </c>
      <c r="E58" s="1678">
        <f t="shared" ref="E58:O58" si="16">EDATE(D58,-1)</f>
        <v>43374</v>
      </c>
      <c r="F58" s="1678">
        <f t="shared" si="16"/>
        <v>43344</v>
      </c>
      <c r="G58" s="1678">
        <f t="shared" si="16"/>
        <v>43313</v>
      </c>
      <c r="H58" s="1678">
        <f t="shared" si="16"/>
        <v>43282</v>
      </c>
      <c r="I58" s="1678">
        <f t="shared" si="16"/>
        <v>43252</v>
      </c>
      <c r="J58" s="1678">
        <f t="shared" si="16"/>
        <v>43221</v>
      </c>
      <c r="K58" s="1678">
        <f t="shared" si="16"/>
        <v>43191</v>
      </c>
      <c r="L58" s="1678">
        <f t="shared" si="16"/>
        <v>43160</v>
      </c>
      <c r="M58" s="1678">
        <f t="shared" si="16"/>
        <v>43132</v>
      </c>
      <c r="N58" s="1678">
        <f t="shared" si="16"/>
        <v>43101</v>
      </c>
      <c r="O58" s="1678">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2385</v>
      </c>
      <c r="B60" s="497"/>
      <c r="C60" s="498"/>
      <c r="D60" s="499"/>
      <c r="E60" s="499"/>
      <c r="F60" s="499"/>
      <c r="G60" s="499"/>
      <c r="H60" s="499"/>
      <c r="I60" s="499"/>
      <c r="J60" s="499"/>
      <c r="K60" s="499"/>
      <c r="L60" s="499"/>
      <c r="M60" s="500"/>
      <c r="N60" s="499"/>
      <c r="O60" s="500"/>
      <c r="P60" s="2421"/>
      <c r="Q60" s="485"/>
    </row>
    <row r="61" spans="1:29" s="35" customFormat="1" ht="15">
      <c r="A61" s="502" t="s">
        <v>2386</v>
      </c>
      <c r="B61" s="491"/>
      <c r="C61" s="503" t="s">
        <v>2387</v>
      </c>
      <c r="D61" s="504"/>
      <c r="E61" s="504"/>
      <c r="F61" s="504"/>
      <c r="G61" s="504"/>
      <c r="H61" s="504"/>
      <c r="I61" s="504"/>
      <c r="J61" s="504"/>
      <c r="K61" s="504"/>
      <c r="L61" s="505"/>
      <c r="M61" s="506"/>
      <c r="N61" s="1265"/>
      <c r="O61" s="1265"/>
      <c r="P61" s="2422"/>
      <c r="Q61" s="485"/>
    </row>
    <row r="62" spans="1:29" s="35" customFormat="1" ht="15.75" thickBot="1">
      <c r="A62" s="502"/>
      <c r="B62" s="491"/>
      <c r="C62" s="492">
        <v>100</v>
      </c>
      <c r="D62" s="493"/>
      <c r="E62" s="493"/>
      <c r="F62" s="493"/>
      <c r="G62" s="493"/>
      <c r="H62" s="493"/>
      <c r="I62" s="493"/>
      <c r="J62" s="493"/>
      <c r="K62" s="493"/>
      <c r="L62" s="493"/>
      <c r="M62" s="495"/>
      <c r="N62" s="1265"/>
      <c r="O62" s="1265"/>
      <c r="P62" s="2421"/>
      <c r="Q62" s="485"/>
    </row>
    <row r="63" spans="1:29">
      <c r="A63" s="508" t="s">
        <v>2388</v>
      </c>
      <c r="B63" s="509" t="s">
        <v>2353</v>
      </c>
      <c r="C63" s="510">
        <f>C9</f>
        <v>0</v>
      </c>
      <c r="D63" s="511"/>
      <c r="E63" s="511"/>
      <c r="F63" s="511"/>
      <c r="G63" s="511"/>
      <c r="H63" s="511"/>
      <c r="I63" s="511"/>
      <c r="J63" s="511"/>
      <c r="K63" s="512"/>
      <c r="L63" s="513"/>
      <c r="M63" s="514"/>
      <c r="N63" s="1266"/>
      <c r="O63" s="1266"/>
      <c r="P63" s="2423"/>
      <c r="Q63" s="485"/>
    </row>
    <row r="64" spans="1:29" ht="15.75" thickBot="1">
      <c r="A64" s="516"/>
      <c r="B64" s="517"/>
      <c r="C64" s="518">
        <v>100</v>
      </c>
      <c r="D64" s="518"/>
      <c r="E64" s="518"/>
      <c r="F64" s="518"/>
      <c r="G64" s="518"/>
      <c r="H64" s="518"/>
      <c r="I64" s="518"/>
      <c r="J64" s="518"/>
      <c r="K64" s="518"/>
      <c r="L64" s="518"/>
      <c r="M64" s="519"/>
      <c r="N64" s="1267"/>
      <c r="O64" s="1267"/>
      <c r="P64" s="2423"/>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3"/>
      <c r="Q66" s="485"/>
    </row>
    <row r="67" spans="1:17" ht="15.75" thickTop="1">
      <c r="A67" s="516"/>
      <c r="B67" s="529" t="s">
        <v>2357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3"/>
      <c r="Q67" s="485"/>
    </row>
    <row r="68" spans="1:17" ht="15">
      <c r="A68" s="516"/>
      <c r="B68" s="531"/>
      <c r="C68" s="532"/>
      <c r="D68" s="532"/>
      <c r="E68" s="532"/>
      <c r="F68" s="532"/>
      <c r="G68" s="532"/>
      <c r="H68" s="532"/>
      <c r="I68" s="532"/>
      <c r="J68" s="532"/>
      <c r="K68" s="533"/>
      <c r="L68" s="534"/>
      <c r="M68" s="535"/>
      <c r="N68" s="1266"/>
      <c r="O68" s="1266"/>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3"/>
      <c r="Q69" s="485"/>
    </row>
    <row r="70" spans="1:17" s="452" customFormat="1" ht="15.75" thickTop="1">
      <c r="A70" s="536"/>
      <c r="B70" s="521">
        <f>B12</f>
        <v>111</v>
      </c>
      <c r="C70" s="537"/>
      <c r="D70" s="537"/>
      <c r="E70" s="537"/>
      <c r="F70" s="537"/>
      <c r="G70" s="537"/>
      <c r="H70" s="538"/>
      <c r="I70" s="538"/>
      <c r="J70" s="538"/>
      <c r="K70" s="538"/>
      <c r="L70" s="539"/>
      <c r="M70" s="540"/>
      <c r="N70" s="1268"/>
      <c r="O70" s="1268"/>
      <c r="P70" s="2424"/>
      <c r="Q70" s="543"/>
    </row>
    <row r="71" spans="1:17" s="452" customFormat="1" ht="15.75" thickBot="1">
      <c r="A71" s="536"/>
      <c r="B71" s="526"/>
      <c r="C71" s="544"/>
      <c r="D71" s="518"/>
      <c r="E71" s="518"/>
      <c r="F71" s="518"/>
      <c r="G71" s="518"/>
      <c r="H71" s="518"/>
      <c r="I71" s="518"/>
      <c r="J71" s="518"/>
      <c r="K71" s="518"/>
      <c r="L71" s="518"/>
      <c r="M71" s="519"/>
      <c r="N71" s="1267"/>
      <c r="O71" s="1267"/>
      <c r="P71" s="2424"/>
      <c r="Q71" s="543"/>
    </row>
    <row r="72" spans="1:17" s="452" customFormat="1" ht="15.75" thickTop="1">
      <c r="A72" s="536"/>
      <c r="B72" s="521">
        <f>B13</f>
        <v>111</v>
      </c>
      <c r="C72" s="537"/>
      <c r="D72" s="537"/>
      <c r="E72" s="537"/>
      <c r="F72" s="537"/>
      <c r="G72" s="537"/>
      <c r="H72" s="538"/>
      <c r="I72" s="538"/>
      <c r="J72" s="538"/>
      <c r="K72" s="538"/>
      <c r="L72" s="539"/>
      <c r="M72" s="540"/>
      <c r="N72" s="1268"/>
      <c r="O72" s="1268"/>
      <c r="P72" s="2425"/>
      <c r="Q72" s="545"/>
    </row>
    <row r="73" spans="1:17" s="452" customFormat="1" ht="15.75" thickBot="1">
      <c r="A73" s="536"/>
      <c r="B73" s="526"/>
      <c r="C73" s="544"/>
      <c r="D73" s="544"/>
      <c r="E73" s="544"/>
      <c r="F73" s="544"/>
      <c r="G73" s="544"/>
      <c r="H73" s="546"/>
      <c r="I73" s="546"/>
      <c r="J73" s="546"/>
      <c r="K73" s="546"/>
      <c r="L73" s="546"/>
      <c r="M73" s="547"/>
      <c r="N73" s="1268"/>
      <c r="O73" s="1268"/>
      <c r="P73" s="2424"/>
      <c r="Q73" s="543"/>
    </row>
    <row r="74" spans="1:17" s="452" customFormat="1" ht="15.75" thickTop="1">
      <c r="A74" s="536"/>
      <c r="B74" s="529">
        <f>B14</f>
        <v>111</v>
      </c>
      <c r="C74" s="537"/>
      <c r="D74" s="537"/>
      <c r="E74" s="537"/>
      <c r="F74" s="537"/>
      <c r="G74" s="504"/>
      <c r="H74" s="548"/>
      <c r="I74" s="548"/>
      <c r="J74" s="548"/>
      <c r="K74" s="548"/>
      <c r="L74" s="549"/>
      <c r="M74" s="550"/>
      <c r="N74" s="1268"/>
      <c r="O74" s="1268"/>
      <c r="P74" s="2426"/>
      <c r="Q74" s="543"/>
    </row>
    <row r="75" spans="1:17" s="452" customFormat="1" ht="15.75" thickBot="1">
      <c r="A75" s="552"/>
      <c r="B75" s="553"/>
      <c r="C75" s="554"/>
      <c r="D75" s="554"/>
      <c r="E75" s="554"/>
      <c r="F75" s="554"/>
      <c r="G75" s="554"/>
      <c r="H75" s="555"/>
      <c r="I75" s="555"/>
      <c r="J75" s="555"/>
      <c r="K75" s="555"/>
      <c r="L75" s="555"/>
      <c r="M75" s="556"/>
      <c r="N75" s="1268"/>
      <c r="O75" s="1268"/>
      <c r="P75" s="2424"/>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3"/>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3"/>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3"/>
      <c r="Q81" s="485"/>
    </row>
    <row r="82" spans="1:17" ht="15.75" thickTop="1">
      <c r="A82" s="516"/>
      <c r="B82" s="529" t="s">
        <v>1746</v>
      </c>
      <c r="C82" s="522" t="s">
        <v>2404</v>
      </c>
      <c r="D82" s="522" t="s">
        <v>2405</v>
      </c>
      <c r="E82" s="522" t="s">
        <v>2406</v>
      </c>
      <c r="F82" s="522" t="s">
        <v>2407</v>
      </c>
      <c r="G82" s="522" t="s">
        <v>2408</v>
      </c>
      <c r="H82" s="522"/>
      <c r="I82" s="522"/>
      <c r="J82" s="522"/>
      <c r="K82" s="522"/>
      <c r="L82" s="522"/>
      <c r="M82" s="1466"/>
      <c r="N82" s="1267"/>
      <c r="O82" s="1267"/>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3"/>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3"/>
      <c r="Q85" s="485"/>
    </row>
    <row r="86" spans="1:17" s="35" customFormat="1" ht="15.75" thickTop="1">
      <c r="A86" s="563"/>
      <c r="B86" s="521" t="s">
        <v>2410</v>
      </c>
      <c r="C86" s="537"/>
      <c r="D86" s="537"/>
      <c r="E86" s="537"/>
      <c r="F86" s="537"/>
      <c r="G86" s="537"/>
      <c r="H86" s="537"/>
      <c r="I86" s="537"/>
      <c r="J86" s="537"/>
      <c r="K86" s="537"/>
      <c r="L86" s="564"/>
      <c r="M86" s="565"/>
      <c r="N86" s="1265"/>
      <c r="O86" s="1265"/>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3"/>
      <c r="Q87" s="485"/>
    </row>
    <row r="88" spans="1:17" s="35" customFormat="1" ht="15.75" thickTop="1">
      <c r="A88" s="563"/>
      <c r="B88" s="521" t="s">
        <v>2411</v>
      </c>
      <c r="C88" s="537"/>
      <c r="D88" s="537"/>
      <c r="E88" s="537"/>
      <c r="F88" s="2428"/>
      <c r="G88" s="537"/>
      <c r="H88" s="537"/>
      <c r="I88" s="537"/>
      <c r="J88" s="537"/>
      <c r="K88" s="537"/>
      <c r="L88" s="537"/>
      <c r="M88" s="565"/>
      <c r="N88" s="1265"/>
      <c r="O88" s="1265"/>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3"/>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4"/>
      <c r="Q90" s="543"/>
    </row>
    <row r="91" spans="1:17" s="452" customFormat="1" ht="15.75" thickBot="1">
      <c r="A91" s="536"/>
      <c r="B91" s="526"/>
      <c r="C91" s="544"/>
      <c r="D91" s="544"/>
      <c r="E91" s="544"/>
      <c r="F91" s="544"/>
      <c r="G91" s="544"/>
      <c r="H91" s="546"/>
      <c r="I91" s="546"/>
      <c r="J91" s="546"/>
      <c r="K91" s="546"/>
      <c r="L91" s="546"/>
      <c r="M91" s="547"/>
      <c r="N91" s="1268"/>
      <c r="O91" s="1268"/>
      <c r="P91" s="2424"/>
      <c r="Q91" s="543"/>
    </row>
    <row r="92" spans="1:17" ht="15.75" thickTop="1">
      <c r="A92" s="516"/>
      <c r="B92" s="521">
        <f>B28</f>
        <v>111</v>
      </c>
      <c r="C92" s="537"/>
      <c r="D92" s="537"/>
      <c r="E92" s="537"/>
      <c r="F92" s="537"/>
      <c r="G92" s="567"/>
      <c r="H92" s="567"/>
      <c r="I92" s="567"/>
      <c r="J92" s="567"/>
      <c r="K92" s="568"/>
      <c r="L92" s="569"/>
      <c r="M92" s="570"/>
      <c r="N92" s="1266"/>
      <c r="O92" s="1266"/>
      <c r="P92" s="2423"/>
      <c r="Q92" s="485"/>
    </row>
    <row r="93" spans="1:17" ht="15.75" thickBot="1">
      <c r="A93" s="516"/>
      <c r="B93" s="526"/>
      <c r="C93" s="544"/>
      <c r="D93" s="518"/>
      <c r="E93" s="518"/>
      <c r="F93" s="518"/>
      <c r="G93" s="518"/>
      <c r="H93" s="518"/>
      <c r="I93" s="518"/>
      <c r="J93" s="518"/>
      <c r="K93" s="518"/>
      <c r="L93" s="518"/>
      <c r="M93" s="519"/>
      <c r="N93" s="1267"/>
      <c r="O93" s="1267"/>
      <c r="P93" s="2423"/>
      <c r="Q93" s="485"/>
    </row>
    <row r="94" spans="1:17" ht="15.75" thickTop="1">
      <c r="A94" s="516"/>
      <c r="B94" s="521">
        <f>B29</f>
        <v>111</v>
      </c>
      <c r="C94" s="537"/>
      <c r="D94" s="537"/>
      <c r="E94" s="537"/>
      <c r="F94" s="537"/>
      <c r="G94" s="567"/>
      <c r="H94" s="567"/>
      <c r="I94" s="567"/>
      <c r="J94" s="567"/>
      <c r="K94" s="568"/>
      <c r="L94" s="569"/>
      <c r="M94" s="570"/>
      <c r="N94" s="1266"/>
      <c r="O94" s="1266"/>
      <c r="P94" s="2423"/>
      <c r="Q94" s="485"/>
    </row>
    <row r="95" spans="1:17" ht="15.75" thickBot="1">
      <c r="A95" s="516"/>
      <c r="B95" s="526"/>
      <c r="C95" s="544"/>
      <c r="D95" s="544"/>
      <c r="E95" s="544"/>
      <c r="F95" s="544"/>
      <c r="G95" s="518"/>
      <c r="H95" s="518"/>
      <c r="I95" s="518"/>
      <c r="J95" s="518"/>
      <c r="K95" s="518"/>
      <c r="L95" s="518"/>
      <c r="M95" s="519"/>
      <c r="N95" s="1267"/>
      <c r="O95" s="1267"/>
      <c r="P95" s="2423"/>
      <c r="Q95" s="485"/>
    </row>
    <row r="96" spans="1:17" ht="15.75" thickTop="1">
      <c r="A96" s="516"/>
      <c r="B96" s="521">
        <f>B30</f>
        <v>111</v>
      </c>
      <c r="C96" s="537"/>
      <c r="D96" s="537"/>
      <c r="E96" s="537"/>
      <c r="F96" s="537"/>
      <c r="G96" s="567"/>
      <c r="H96" s="567"/>
      <c r="I96" s="567"/>
      <c r="J96" s="567"/>
      <c r="K96" s="568"/>
      <c r="L96" s="569"/>
      <c r="M96" s="570"/>
      <c r="N96" s="1266"/>
      <c r="O96" s="1266"/>
      <c r="P96" s="2423"/>
      <c r="Q96" s="485"/>
    </row>
    <row r="97" spans="1:17" ht="15.75" thickBot="1">
      <c r="A97" s="516"/>
      <c r="B97" s="526"/>
      <c r="C97" s="554"/>
      <c r="D97" s="554"/>
      <c r="E97" s="554"/>
      <c r="F97" s="554"/>
      <c r="G97" s="518"/>
      <c r="H97" s="518"/>
      <c r="I97" s="518"/>
      <c r="J97" s="518"/>
      <c r="K97" s="518"/>
      <c r="L97" s="518"/>
      <c r="M97" s="519"/>
      <c r="N97" s="1267"/>
      <c r="O97" s="1267"/>
      <c r="P97" s="2423"/>
      <c r="Q97" s="485"/>
    </row>
    <row r="98" spans="1:17" ht="15.75" thickTop="1">
      <c r="A98" s="516"/>
      <c r="B98" s="529">
        <f>B31</f>
        <v>111</v>
      </c>
      <c r="C98" s="571"/>
      <c r="D98" s="571"/>
      <c r="E98" s="571"/>
      <c r="F98" s="571"/>
      <c r="G98" s="571"/>
      <c r="H98" s="571"/>
      <c r="I98" s="571"/>
      <c r="J98" s="571"/>
      <c r="K98" s="572"/>
      <c r="L98" s="573"/>
      <c r="M98" s="574"/>
      <c r="N98" s="1266"/>
      <c r="O98" s="1266"/>
      <c r="P98" s="2423"/>
      <c r="Q98" s="485"/>
    </row>
    <row r="99" spans="1:17" ht="15.75" thickBot="1">
      <c r="A99" s="2429"/>
      <c r="B99" s="553"/>
      <c r="C99" s="575"/>
      <c r="D99" s="575"/>
      <c r="E99" s="575"/>
      <c r="F99" s="575"/>
      <c r="G99" s="575"/>
      <c r="H99" s="575"/>
      <c r="I99" s="575"/>
      <c r="J99" s="575"/>
      <c r="K99" s="575"/>
      <c r="L99" s="575"/>
      <c r="M99" s="576"/>
      <c r="N99" s="1267"/>
      <c r="O99" s="1267"/>
      <c r="P99" s="2423"/>
      <c r="Q99" s="485"/>
    </row>
    <row r="100" spans="1:17">
      <c r="A100" s="508" t="s">
        <v>2363</v>
      </c>
      <c r="B100" s="509" t="s">
        <v>2412</v>
      </c>
      <c r="C100" s="511"/>
      <c r="D100" s="511"/>
      <c r="E100" s="511"/>
      <c r="F100" s="511"/>
      <c r="G100" s="511"/>
      <c r="H100" s="511"/>
      <c r="I100" s="511"/>
      <c r="J100" s="511"/>
      <c r="K100" s="512"/>
      <c r="L100" s="513"/>
      <c r="M100" s="514"/>
      <c r="N100" s="1266"/>
      <c r="O100" s="1266"/>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3"/>
      <c r="Q101" s="485"/>
    </row>
    <row r="102" spans="1:17" ht="15.75" thickTop="1">
      <c r="A102" s="516"/>
      <c r="B102" s="521" t="s">
        <v>2413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3"/>
      <c r="Q102" s="485"/>
    </row>
    <row r="103" spans="1:17" s="452" customFormat="1">
      <c r="A103" s="577"/>
      <c r="B103" s="578"/>
      <c r="C103" s="579"/>
      <c r="D103" s="579"/>
      <c r="E103" s="579"/>
      <c r="F103" s="579"/>
      <c r="G103" s="579"/>
      <c r="H103" s="579"/>
      <c r="I103" s="579"/>
      <c r="J103" s="580"/>
      <c r="K103" s="580"/>
      <c r="L103" s="581"/>
      <c r="M103" s="582"/>
      <c r="N103" s="1268"/>
      <c r="O103" s="1268"/>
      <c r="P103" s="2424"/>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4"/>
      <c r="Q104" s="543"/>
    </row>
    <row r="105" spans="1:17" ht="15" thickTop="1">
      <c r="A105" s="583"/>
      <c r="B105" s="521" t="s">
        <v>2414</v>
      </c>
      <c r="C105" s="537"/>
      <c r="D105" s="537"/>
      <c r="E105" s="567"/>
      <c r="F105" s="567"/>
      <c r="G105" s="567"/>
      <c r="H105" s="567"/>
      <c r="I105" s="567"/>
      <c r="J105" s="567"/>
      <c r="K105" s="568"/>
      <c r="L105" s="569"/>
      <c r="M105" s="570"/>
      <c r="N105" s="1266"/>
      <c r="O105" s="1266"/>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3"/>
      <c r="Q106" s="485"/>
    </row>
    <row r="107" spans="1:17" ht="15" thickTop="1">
      <c r="A107" s="583"/>
      <c r="B107" s="521" t="s">
        <v>2415</v>
      </c>
      <c r="C107" s="567"/>
      <c r="D107" s="567"/>
      <c r="E107" s="567"/>
      <c r="F107" s="567"/>
      <c r="G107" s="567"/>
      <c r="H107" s="567"/>
      <c r="I107" s="567"/>
      <c r="J107" s="567"/>
      <c r="K107" s="568"/>
      <c r="L107" s="569"/>
      <c r="M107" s="570"/>
      <c r="N107" s="1266"/>
      <c r="O107" s="1266"/>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3"/>
      <c r="Q108" s="485"/>
    </row>
    <row r="109" spans="1:17" ht="15" thickTop="1">
      <c r="A109" s="583"/>
      <c r="B109" s="521" t="s">
        <v>2416</v>
      </c>
      <c r="C109" s="537"/>
      <c r="D109" s="537"/>
      <c r="E109" s="537"/>
      <c r="F109" s="567"/>
      <c r="G109" s="567"/>
      <c r="H109" s="567"/>
      <c r="I109" s="567"/>
      <c r="J109" s="567"/>
      <c r="K109" s="568"/>
      <c r="L109" s="569"/>
      <c r="M109" s="570"/>
      <c r="N109" s="1266"/>
      <c r="O109" s="1266"/>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3"/>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4"/>
      <c r="Q113" s="543"/>
    </row>
    <row r="114" spans="1:17" ht="15" thickTop="1">
      <c r="A114" s="583"/>
      <c r="B114" s="521" t="s">
        <v>2418</v>
      </c>
      <c r="C114" s="537"/>
      <c r="D114" s="537"/>
      <c r="E114" s="567"/>
      <c r="F114" s="567"/>
      <c r="G114" s="567"/>
      <c r="H114" s="567"/>
      <c r="I114" s="567"/>
      <c r="J114" s="567"/>
      <c r="K114" s="568"/>
      <c r="L114" s="569"/>
      <c r="M114" s="570"/>
      <c r="N114" s="1266"/>
      <c r="O114" s="1266"/>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3"/>
      <c r="Q115" s="485"/>
    </row>
    <row r="116" spans="1:17" ht="15" thickTop="1">
      <c r="A116" s="583"/>
      <c r="B116" s="521" t="s">
        <v>2419</v>
      </c>
      <c r="C116" s="537"/>
      <c r="D116" s="537"/>
      <c r="E116" s="537"/>
      <c r="F116" s="537"/>
      <c r="G116" s="537"/>
      <c r="H116" s="567"/>
      <c r="I116" s="567"/>
      <c r="J116" s="567"/>
      <c r="K116" s="568"/>
      <c r="L116" s="569"/>
      <c r="M116" s="570"/>
      <c r="N116" s="1266"/>
      <c r="O116" s="1266"/>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3"/>
      <c r="Q117" s="485"/>
    </row>
    <row r="118" spans="1:17" ht="15" thickTop="1">
      <c r="A118" s="583"/>
      <c r="B118" s="521" t="s">
        <v>2420</v>
      </c>
      <c r="C118" s="567"/>
      <c r="D118" s="567"/>
      <c r="E118" s="567"/>
      <c r="F118" s="567"/>
      <c r="G118" s="567"/>
      <c r="H118" s="567"/>
      <c r="I118" s="567"/>
      <c r="J118" s="567"/>
      <c r="K118" s="568"/>
      <c r="L118" s="569"/>
      <c r="M118" s="570"/>
      <c r="N118" s="1266"/>
      <c r="O118" s="1266"/>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3"/>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4"/>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4"/>
      <c r="Q121" s="543"/>
    </row>
    <row r="122" spans="1:17" ht="15" thickTop="1">
      <c r="A122" s="583"/>
      <c r="B122" s="521" t="s">
        <v>2421</v>
      </c>
      <c r="C122" s="537"/>
      <c r="D122" s="537"/>
      <c r="E122" s="537"/>
      <c r="F122" s="567"/>
      <c r="G122" s="567"/>
      <c r="H122" s="567"/>
      <c r="I122" s="567"/>
      <c r="J122" s="567"/>
      <c r="K122" s="568"/>
      <c r="L122" s="569"/>
      <c r="M122" s="570"/>
      <c r="N122" s="1266"/>
      <c r="O122" s="1266"/>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3"/>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3"/>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4"/>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4"/>
      <c r="Q127" s="543"/>
    </row>
    <row r="128" spans="1:17" ht="15" thickTop="1">
      <c r="A128" s="583"/>
      <c r="B128" s="521">
        <f>B45</f>
        <v>111</v>
      </c>
      <c r="C128" s="537"/>
      <c r="D128" s="537"/>
      <c r="E128" s="537"/>
      <c r="F128" s="537"/>
      <c r="G128" s="567"/>
      <c r="H128" s="567"/>
      <c r="I128" s="567"/>
      <c r="J128" s="567"/>
      <c r="K128" s="568"/>
      <c r="L128" s="569"/>
      <c r="M128" s="570"/>
      <c r="N128" s="1266"/>
      <c r="O128" s="1266"/>
      <c r="P128" s="2423"/>
      <c r="Q128" s="485"/>
    </row>
    <row r="129" spans="1:17" ht="15.75" thickBot="1">
      <c r="A129" s="516"/>
      <c r="B129" s="526"/>
      <c r="C129" s="544"/>
      <c r="D129" s="544"/>
      <c r="E129" s="544"/>
      <c r="F129" s="544"/>
      <c r="G129" s="518"/>
      <c r="H129" s="518"/>
      <c r="I129" s="518"/>
      <c r="J129" s="518"/>
      <c r="K129" s="518"/>
      <c r="L129" s="518"/>
      <c r="M129" s="519"/>
      <c r="N129" s="1267"/>
      <c r="O129" s="1267"/>
      <c r="P129" s="2423"/>
      <c r="Q129" s="485"/>
    </row>
    <row r="130" spans="1:17" ht="15" thickTop="1">
      <c r="A130" s="583"/>
      <c r="B130" s="529">
        <f>B46</f>
        <v>111</v>
      </c>
      <c r="C130" s="537"/>
      <c r="D130" s="537"/>
      <c r="E130" s="537"/>
      <c r="F130" s="537"/>
      <c r="G130" s="571"/>
      <c r="H130" s="571"/>
      <c r="I130" s="571"/>
      <c r="J130" s="571"/>
      <c r="K130" s="504"/>
      <c r="L130" s="505"/>
      <c r="M130" s="574"/>
      <c r="N130" s="1266"/>
      <c r="O130" s="1266"/>
      <c r="P130" s="2423"/>
      <c r="Q130" s="485"/>
    </row>
    <row r="131" spans="1:17" ht="15.75" thickBot="1">
      <c r="A131" s="2429"/>
      <c r="B131" s="553"/>
      <c r="C131" s="554"/>
      <c r="D131" s="554"/>
      <c r="E131" s="554"/>
      <c r="F131" s="554"/>
      <c r="G131" s="575"/>
      <c r="H131" s="575"/>
      <c r="I131" s="575"/>
      <c r="J131" s="575"/>
      <c r="K131" s="575"/>
      <c r="L131" s="575"/>
      <c r="M131" s="576"/>
      <c r="N131" s="1267"/>
      <c r="O131" s="1267"/>
      <c r="P131" s="2423"/>
      <c r="Q131" s="485"/>
    </row>
    <row r="136" spans="1:17" ht="15" thickBot="1">
      <c r="B136" s="2430" t="s">
        <v>2423</v>
      </c>
    </row>
    <row r="137" spans="1:17" ht="15">
      <c r="B137" s="2431" t="s">
        <v>2424</v>
      </c>
      <c r="C137" s="2432"/>
      <c r="D137" s="2432"/>
      <c r="E137" s="2432"/>
      <c r="F137" s="2432"/>
      <c r="G137" s="2433"/>
      <c r="H137" s="2434"/>
      <c r="I137" s="2435" t="s">
        <v>2425</v>
      </c>
      <c r="J137" s="2432"/>
      <c r="K137" s="2436"/>
    </row>
    <row r="138" spans="1:17" ht="15">
      <c r="B138" s="2437"/>
      <c r="C138" s="62" t="s">
        <v>2426</v>
      </c>
      <c r="D138" s="62" t="s">
        <v>2427</v>
      </c>
      <c r="E138" s="2438" t="s">
        <v>2428</v>
      </c>
      <c r="F138" s="2439" t="s">
        <v>2429</v>
      </c>
      <c r="G138" s="62" t="s">
        <v>2427</v>
      </c>
      <c r="H138" s="63" t="s">
        <v>2428</v>
      </c>
      <c r="I138" s="2440"/>
      <c r="J138" s="62" t="s">
        <v>2430</v>
      </c>
      <c r="K138" s="63" t="s">
        <v>2431</v>
      </c>
    </row>
    <row r="139" spans="1:17" ht="15">
      <c r="B139" s="1124">
        <v>6</v>
      </c>
      <c r="C139" s="1132">
        <v>96</v>
      </c>
      <c r="D139" s="2441" t="s">
        <v>2432</v>
      </c>
      <c r="E139" s="1133">
        <v>100</v>
      </c>
      <c r="F139" s="1134">
        <v>102.5</v>
      </c>
      <c r="G139" s="2441" t="s">
        <v>2432</v>
      </c>
      <c r="H139" s="1135">
        <v>105</v>
      </c>
      <c r="I139" s="2442" t="s">
        <v>2433</v>
      </c>
      <c r="J139" s="1132">
        <v>20</v>
      </c>
      <c r="K139" s="1126">
        <f>C145/(J139-2)</f>
        <v>4.0555555555555553E-3</v>
      </c>
    </row>
    <row r="140" spans="1:17" ht="15">
      <c r="B140" s="1125">
        <v>5</v>
      </c>
      <c r="C140" s="1136">
        <v>100</v>
      </c>
      <c r="D140" s="1136"/>
      <c r="E140" s="1137"/>
      <c r="F140" s="1138">
        <v>102</v>
      </c>
      <c r="G140" s="1136"/>
      <c r="H140" s="1139"/>
      <c r="I140" s="2443" t="s">
        <v>2434</v>
      </c>
      <c r="J140" s="217">
        <f>ROUNDUP((J139-1)/2,0)</f>
        <v>10</v>
      </c>
      <c r="K140" s="1127">
        <v>100</v>
      </c>
    </row>
    <row r="141" spans="1:17" ht="15">
      <c r="B141" s="1125">
        <v>4</v>
      </c>
      <c r="C141" s="1136">
        <v>102</v>
      </c>
      <c r="D141" s="1136"/>
      <c r="E141" s="1137"/>
      <c r="F141" s="1138">
        <v>101.5</v>
      </c>
      <c r="G141" s="1136"/>
      <c r="H141" s="1139"/>
      <c r="I141" s="2443" t="s">
        <v>2435</v>
      </c>
      <c r="J141" s="217">
        <v>1</v>
      </c>
      <c r="K141" s="1128">
        <f>ROUND(100+(J141-J140)*K139*100,1)</f>
        <v>96.4</v>
      </c>
    </row>
    <row r="142" spans="1:17" ht="15">
      <c r="B142" s="1125">
        <v>3</v>
      </c>
      <c r="C142" s="1136">
        <v>103</v>
      </c>
      <c r="D142" s="1136"/>
      <c r="E142" s="1137"/>
      <c r="F142" s="1138">
        <v>101</v>
      </c>
      <c r="G142" s="1136"/>
      <c r="H142" s="1139"/>
      <c r="I142" s="2443" t="s">
        <v>2436</v>
      </c>
      <c r="J142" s="217">
        <f>J139</f>
        <v>20</v>
      </c>
      <c r="K142" s="1141">
        <v>95</v>
      </c>
    </row>
    <row r="143" spans="1:17" ht="15">
      <c r="B143" s="1125">
        <v>2</v>
      </c>
      <c r="C143" s="1136">
        <v>100</v>
      </c>
      <c r="D143" s="1136"/>
      <c r="E143" s="1137"/>
      <c r="F143" s="1138">
        <v>100.5</v>
      </c>
      <c r="G143" s="1136"/>
      <c r="H143" s="1139"/>
      <c r="I143" s="2443" t="s">
        <v>2437</v>
      </c>
      <c r="J143" s="1136">
        <v>15</v>
      </c>
      <c r="K143" s="1128">
        <f>ROUND(100+(J143-J140)*K139*100,1)</f>
        <v>102</v>
      </c>
    </row>
    <row r="144" spans="1:17" ht="15">
      <c r="B144" s="1125">
        <v>1</v>
      </c>
      <c r="C144" s="1136">
        <v>98</v>
      </c>
      <c r="D144" s="2444" t="s">
        <v>2438</v>
      </c>
      <c r="E144" s="1137">
        <v>102</v>
      </c>
      <c r="F144" s="1140">
        <v>100</v>
      </c>
      <c r="G144" s="2444" t="s">
        <v>2438</v>
      </c>
      <c r="H144" s="1139">
        <v>105</v>
      </c>
      <c r="I144" s="2443" t="s">
        <v>2437</v>
      </c>
      <c r="J144" s="1136">
        <v>18</v>
      </c>
      <c r="K144" s="1128">
        <f>ROUND(100+(J144-J140)*K139*100,1)</f>
        <v>103.2</v>
      </c>
    </row>
    <row r="145" spans="2:11" ht="15.75" thickBot="1">
      <c r="B145" s="2445" t="s">
        <v>2439</v>
      </c>
      <c r="C145" s="1130">
        <f>ROUND(MAX(C139:C144)/MIN(C139:C144)-1,3)</f>
        <v>7.2999999999999995E-2</v>
      </c>
      <c r="D145" s="1131"/>
      <c r="E145" s="1131"/>
      <c r="F145" s="2446" t="s">
        <v>2440</v>
      </c>
      <c r="G145" s="2447"/>
      <c r="H145" s="2448"/>
      <c r="I145" s="2449" t="s">
        <v>2437</v>
      </c>
      <c r="J145" s="1142">
        <v>8</v>
      </c>
      <c r="K145" s="1129">
        <f>ROUND(100+(J145-J140)*K139*100,1)</f>
        <v>99.2</v>
      </c>
    </row>
    <row r="147" spans="2:11">
      <c r="B147" s="2430" t="s">
        <v>2441</v>
      </c>
    </row>
    <row r="148" spans="2:11">
      <c r="B148" s="2430" t="s">
        <v>2442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2443</v>
      </c>
      <c r="C1" s="1725"/>
      <c r="D1" s="2450"/>
      <c r="E1" s="2379"/>
      <c r="F1" s="1739" t="s">
        <v>2332</v>
      </c>
      <c r="G1" s="1738"/>
      <c r="H1" s="1738"/>
      <c r="I1" s="1738"/>
      <c r="J1" s="1738"/>
      <c r="K1" s="1740"/>
      <c r="L1" s="1732"/>
      <c r="M1" s="1733"/>
      <c r="N1" s="1733"/>
      <c r="O1" s="1733"/>
      <c r="P1" s="2380"/>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IF(D2="——",IF(C2="元",ROUND(C49*D3,0),ROUND(C49*D3/10000,0)),IF(C2="元",ROUND(C49*D3,0),ROUND(C49*D3/10000,0))-E2)</f>
        <v>#DIV/0!</v>
      </c>
      <c r="C2" s="163" t="str">
        <f>'数据-取费表'!B3</f>
        <v>元</v>
      </c>
      <c r="D2" s="2381"/>
      <c r="E2" s="2451" t="e">
        <f ca="1">SUMIF(INDIRECT("'"&amp;G2&amp;"'"&amp;"!A:A"),"承租人权益价值",INDIRECT("'"&amp;G2&amp;"'"&amp;"!c:c"))</f>
        <v>#REF!</v>
      </c>
      <c r="F2" s="2382" t="str">
        <f>C2</f>
        <v>元</v>
      </c>
      <c r="G2" s="2383"/>
      <c r="H2" s="980"/>
      <c r="I2" s="980"/>
      <c r="J2" s="980"/>
      <c r="K2" s="980"/>
      <c r="L2" s="1240"/>
      <c r="M2" s="1241"/>
      <c r="N2" s="1241"/>
      <c r="O2" s="1241"/>
      <c r="P2" s="2452"/>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11.66</v>
      </c>
      <c r="E3" s="2453"/>
      <c r="F3" s="981"/>
      <c r="G3" s="980"/>
      <c r="H3" s="980"/>
      <c r="I3" s="980"/>
      <c r="J3" s="980"/>
      <c r="K3" s="982"/>
      <c r="L3" s="1240"/>
      <c r="M3" s="1241"/>
      <c r="N3" s="1241"/>
      <c r="O3" s="1241"/>
      <c r="P3" s="2452"/>
      <c r="Q3" s="747"/>
      <c r="R3" s="747"/>
      <c r="S3" s="747"/>
      <c r="T3" s="747"/>
      <c r="U3" s="747"/>
      <c r="V3" s="747"/>
      <c r="W3" s="747"/>
      <c r="X3" s="747"/>
      <c r="Y3" s="747"/>
      <c r="Z3" s="747"/>
      <c r="AA3" s="747"/>
      <c r="AB3" s="74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41"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41"/>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41"/>
      <c r="AC6" s="3030"/>
    </row>
    <row r="7" spans="1:29" s="35" customFormat="1" ht="15.75" thickBot="1">
      <c r="A7" s="387" t="s">
        <v>2347</v>
      </c>
      <c r="B7" s="388"/>
      <c r="C7" s="389">
        <f>'数据-取费表'!B2</f>
        <v>43439</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27"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27"/>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27"/>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27"/>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27"/>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27"/>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15">
      <c r="A15" s="419" t="s">
        <v>2358</v>
      </c>
      <c r="B15" s="26" t="s">
        <v>2444</v>
      </c>
      <c r="C15" s="2400">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05" t="s">
        <v>2359</v>
      </c>
      <c r="Q15" s="1896" t="str">
        <f t="shared" si="6"/>
        <v>商业繁华度</v>
      </c>
      <c r="R15" s="753" t="s">
        <v>25</v>
      </c>
      <c r="S15" s="754">
        <f t="shared" si="0"/>
        <v>100</v>
      </c>
      <c r="T15" s="753" t="s">
        <v>25</v>
      </c>
      <c r="U15" s="754">
        <f t="shared" si="1"/>
        <v>100</v>
      </c>
      <c r="V15" s="753" t="s">
        <v>25</v>
      </c>
      <c r="W15" s="754">
        <f t="shared" si="2"/>
        <v>100</v>
      </c>
      <c r="X15" s="1897"/>
      <c r="Y15" s="3007" t="s">
        <v>2359</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43"/>
      <c r="P16" s="3006"/>
      <c r="Q16" s="1896"/>
      <c r="R16" s="753"/>
      <c r="S16" s="754"/>
      <c r="T16" s="753"/>
      <c r="U16" s="754"/>
      <c r="V16" s="753"/>
      <c r="W16" s="754"/>
      <c r="X16" s="1897"/>
      <c r="Y16" s="3008"/>
      <c r="Z16" s="1899"/>
      <c r="AA16" s="1900">
        <v>1</v>
      </c>
      <c r="AB16" s="1900">
        <v>1</v>
      </c>
      <c r="AC16" s="1900">
        <v>1</v>
      </c>
    </row>
    <row r="17" spans="1:29" ht="128.25">
      <c r="A17" s="408"/>
      <c r="B17" s="431" t="s">
        <v>1745</v>
      </c>
      <c r="C17" s="2403" t="str">
        <f>估价对象房地状况!C6</f>
        <v>临近城市支路——府右街，紧邻言志胡同，周边有14路、68路等多条公交线路及地铁1、4号线换乘站（西单站），交通状况较好。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06"/>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599"/>
      <c r="L18" s="1252"/>
      <c r="M18" s="1243"/>
      <c r="N18" s="1243"/>
      <c r="O18" s="1243"/>
      <c r="P18" s="3006"/>
      <c r="Q18" s="1896"/>
      <c r="R18" s="753"/>
      <c r="S18" s="754"/>
      <c r="T18" s="753"/>
      <c r="U18" s="754"/>
      <c r="V18" s="753"/>
      <c r="W18" s="754"/>
      <c r="X18" s="1897"/>
      <c r="Y18" s="3008"/>
      <c r="Z18" s="1899"/>
      <c r="AA18" s="1900">
        <v>1</v>
      </c>
      <c r="AB18" s="1900">
        <v>1</v>
      </c>
      <c r="AC18" s="1900">
        <v>1</v>
      </c>
    </row>
    <row r="19" spans="1:29" ht="270.75">
      <c r="A19" s="408"/>
      <c r="B19" s="431" t="s">
        <v>2445</v>
      </c>
      <c r="C19" s="2403"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06"/>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436"/>
      <c r="C20" s="426"/>
      <c r="D20" s="427"/>
      <c r="E20" s="428"/>
      <c r="F20" s="429"/>
      <c r="G20" s="2401"/>
      <c r="H20" s="427"/>
      <c r="I20" s="428"/>
      <c r="J20" s="427"/>
      <c r="K20" s="599"/>
      <c r="L20" s="1252"/>
      <c r="M20" s="1243"/>
      <c r="N20" s="1243"/>
      <c r="O20" s="1243"/>
      <c r="P20" s="3006"/>
      <c r="Q20" s="1896"/>
      <c r="R20" s="753"/>
      <c r="S20" s="754"/>
      <c r="T20" s="753"/>
      <c r="U20" s="754"/>
      <c r="V20" s="753"/>
      <c r="W20" s="754"/>
      <c r="X20" s="1897"/>
      <c r="Y20" s="3008"/>
      <c r="Z20" s="1899"/>
      <c r="AA20" s="1900">
        <v>1</v>
      </c>
      <c r="AB20" s="1900">
        <v>1</v>
      </c>
      <c r="AC20" s="1900">
        <v>1</v>
      </c>
    </row>
    <row r="21" spans="1:29" ht="15">
      <c r="A21" s="408"/>
      <c r="B21" s="2405" t="s">
        <v>2446</v>
      </c>
      <c r="C21" s="2403" t="str">
        <f>估价对象房地状况!C8</f>
        <v>五通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06"/>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1468"/>
      <c r="L22" s="1252"/>
      <c r="M22" s="1243"/>
      <c r="N22" s="1243"/>
      <c r="O22" s="1243"/>
      <c r="P22" s="3006"/>
      <c r="Q22" s="1896"/>
      <c r="R22" s="753"/>
      <c r="S22" s="754"/>
      <c r="T22" s="753"/>
      <c r="U22" s="754"/>
      <c r="V22" s="753"/>
      <c r="W22" s="754"/>
      <c r="X22" s="1897"/>
      <c r="Y22" s="3008"/>
      <c r="Z22" s="1899"/>
      <c r="AA22" s="1900">
        <v>1</v>
      </c>
      <c r="AB22" s="1900">
        <v>1</v>
      </c>
      <c r="AC22" s="1900">
        <v>1</v>
      </c>
    </row>
    <row r="23" spans="1:29" ht="99.75">
      <c r="A23" s="408"/>
      <c r="B23" s="431" t="s">
        <v>1750</v>
      </c>
      <c r="C23" s="2454" t="str">
        <f>估价对象房地状况!C9</f>
        <v>区域自然环境：中南海、南海、护城河；人文环境：国家大剧院、北京图书大厦；综合评价环境状况较好。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06"/>
      <c r="Q23" s="1896" t="str">
        <f>B23</f>
        <v>自然及人文环境</v>
      </c>
      <c r="R23" s="753" t="s">
        <v>25</v>
      </c>
      <c r="S23" s="754">
        <f>F23</f>
        <v>100</v>
      </c>
      <c r="T23" s="753" t="s">
        <v>25</v>
      </c>
      <c r="U23" s="754">
        <f>H23</f>
        <v>100</v>
      </c>
      <c r="V23" s="753" t="s">
        <v>25</v>
      </c>
      <c r="W23" s="754">
        <f>J23</f>
        <v>100</v>
      </c>
      <c r="X23" s="1897"/>
      <c r="Y23" s="3008"/>
      <c r="Z23" s="1899" t="str">
        <f>Q23</f>
        <v>自然及人文环境</v>
      </c>
      <c r="AA23" s="1900">
        <f t="shared" si="3"/>
        <v>1</v>
      </c>
      <c r="AB23" s="1900">
        <f t="shared" si="4"/>
        <v>1</v>
      </c>
      <c r="AC23" s="1900">
        <f t="shared" si="5"/>
        <v>1</v>
      </c>
    </row>
    <row r="24" spans="1:29" ht="15">
      <c r="A24" s="408"/>
      <c r="B24" s="436"/>
      <c r="C24" s="426"/>
      <c r="D24" s="427"/>
      <c r="E24" s="428"/>
      <c r="F24" s="429"/>
      <c r="G24" s="2401"/>
      <c r="H24" s="427"/>
      <c r="I24" s="428"/>
      <c r="J24" s="427"/>
      <c r="K24" s="599"/>
      <c r="L24" s="1252"/>
      <c r="M24" s="1243"/>
      <c r="N24" s="1243"/>
      <c r="O24" s="1243"/>
      <c r="P24" s="3006"/>
      <c r="Q24" s="1896"/>
      <c r="R24" s="753"/>
      <c r="S24" s="754"/>
      <c r="T24" s="753"/>
      <c r="U24" s="754"/>
      <c r="V24" s="753"/>
      <c r="W24" s="754"/>
      <c r="X24" s="1897"/>
      <c r="Y24" s="3008"/>
      <c r="Z24" s="1899"/>
      <c r="AA24" s="1900">
        <v>1</v>
      </c>
      <c r="AB24" s="1900">
        <v>1</v>
      </c>
      <c r="AC24" s="1900">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06"/>
      <c r="Q25" s="1896" t="str">
        <f t="shared" ref="Q25:Q46" si="11">B25</f>
        <v>临街状况</v>
      </c>
      <c r="R25" s="753" t="s">
        <v>25</v>
      </c>
      <c r="S25" s="754">
        <f>F25</f>
        <v>100</v>
      </c>
      <c r="T25" s="753" t="s">
        <v>25</v>
      </c>
      <c r="U25" s="754">
        <f>H25</f>
        <v>100</v>
      </c>
      <c r="V25" s="753" t="s">
        <v>25</v>
      </c>
      <c r="W25" s="754">
        <f>J25</f>
        <v>100</v>
      </c>
      <c r="X25" s="1897"/>
      <c r="Y25" s="3008"/>
      <c r="Z25" s="1899" t="str">
        <f>Q25</f>
        <v>临街状况</v>
      </c>
      <c r="AA25" s="1900">
        <f t="shared" si="3"/>
        <v>1</v>
      </c>
      <c r="AB25" s="1900">
        <f t="shared" si="4"/>
        <v>1</v>
      </c>
      <c r="AC25" s="1900">
        <f t="shared" si="5"/>
        <v>1</v>
      </c>
    </row>
    <row r="26" spans="1:29" ht="15">
      <c r="A26" s="408"/>
      <c r="B26" s="2409" t="s">
        <v>2448</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06"/>
      <c r="Q26" s="1896" t="str">
        <f t="shared" si="11"/>
        <v>平面位置/可视性</v>
      </c>
      <c r="R26" s="753" t="s">
        <v>25</v>
      </c>
      <c r="S26" s="754">
        <f>F26</f>
        <v>100</v>
      </c>
      <c r="T26" s="753" t="s">
        <v>25</v>
      </c>
      <c r="U26" s="754">
        <f>H26</f>
        <v>100</v>
      </c>
      <c r="V26" s="753" t="s">
        <v>25</v>
      </c>
      <c r="W26" s="754">
        <f>J26</f>
        <v>100</v>
      </c>
      <c r="X26" s="1897"/>
      <c r="Y26" s="3008"/>
      <c r="Z26" s="1899" t="str">
        <f>Q26</f>
        <v>平面位置/可视性</v>
      </c>
      <c r="AA26" s="1900">
        <f t="shared" si="3"/>
        <v>1</v>
      </c>
      <c r="AB26" s="1900">
        <f t="shared" si="4"/>
        <v>1</v>
      </c>
      <c r="AC26" s="1900">
        <f t="shared" si="5"/>
        <v>1</v>
      </c>
    </row>
    <row r="27" spans="1:29" s="35" customFormat="1" ht="15">
      <c r="A27" s="411"/>
      <c r="B27" s="431" t="s">
        <v>2449</v>
      </c>
      <c r="C27" s="2455"/>
      <c r="D27" s="443">
        <v>100</v>
      </c>
      <c r="E27" s="2455"/>
      <c r="F27" s="445">
        <f>SUMIF(90:90,E27,91:91)-SUMIF(90:90,C27,91:91)+100</f>
        <v>100</v>
      </c>
      <c r="G27" s="2455"/>
      <c r="H27" s="443">
        <f>SUMIF(90:90,G27,91:91)-SUMIF(90:90,C27,91:91)+100</f>
        <v>100</v>
      </c>
      <c r="I27" s="2455"/>
      <c r="J27" s="443">
        <f>SUMIF(90:90,I27,91:91)-SUMIF(90:90,C27,91:91)+100</f>
        <v>100</v>
      </c>
      <c r="K27" s="596"/>
      <c r="L27" s="1244"/>
      <c r="M27" s="1245"/>
      <c r="N27" s="1245"/>
      <c r="O27" s="1245"/>
      <c r="P27" s="3006"/>
      <c r="Q27" s="1884" t="str">
        <f t="shared" si="11"/>
        <v>人流量</v>
      </c>
      <c r="R27" s="749" t="s">
        <v>25</v>
      </c>
      <c r="S27" s="750">
        <f>F27</f>
        <v>100</v>
      </c>
      <c r="T27" s="749" t="s">
        <v>25</v>
      </c>
      <c r="U27" s="750">
        <f>H27</f>
        <v>100</v>
      </c>
      <c r="V27" s="749" t="s">
        <v>25</v>
      </c>
      <c r="W27" s="750">
        <f>J27</f>
        <v>100</v>
      </c>
      <c r="X27" s="751"/>
      <c r="Y27" s="3008"/>
      <c r="Z27" s="23" t="str">
        <f>Q27</f>
        <v>人流量</v>
      </c>
      <c r="AA27" s="1900">
        <f>D27/F27</f>
        <v>1</v>
      </c>
      <c r="AB27" s="1900">
        <f>D27/H27</f>
        <v>1</v>
      </c>
      <c r="AC27" s="1900">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06"/>
      <c r="Q28" s="1896" t="str">
        <f t="shared" si="11"/>
        <v>楼层</v>
      </c>
      <c r="R28" s="753" t="s">
        <v>25</v>
      </c>
      <c r="S28" s="754">
        <f t="shared" ref="S28:S46" si="12">F28</f>
        <v>100</v>
      </c>
      <c r="T28" s="753" t="s">
        <v>25</v>
      </c>
      <c r="U28" s="754">
        <f t="shared" ref="U28:U46" si="13">H28</f>
        <v>100</v>
      </c>
      <c r="V28" s="753" t="s">
        <v>25</v>
      </c>
      <c r="W28" s="754">
        <f t="shared" ref="W28:W46" si="14">J28</f>
        <v>100</v>
      </c>
      <c r="X28" s="1897"/>
      <c r="Y28" s="3008"/>
      <c r="Z28" s="1899" t="str">
        <f t="shared" ref="Z28:Z46" si="15">Q28</f>
        <v>楼层</v>
      </c>
      <c r="AA28" s="1900">
        <f t="shared" si="3"/>
        <v>1</v>
      </c>
      <c r="AB28" s="1900">
        <f t="shared" si="4"/>
        <v>1</v>
      </c>
      <c r="AC28" s="1900">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06"/>
      <c r="Q29" s="1896">
        <f t="shared" si="11"/>
        <v>111</v>
      </c>
      <c r="R29" s="753" t="s">
        <v>25</v>
      </c>
      <c r="S29" s="754">
        <f t="shared" si="12"/>
        <v>100</v>
      </c>
      <c r="T29" s="753" t="s">
        <v>25</v>
      </c>
      <c r="U29" s="754">
        <f t="shared" si="13"/>
        <v>100</v>
      </c>
      <c r="V29" s="753" t="s">
        <v>25</v>
      </c>
      <c r="W29" s="754">
        <f t="shared" si="14"/>
        <v>100</v>
      </c>
      <c r="X29" s="1897"/>
      <c r="Y29" s="3008"/>
      <c r="Z29" s="1899">
        <f t="shared" si="15"/>
        <v>111</v>
      </c>
      <c r="AA29" s="1900">
        <f t="shared" si="3"/>
        <v>1</v>
      </c>
      <c r="AB29" s="1900">
        <f t="shared" si="4"/>
        <v>1</v>
      </c>
      <c r="AC29" s="1900">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06"/>
      <c r="Q30" s="1896">
        <f t="shared" si="11"/>
        <v>111</v>
      </c>
      <c r="R30" s="753" t="s">
        <v>25</v>
      </c>
      <c r="S30" s="754">
        <f t="shared" si="12"/>
        <v>100</v>
      </c>
      <c r="T30" s="753" t="s">
        <v>25</v>
      </c>
      <c r="U30" s="754">
        <f t="shared" si="13"/>
        <v>100</v>
      </c>
      <c r="V30" s="753" t="s">
        <v>25</v>
      </c>
      <c r="W30" s="754">
        <f t="shared" si="14"/>
        <v>100</v>
      </c>
      <c r="X30" s="1897"/>
      <c r="Y30" s="3008"/>
      <c r="Z30" s="1899">
        <f t="shared" si="15"/>
        <v>111</v>
      </c>
      <c r="AA30" s="1900">
        <f t="shared" si="3"/>
        <v>1</v>
      </c>
      <c r="AB30" s="1900">
        <f t="shared" si="4"/>
        <v>1</v>
      </c>
      <c r="AC30" s="1900">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06"/>
      <c r="Q31" s="1896">
        <f t="shared" si="11"/>
        <v>111</v>
      </c>
      <c r="R31" s="753" t="s">
        <v>25</v>
      </c>
      <c r="S31" s="754">
        <f t="shared" si="12"/>
        <v>100</v>
      </c>
      <c r="T31" s="753" t="s">
        <v>25</v>
      </c>
      <c r="U31" s="754">
        <f t="shared" si="13"/>
        <v>100</v>
      </c>
      <c r="V31" s="753" t="s">
        <v>25</v>
      </c>
      <c r="W31" s="754">
        <f t="shared" si="14"/>
        <v>100</v>
      </c>
      <c r="X31" s="1897"/>
      <c r="Y31" s="3008"/>
      <c r="Z31" s="1899">
        <f t="shared" si="15"/>
        <v>111</v>
      </c>
      <c r="AA31" s="1900">
        <f t="shared" si="3"/>
        <v>1</v>
      </c>
      <c r="AB31" s="1900">
        <f t="shared" si="4"/>
        <v>1</v>
      </c>
      <c r="AC31" s="1900">
        <f t="shared" si="5"/>
        <v>1</v>
      </c>
    </row>
    <row r="32" spans="1:29" ht="15">
      <c r="A32" s="419" t="s">
        <v>2363</v>
      </c>
      <c r="B32" s="28" t="s">
        <v>2451</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2"/>
      <c r="M32" s="1243"/>
      <c r="N32" s="1243"/>
      <c r="O32" s="1243"/>
      <c r="P32" s="3009" t="s">
        <v>2365</v>
      </c>
      <c r="Q32" s="1896" t="str">
        <f t="shared" si="11"/>
        <v>商业类型</v>
      </c>
      <c r="R32" s="753" t="s">
        <v>25</v>
      </c>
      <c r="S32" s="754">
        <f t="shared" si="12"/>
        <v>100</v>
      </c>
      <c r="T32" s="753" t="s">
        <v>25</v>
      </c>
      <c r="U32" s="754">
        <f t="shared" si="13"/>
        <v>100</v>
      </c>
      <c r="V32" s="753" t="s">
        <v>25</v>
      </c>
      <c r="W32" s="754">
        <f t="shared" si="14"/>
        <v>100</v>
      </c>
      <c r="X32" s="1897"/>
      <c r="Y32" s="3012" t="s">
        <v>2365</v>
      </c>
      <c r="Z32" s="1899" t="str">
        <f t="shared" si="15"/>
        <v>商业类型</v>
      </c>
      <c r="AA32" s="1900">
        <f t="shared" si="3"/>
        <v>1</v>
      </c>
      <c r="AB32" s="1900">
        <f t="shared" si="4"/>
        <v>1</v>
      </c>
      <c r="AC32" s="1900">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10"/>
      <c r="Q33" s="755" t="str">
        <f t="shared" si="11"/>
        <v>项目建筑规模</v>
      </c>
      <c r="R33" s="756" t="s">
        <v>25</v>
      </c>
      <c r="S33" s="757" t="e">
        <f t="shared" si="12"/>
        <v>#N/A</v>
      </c>
      <c r="T33" s="756" t="s">
        <v>25</v>
      </c>
      <c r="U33" s="757" t="e">
        <f t="shared" si="13"/>
        <v>#N/A</v>
      </c>
      <c r="V33" s="756" t="s">
        <v>25</v>
      </c>
      <c r="W33" s="757" t="e">
        <f t="shared" si="14"/>
        <v>#N/A</v>
      </c>
      <c r="X33" s="758"/>
      <c r="Y33" s="3012"/>
      <c r="Z33" s="759" t="str">
        <f t="shared" si="15"/>
        <v>项目建筑规模</v>
      </c>
      <c r="AA33" s="1900" t="e">
        <f t="shared" si="3"/>
        <v>#N/A</v>
      </c>
      <c r="AB33" s="1900" t="e">
        <f t="shared" si="4"/>
        <v>#N/A</v>
      </c>
      <c r="AC33" s="1900" t="e">
        <f t="shared" si="5"/>
        <v>#N/A</v>
      </c>
    </row>
    <row r="34" spans="1:29" ht="15">
      <c r="A34" s="453"/>
      <c r="B34" s="402" t="s">
        <v>2367</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2"/>
      <c r="M34" s="1243"/>
      <c r="N34" s="1243"/>
      <c r="O34" s="1243"/>
      <c r="P34" s="3010"/>
      <c r="Q34" s="1896" t="str">
        <f t="shared" si="11"/>
        <v>建筑结构</v>
      </c>
      <c r="R34" s="753" t="s">
        <v>25</v>
      </c>
      <c r="S34" s="754">
        <f t="shared" si="12"/>
        <v>100</v>
      </c>
      <c r="T34" s="753" t="s">
        <v>25</v>
      </c>
      <c r="U34" s="754">
        <f t="shared" si="13"/>
        <v>100</v>
      </c>
      <c r="V34" s="753" t="s">
        <v>25</v>
      </c>
      <c r="W34" s="754">
        <f t="shared" si="14"/>
        <v>100</v>
      </c>
      <c r="X34" s="1897"/>
      <c r="Y34" s="3012"/>
      <c r="Z34" s="1899" t="str">
        <f t="shared" si="15"/>
        <v>建筑结构</v>
      </c>
      <c r="AA34" s="1900">
        <f t="shared" si="3"/>
        <v>1</v>
      </c>
      <c r="AB34" s="1900">
        <f t="shared" si="4"/>
        <v>1</v>
      </c>
      <c r="AC34" s="1900">
        <f t="shared" si="5"/>
        <v>1</v>
      </c>
    </row>
    <row r="35" spans="1:29" ht="15">
      <c r="A35" s="453"/>
      <c r="B35" s="402" t="s">
        <v>2452</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2"/>
      <c r="M35" s="1243"/>
      <c r="N35" s="1243"/>
      <c r="O35" s="1243"/>
      <c r="P35" s="3010"/>
      <c r="Q35" s="1896" t="str">
        <f t="shared" si="11"/>
        <v>公共部分装修</v>
      </c>
      <c r="R35" s="753" t="s">
        <v>25</v>
      </c>
      <c r="S35" s="754">
        <f t="shared" si="12"/>
        <v>100</v>
      </c>
      <c r="T35" s="753" t="s">
        <v>25</v>
      </c>
      <c r="U35" s="754">
        <f t="shared" si="13"/>
        <v>100</v>
      </c>
      <c r="V35" s="753" t="s">
        <v>25</v>
      </c>
      <c r="W35" s="754">
        <f t="shared" si="14"/>
        <v>100</v>
      </c>
      <c r="X35" s="1897"/>
      <c r="Y35" s="3012"/>
      <c r="Z35" s="1899" t="str">
        <f t="shared" si="15"/>
        <v>公共部分装修</v>
      </c>
      <c r="AA35" s="1900">
        <f t="shared" si="3"/>
        <v>1</v>
      </c>
      <c r="AB35" s="1900">
        <f t="shared" si="4"/>
        <v>1</v>
      </c>
      <c r="AC35" s="1900">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10"/>
      <c r="Q36" s="1896" t="str">
        <f t="shared" si="11"/>
        <v>成新度</v>
      </c>
      <c r="R36" s="753" t="s">
        <v>25</v>
      </c>
      <c r="S36" s="754" t="e">
        <f t="shared" si="12"/>
        <v>#N/A</v>
      </c>
      <c r="T36" s="753" t="s">
        <v>25</v>
      </c>
      <c r="U36" s="754" t="e">
        <f t="shared" si="13"/>
        <v>#N/A</v>
      </c>
      <c r="V36" s="753" t="s">
        <v>25</v>
      </c>
      <c r="W36" s="754" t="e">
        <f t="shared" si="14"/>
        <v>#N/A</v>
      </c>
      <c r="X36" s="1897"/>
      <c r="Y36" s="3012"/>
      <c r="Z36" s="1899" t="str">
        <f t="shared" si="15"/>
        <v>成新度</v>
      </c>
      <c r="AA36" s="1900" t="e">
        <f t="shared" si="3"/>
        <v>#N/A</v>
      </c>
      <c r="AB36" s="1900" t="e">
        <f t="shared" si="4"/>
        <v>#N/A</v>
      </c>
      <c r="AC36" s="1900" t="e">
        <f t="shared" si="5"/>
        <v>#N/A</v>
      </c>
    </row>
    <row r="37" spans="1:29" s="35" customFormat="1" ht="15">
      <c r="A37" s="454"/>
      <c r="B37" s="402" t="s">
        <v>2454</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4"/>
      <c r="M37" s="1245"/>
      <c r="N37" s="1245"/>
      <c r="O37" s="1245"/>
      <c r="P37" s="3010"/>
      <c r="Q37" s="1884" t="str">
        <f t="shared" si="11"/>
        <v>市政基础设施</v>
      </c>
      <c r="R37" s="749" t="s">
        <v>25</v>
      </c>
      <c r="S37" s="750">
        <f t="shared" si="12"/>
        <v>100</v>
      </c>
      <c r="T37" s="749" t="s">
        <v>25</v>
      </c>
      <c r="U37" s="750">
        <f t="shared" si="13"/>
        <v>100</v>
      </c>
      <c r="V37" s="749" t="s">
        <v>25</v>
      </c>
      <c r="W37" s="750">
        <f t="shared" si="14"/>
        <v>100</v>
      </c>
      <c r="X37" s="751"/>
      <c r="Y37" s="3012"/>
      <c r="Z37" s="23" t="str">
        <f t="shared" si="15"/>
        <v>市政基础设施</v>
      </c>
      <c r="AA37" s="752">
        <f t="shared" si="3"/>
        <v>1</v>
      </c>
      <c r="AB37" s="752">
        <f t="shared" si="4"/>
        <v>1</v>
      </c>
      <c r="AC37" s="752">
        <f t="shared" si="5"/>
        <v>1</v>
      </c>
    </row>
    <row r="38" spans="1:29" ht="15">
      <c r="A38" s="453"/>
      <c r="B38" s="402" t="s">
        <v>2455</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2"/>
      <c r="M38" s="1243"/>
      <c r="N38" s="1243"/>
      <c r="O38" s="1243"/>
      <c r="P38" s="3010" t="s">
        <v>2365</v>
      </c>
      <c r="Q38" s="1896" t="str">
        <f t="shared" si="11"/>
        <v>业态</v>
      </c>
      <c r="R38" s="753" t="s">
        <v>25</v>
      </c>
      <c r="S38" s="754">
        <f t="shared" si="12"/>
        <v>100</v>
      </c>
      <c r="T38" s="753" t="s">
        <v>25</v>
      </c>
      <c r="U38" s="754">
        <f t="shared" si="13"/>
        <v>100</v>
      </c>
      <c r="V38" s="753" t="s">
        <v>25</v>
      </c>
      <c r="W38" s="754">
        <f t="shared" si="14"/>
        <v>100</v>
      </c>
      <c r="X38" s="1897"/>
      <c r="Y38" s="3012" t="s">
        <v>2365</v>
      </c>
      <c r="Z38" s="1899" t="str">
        <f t="shared" si="15"/>
        <v>业态</v>
      </c>
      <c r="AA38" s="1900">
        <f t="shared" si="3"/>
        <v>1</v>
      </c>
      <c r="AB38" s="1900">
        <f t="shared" si="4"/>
        <v>1</v>
      </c>
      <c r="AC38" s="1900">
        <f t="shared" si="5"/>
        <v>1</v>
      </c>
    </row>
    <row r="39" spans="1:29" ht="15">
      <c r="A39" s="453"/>
      <c r="B39" s="402" t="s">
        <v>2456</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2"/>
      <c r="M39" s="1243"/>
      <c r="N39" s="1243"/>
      <c r="O39" s="1243"/>
      <c r="P39" s="3010"/>
      <c r="Q39" s="1896" t="str">
        <f t="shared" si="11"/>
        <v>层高</v>
      </c>
      <c r="R39" s="753" t="s">
        <v>25</v>
      </c>
      <c r="S39" s="754">
        <f t="shared" si="12"/>
        <v>100</v>
      </c>
      <c r="T39" s="753" t="s">
        <v>25</v>
      </c>
      <c r="U39" s="754">
        <f t="shared" si="13"/>
        <v>100</v>
      </c>
      <c r="V39" s="753" t="s">
        <v>25</v>
      </c>
      <c r="W39" s="754">
        <f t="shared" si="14"/>
        <v>100</v>
      </c>
      <c r="X39" s="1897"/>
      <c r="Y39" s="3012"/>
      <c r="Z39" s="1899" t="str">
        <f t="shared" si="15"/>
        <v>层高</v>
      </c>
      <c r="AA39" s="1900">
        <f t="shared" si="3"/>
        <v>1</v>
      </c>
      <c r="AB39" s="1900">
        <f t="shared" si="4"/>
        <v>1</v>
      </c>
      <c r="AC39" s="1900">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10"/>
      <c r="Q40" s="1896" t="str">
        <f t="shared" si="11"/>
        <v>单套建筑面积</v>
      </c>
      <c r="R40" s="753" t="s">
        <v>25</v>
      </c>
      <c r="S40" s="754">
        <f t="shared" si="12"/>
        <v>100</v>
      </c>
      <c r="T40" s="753" t="s">
        <v>25</v>
      </c>
      <c r="U40" s="754">
        <f t="shared" si="13"/>
        <v>100</v>
      </c>
      <c r="V40" s="753" t="s">
        <v>25</v>
      </c>
      <c r="W40" s="754">
        <f t="shared" si="14"/>
        <v>100</v>
      </c>
      <c r="X40" s="1897"/>
      <c r="Y40" s="3012"/>
      <c r="Z40" s="1899" t="str">
        <f t="shared" si="15"/>
        <v>单套建筑面积</v>
      </c>
      <c r="AA40" s="1900">
        <f t="shared" si="3"/>
        <v>1</v>
      </c>
      <c r="AB40" s="1900">
        <f t="shared" si="4"/>
        <v>1</v>
      </c>
      <c r="AC40" s="1900">
        <f t="shared" si="5"/>
        <v>1</v>
      </c>
    </row>
    <row r="41" spans="1:29" s="452" customFormat="1" ht="15">
      <c r="A41" s="449"/>
      <c r="B41" s="1901"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10"/>
      <c r="Q41" s="755" t="str">
        <f t="shared" si="11"/>
        <v>进深比</v>
      </c>
      <c r="R41" s="756" t="s">
        <v>25</v>
      </c>
      <c r="S41" s="757">
        <f t="shared" si="12"/>
        <v>100</v>
      </c>
      <c r="T41" s="756" t="s">
        <v>25</v>
      </c>
      <c r="U41" s="757">
        <f t="shared" si="13"/>
        <v>100</v>
      </c>
      <c r="V41" s="756" t="s">
        <v>25</v>
      </c>
      <c r="W41" s="757">
        <f t="shared" si="14"/>
        <v>100</v>
      </c>
      <c r="X41" s="758"/>
      <c r="Y41" s="3012"/>
      <c r="Z41" s="759" t="str">
        <f t="shared" si="15"/>
        <v>进深比</v>
      </c>
      <c r="AA41" s="1900">
        <f t="shared" si="3"/>
        <v>1</v>
      </c>
      <c r="AB41" s="1900">
        <f t="shared" si="4"/>
        <v>1</v>
      </c>
      <c r="AC41" s="1900">
        <f t="shared" si="5"/>
        <v>1</v>
      </c>
    </row>
    <row r="42" spans="1:29" ht="15">
      <c r="A42" s="453"/>
      <c r="B42" s="402" t="s">
        <v>2459</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2"/>
      <c r="M42" s="1243"/>
      <c r="N42" s="1243"/>
      <c r="O42" s="1243"/>
      <c r="P42" s="3010"/>
      <c r="Q42" s="1896" t="str">
        <f t="shared" si="11"/>
        <v>内部装修</v>
      </c>
      <c r="R42" s="753" t="s">
        <v>25</v>
      </c>
      <c r="S42" s="754">
        <f t="shared" si="12"/>
        <v>100</v>
      </c>
      <c r="T42" s="753" t="s">
        <v>25</v>
      </c>
      <c r="U42" s="754">
        <f t="shared" si="13"/>
        <v>100</v>
      </c>
      <c r="V42" s="753" t="s">
        <v>25</v>
      </c>
      <c r="W42" s="754">
        <f t="shared" si="14"/>
        <v>100</v>
      </c>
      <c r="X42" s="1897"/>
      <c r="Y42" s="3012"/>
      <c r="Z42" s="1899" t="str">
        <f t="shared" si="15"/>
        <v>内部装修</v>
      </c>
      <c r="AA42" s="1900">
        <f t="shared" si="3"/>
        <v>1</v>
      </c>
      <c r="AB42" s="1900">
        <f t="shared" si="4"/>
        <v>1</v>
      </c>
      <c r="AC42" s="1900">
        <f t="shared" si="5"/>
        <v>1</v>
      </c>
    </row>
    <row r="43" spans="1:29" ht="15">
      <c r="A43" s="453"/>
      <c r="B43" s="402" t="s">
        <v>2376</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2"/>
      <c r="M43" s="1243"/>
      <c r="N43" s="1243"/>
      <c r="O43" s="1243"/>
      <c r="P43" s="3010"/>
      <c r="Q43" s="1896" t="str">
        <f t="shared" si="11"/>
        <v>内部装修维护情况</v>
      </c>
      <c r="R43" s="753" t="s">
        <v>25</v>
      </c>
      <c r="S43" s="754">
        <f t="shared" si="12"/>
        <v>100</v>
      </c>
      <c r="T43" s="753" t="s">
        <v>25</v>
      </c>
      <c r="U43" s="754">
        <f t="shared" si="13"/>
        <v>100</v>
      </c>
      <c r="V43" s="753" t="s">
        <v>25</v>
      </c>
      <c r="W43" s="754">
        <f t="shared" si="14"/>
        <v>100</v>
      </c>
      <c r="X43" s="1897"/>
      <c r="Y43" s="3012"/>
      <c r="Z43" s="1899" t="str">
        <f t="shared" si="15"/>
        <v>内部装修维护情况</v>
      </c>
      <c r="AA43" s="1900">
        <f t="shared" si="3"/>
        <v>1</v>
      </c>
      <c r="AB43" s="1900">
        <f t="shared" si="4"/>
        <v>1</v>
      </c>
      <c r="AC43" s="1900">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10"/>
      <c r="Q44" s="1884">
        <f t="shared" si="11"/>
        <v>111</v>
      </c>
      <c r="R44" s="749" t="s">
        <v>25</v>
      </c>
      <c r="S44" s="750">
        <f t="shared" si="12"/>
        <v>100</v>
      </c>
      <c r="T44" s="749" t="s">
        <v>25</v>
      </c>
      <c r="U44" s="750">
        <f t="shared" si="13"/>
        <v>100</v>
      </c>
      <c r="V44" s="749" t="s">
        <v>25</v>
      </c>
      <c r="W44" s="750">
        <f t="shared" si="14"/>
        <v>100</v>
      </c>
      <c r="X44" s="751"/>
      <c r="Y44" s="301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10"/>
      <c r="Q45" s="1896">
        <f t="shared" si="11"/>
        <v>111</v>
      </c>
      <c r="R45" s="753" t="s">
        <v>25</v>
      </c>
      <c r="S45" s="754">
        <f t="shared" si="12"/>
        <v>100</v>
      </c>
      <c r="T45" s="753" t="s">
        <v>25</v>
      </c>
      <c r="U45" s="754">
        <f t="shared" si="13"/>
        <v>100</v>
      </c>
      <c r="V45" s="753" t="s">
        <v>25</v>
      </c>
      <c r="W45" s="754">
        <f t="shared" si="14"/>
        <v>100</v>
      </c>
      <c r="X45" s="1897"/>
      <c r="Y45" s="3012"/>
      <c r="Z45" s="1899">
        <f t="shared" si="15"/>
        <v>111</v>
      </c>
      <c r="AA45" s="1900">
        <f t="shared" si="3"/>
        <v>1</v>
      </c>
      <c r="AB45" s="1900">
        <f t="shared" si="4"/>
        <v>1</v>
      </c>
      <c r="AC45" s="1900">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11"/>
      <c r="Q46" s="1896">
        <f t="shared" si="11"/>
        <v>111</v>
      </c>
      <c r="R46" s="753" t="s">
        <v>25</v>
      </c>
      <c r="S46" s="754">
        <f t="shared" si="12"/>
        <v>100</v>
      </c>
      <c r="T46" s="753" t="s">
        <v>25</v>
      </c>
      <c r="U46" s="754">
        <f t="shared" si="13"/>
        <v>100</v>
      </c>
      <c r="V46" s="753" t="s">
        <v>25</v>
      </c>
      <c r="W46" s="754">
        <f t="shared" si="14"/>
        <v>100</v>
      </c>
      <c r="X46" s="1897"/>
      <c r="Y46" s="3013"/>
      <c r="Z46" s="1899">
        <f t="shared" si="15"/>
        <v>111</v>
      </c>
      <c r="AA46" s="1900">
        <f t="shared" si="3"/>
        <v>1</v>
      </c>
      <c r="AB46" s="1900">
        <f t="shared" si="4"/>
        <v>1</v>
      </c>
      <c r="AC46" s="1900">
        <f t="shared" si="5"/>
        <v>1</v>
      </c>
    </row>
    <row r="47" spans="1:29" ht="15">
      <c r="A47" s="460" t="s">
        <v>2377</v>
      </c>
      <c r="B47" s="461"/>
      <c r="C47" s="1501" t="s">
        <v>1</v>
      </c>
      <c r="D47" s="1502"/>
      <c r="E47" s="1503"/>
      <c r="F47" s="1504"/>
      <c r="G47" s="1505"/>
      <c r="H47" s="1506"/>
      <c r="I47" s="1503"/>
      <c r="J47" s="1506"/>
      <c r="K47" s="762"/>
      <c r="L47" s="1255"/>
      <c r="M47" s="1256"/>
      <c r="N47" s="1243"/>
      <c r="O47" s="1256"/>
      <c r="P47" s="3004" t="str">
        <f>A47</f>
        <v>成交单价（元/平方米）</v>
      </c>
      <c r="Q47" s="3004"/>
      <c r="R47" s="3000">
        <f>E47</f>
        <v>0</v>
      </c>
      <c r="S47" s="3000"/>
      <c r="T47" s="3000">
        <f>G47</f>
        <v>0</v>
      </c>
      <c r="U47" s="3000"/>
      <c r="V47" s="3000">
        <f>I47</f>
        <v>0</v>
      </c>
      <c r="W47" s="3000"/>
      <c r="X47" s="738"/>
      <c r="Y47" s="760"/>
      <c r="Z47" s="738"/>
      <c r="AA47" s="738"/>
      <c r="AB47" s="738"/>
      <c r="AC47" s="738"/>
    </row>
    <row r="48" spans="1:29" ht="15.75" thickBot="1">
      <c r="A48" s="467" t="s">
        <v>2460</v>
      </c>
      <c r="B48" s="468"/>
      <c r="C48" s="1507" t="e">
        <f>R49</f>
        <v>#DIV/0!</v>
      </c>
      <c r="D48" s="1508"/>
      <c r="E48" s="1509" t="e">
        <f>R48</f>
        <v>#DIV/0!</v>
      </c>
      <c r="F48" s="1509"/>
      <c r="G48" s="1507" t="e">
        <f>T48</f>
        <v>#DIV/0!</v>
      </c>
      <c r="H48" s="1508"/>
      <c r="I48" s="1509" t="e">
        <f>V48</f>
        <v>#DIV/0!</v>
      </c>
      <c r="J48" s="1508"/>
      <c r="K48" s="763"/>
      <c r="L48" s="1255"/>
      <c r="M48" s="1256"/>
      <c r="N48" s="1243"/>
      <c r="O48" s="1256"/>
      <c r="P48" s="3004" t="str">
        <f>A48</f>
        <v>比较价值（元/平方米）</v>
      </c>
      <c r="Q48" s="3004"/>
      <c r="R48" s="3000" t="e">
        <f>IF(E1="售价",ROUND(PRODUCT(R47,AA7:AA46),0),ROUND(PRODUCT(R47,AA7:AA46),1))</f>
        <v>#DIV/0!</v>
      </c>
      <c r="S48" s="3000"/>
      <c r="T48" s="3000" t="e">
        <f>IF(E1="售价",ROUND(PRODUCT(T47,AB7:AB46),0),ROUND(PRODUCT(T47,AB7:AB46),1))</f>
        <v>#DIV/0!</v>
      </c>
      <c r="U48" s="3000"/>
      <c r="V48" s="3000" t="e">
        <f>IF(E1="售价",ROUND(PRODUCT(V47,AC7:AC46),0),ROUND(PRODUCT(V47,AC7:AC46),1))</f>
        <v>#DIV/0!</v>
      </c>
      <c r="W48" s="3000"/>
      <c r="X48" s="738"/>
      <c r="Y48" s="738"/>
      <c r="Z48" s="738"/>
      <c r="AA48" s="738"/>
      <c r="AB48" s="738"/>
      <c r="AC48" s="738"/>
    </row>
    <row r="49" spans="1:29" ht="15.75" thickBot="1">
      <c r="A49" s="473" t="s">
        <v>2461</v>
      </c>
      <c r="B49" s="474"/>
      <c r="C49" s="1511" t="e">
        <f>R49</f>
        <v>#DIV/0!</v>
      </c>
      <c r="D49" s="1511"/>
      <c r="E49" s="1511"/>
      <c r="F49" s="1511"/>
      <c r="G49" s="1511"/>
      <c r="H49" s="1511"/>
      <c r="I49" s="1511"/>
      <c r="J49" s="1511"/>
      <c r="K49" s="764"/>
      <c r="L49" s="1255"/>
      <c r="M49" s="1256"/>
      <c r="N49" s="1243"/>
      <c r="O49" s="1256"/>
      <c r="P49" s="3001" t="str">
        <f>A49</f>
        <v>估价对象XX用房的比较价值（楼面单价，元/平方米）</v>
      </c>
      <c r="Q49" s="3002"/>
      <c r="R49" s="3003" t="e">
        <f>IF(E1="售价",ROUND(AVERAGE(R48:V48),0),ROUND(AVERAGE(R48:V48),1))</f>
        <v>#DIV/0!</v>
      </c>
      <c r="S49" s="3003"/>
      <c r="T49" s="3003"/>
      <c r="U49" s="3003"/>
      <c r="V49" s="3003"/>
      <c r="W49" s="3003"/>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6"/>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6"/>
      <c r="Q51" s="1256"/>
      <c r="R51" s="1256"/>
      <c r="S51" s="1256"/>
      <c r="T51" s="1256"/>
      <c r="U51" s="1256"/>
      <c r="V51" s="1256"/>
      <c r="W51" s="1256"/>
      <c r="X51" s="1256"/>
      <c r="Y51" s="1256"/>
      <c r="Z51" s="1256"/>
      <c r="AA51" s="1256"/>
      <c r="AB51" s="1256"/>
      <c r="AC51" s="1256"/>
    </row>
    <row r="52" spans="1:29" ht="13.5" customHeight="1">
      <c r="A52" s="1256"/>
      <c r="B52" s="1256"/>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6"/>
      <c r="Q52" s="1256"/>
      <c r="R52" s="1256"/>
      <c r="S52" s="1256"/>
      <c r="T52" s="1256"/>
      <c r="U52" s="1256"/>
      <c r="V52" s="1256"/>
      <c r="W52" s="1256"/>
      <c r="X52" s="1256"/>
      <c r="Y52" s="1256"/>
      <c r="Z52" s="1256"/>
      <c r="AA52" s="1256"/>
      <c r="AB52" s="1256"/>
      <c r="AC52" s="1256"/>
    </row>
    <row r="53" spans="1:29" ht="13.5" customHeight="1">
      <c r="A53" s="1256"/>
      <c r="B53" s="1256"/>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6"/>
      <c r="Q53" s="1256"/>
      <c r="R53" s="1256"/>
      <c r="S53" s="1256"/>
      <c r="T53" s="1256"/>
      <c r="U53" s="1256"/>
      <c r="V53" s="1256"/>
      <c r="W53" s="1256"/>
      <c r="X53" s="1256"/>
      <c r="Y53" s="1256"/>
      <c r="Z53" s="1256"/>
      <c r="AA53" s="1256"/>
      <c r="AB53" s="1256"/>
      <c r="AC53" s="1256"/>
    </row>
    <row r="54" spans="1:29" s="483" customFormat="1" ht="13.5" customHeight="1">
      <c r="A54" s="1258"/>
      <c r="B54" s="1258"/>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7"/>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7"/>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6"/>
      <c r="Q56" s="1256"/>
      <c r="R56" s="1256"/>
      <c r="S56" s="1256"/>
      <c r="T56" s="1256"/>
      <c r="U56" s="1256"/>
      <c r="V56" s="1256"/>
      <c r="W56" s="1256"/>
      <c r="X56" s="1256"/>
      <c r="Y56" s="1256"/>
      <c r="Z56" s="1256"/>
      <c r="AA56" s="1256"/>
      <c r="AB56" s="1256"/>
      <c r="AC56" s="1256"/>
    </row>
    <row r="57" spans="1:29" ht="21.75" thickBot="1">
      <c r="A57" s="742" t="s">
        <v>2465</v>
      </c>
      <c r="B57" s="738"/>
      <c r="C57" s="743"/>
      <c r="D57" s="743"/>
      <c r="E57" s="743"/>
      <c r="F57" s="744"/>
      <c r="G57" s="744"/>
      <c r="H57" s="743"/>
      <c r="I57" s="743"/>
      <c r="J57" s="743"/>
      <c r="K57" s="745"/>
      <c r="L57" s="1271"/>
      <c r="M57" s="1272"/>
      <c r="N57" s="1272"/>
      <c r="O57" s="1272"/>
      <c r="P57" s="2458"/>
      <c r="Q57" s="2459"/>
      <c r="R57" s="1256"/>
      <c r="S57" s="1256"/>
      <c r="T57" s="1256"/>
      <c r="U57" s="1256"/>
      <c r="V57" s="1256"/>
      <c r="W57" s="1256"/>
      <c r="X57" s="1256"/>
      <c r="Y57" s="1256"/>
      <c r="Z57" s="1256"/>
      <c r="AA57" s="1256"/>
      <c r="AB57" s="1256"/>
      <c r="AC57" s="1256"/>
    </row>
    <row r="58" spans="1:29" s="489" customFormat="1" ht="15">
      <c r="A58" s="486" t="s">
        <v>2347</v>
      </c>
      <c r="B58" s="487"/>
      <c r="C58" s="1677" t="str">
        <f>YEAR(C7)&amp;"-"&amp;MONTH(C7)</f>
        <v>2018-12</v>
      </c>
      <c r="D58" s="1678">
        <f>EDATE(C58,-1)</f>
        <v>43405</v>
      </c>
      <c r="E58" s="1678">
        <f t="shared" ref="E58:O58" si="16">EDATE(D58,-1)</f>
        <v>43374</v>
      </c>
      <c r="F58" s="1678">
        <f t="shared" si="16"/>
        <v>43344</v>
      </c>
      <c r="G58" s="1678">
        <f t="shared" si="16"/>
        <v>43313</v>
      </c>
      <c r="H58" s="1678">
        <f t="shared" si="16"/>
        <v>43282</v>
      </c>
      <c r="I58" s="1678">
        <f t="shared" si="16"/>
        <v>43252</v>
      </c>
      <c r="J58" s="1678">
        <f t="shared" si="16"/>
        <v>43221</v>
      </c>
      <c r="K58" s="1678">
        <f t="shared" si="16"/>
        <v>43191</v>
      </c>
      <c r="L58" s="1678">
        <f t="shared" si="16"/>
        <v>43160</v>
      </c>
      <c r="M58" s="1678">
        <f t="shared" si="16"/>
        <v>43132</v>
      </c>
      <c r="N58" s="1678">
        <f t="shared" si="16"/>
        <v>43101</v>
      </c>
      <c r="O58" s="1678">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2385</v>
      </c>
      <c r="B60" s="497"/>
      <c r="C60" s="498"/>
      <c r="D60" s="499"/>
      <c r="E60" s="499"/>
      <c r="F60" s="499"/>
      <c r="G60" s="499"/>
      <c r="H60" s="499"/>
      <c r="I60" s="499"/>
      <c r="J60" s="499"/>
      <c r="K60" s="499"/>
      <c r="L60" s="499"/>
      <c r="M60" s="500"/>
      <c r="N60" s="499"/>
      <c r="O60" s="500"/>
      <c r="P60" s="2421"/>
      <c r="Q60" s="485"/>
    </row>
    <row r="61" spans="1:29" s="35" customFormat="1" ht="15">
      <c r="A61" s="502" t="s">
        <v>2349</v>
      </c>
      <c r="B61" s="491"/>
      <c r="C61" s="503" t="s">
        <v>2350</v>
      </c>
      <c r="D61" s="504"/>
      <c r="E61" s="504"/>
      <c r="F61" s="504"/>
      <c r="G61" s="504"/>
      <c r="H61" s="504"/>
      <c r="I61" s="504"/>
      <c r="J61" s="504"/>
      <c r="K61" s="504"/>
      <c r="L61" s="505"/>
      <c r="M61" s="506"/>
      <c r="N61" s="1265"/>
      <c r="O61" s="1265"/>
      <c r="P61" s="2422"/>
      <c r="Q61" s="485"/>
    </row>
    <row r="62" spans="1:29" s="35" customFormat="1" ht="15.75" thickBot="1">
      <c r="A62" s="502"/>
      <c r="B62" s="491"/>
      <c r="C62" s="492">
        <v>100</v>
      </c>
      <c r="D62" s="493"/>
      <c r="E62" s="493"/>
      <c r="F62" s="493"/>
      <c r="G62" s="493"/>
      <c r="H62" s="493"/>
      <c r="I62" s="493"/>
      <c r="J62" s="493"/>
      <c r="K62" s="493"/>
      <c r="L62" s="493"/>
      <c r="M62" s="495"/>
      <c r="N62" s="1265"/>
      <c r="O62" s="1265"/>
      <c r="P62" s="2421"/>
      <c r="Q62" s="485"/>
    </row>
    <row r="63" spans="1:29">
      <c r="A63" s="508" t="s">
        <v>2388</v>
      </c>
      <c r="B63" s="509" t="s">
        <v>2353</v>
      </c>
      <c r="C63" s="510">
        <f>C9</f>
        <v>0</v>
      </c>
      <c r="D63" s="511"/>
      <c r="E63" s="511"/>
      <c r="F63" s="511"/>
      <c r="G63" s="511"/>
      <c r="H63" s="511"/>
      <c r="I63" s="511"/>
      <c r="J63" s="511"/>
      <c r="K63" s="512"/>
      <c r="L63" s="513"/>
      <c r="M63" s="514"/>
      <c r="N63" s="1266"/>
      <c r="O63" s="1266"/>
      <c r="P63" s="2423"/>
      <c r="Q63" s="485"/>
    </row>
    <row r="64" spans="1:29" ht="15.75" thickBot="1">
      <c r="A64" s="516"/>
      <c r="B64" s="517"/>
      <c r="C64" s="518">
        <v>100</v>
      </c>
      <c r="D64" s="518"/>
      <c r="E64" s="518"/>
      <c r="F64" s="518"/>
      <c r="G64" s="518"/>
      <c r="H64" s="518"/>
      <c r="I64" s="518"/>
      <c r="J64" s="518"/>
      <c r="K64" s="518"/>
      <c r="L64" s="518"/>
      <c r="M64" s="519"/>
      <c r="N64" s="1267"/>
      <c r="O64" s="1267"/>
      <c r="P64" s="2423"/>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3"/>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3"/>
      <c r="Q67" s="485"/>
    </row>
    <row r="68" spans="1:17" ht="15">
      <c r="A68" s="516"/>
      <c r="B68" s="531"/>
      <c r="C68" s="532"/>
      <c r="D68" s="532"/>
      <c r="E68" s="532"/>
      <c r="F68" s="532"/>
      <c r="G68" s="532"/>
      <c r="H68" s="532"/>
      <c r="I68" s="532"/>
      <c r="J68" s="532"/>
      <c r="K68" s="533"/>
      <c r="L68" s="534"/>
      <c r="M68" s="535"/>
      <c r="N68" s="1266"/>
      <c r="O68" s="1266"/>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3"/>
      <c r="Q69" s="485"/>
    </row>
    <row r="70" spans="1:17" s="452" customFormat="1" ht="15.75" thickTop="1">
      <c r="A70" s="536"/>
      <c r="B70" s="521">
        <f>B12</f>
        <v>111</v>
      </c>
      <c r="C70" s="537"/>
      <c r="D70" s="537"/>
      <c r="E70" s="537"/>
      <c r="F70" s="537"/>
      <c r="G70" s="537"/>
      <c r="H70" s="538"/>
      <c r="I70" s="538"/>
      <c r="J70" s="538"/>
      <c r="K70" s="538"/>
      <c r="L70" s="539"/>
      <c r="M70" s="540"/>
      <c r="N70" s="1268"/>
      <c r="O70" s="1268"/>
      <c r="P70" s="2424"/>
      <c r="Q70" s="543"/>
    </row>
    <row r="71" spans="1:17" s="452" customFormat="1" ht="15.75" thickBot="1">
      <c r="A71" s="536"/>
      <c r="B71" s="526"/>
      <c r="C71" s="544"/>
      <c r="D71" s="518"/>
      <c r="E71" s="518"/>
      <c r="F71" s="518"/>
      <c r="G71" s="518"/>
      <c r="H71" s="518"/>
      <c r="I71" s="518"/>
      <c r="J71" s="518"/>
      <c r="K71" s="518"/>
      <c r="L71" s="518"/>
      <c r="M71" s="519"/>
      <c r="N71" s="1267"/>
      <c r="O71" s="1267"/>
      <c r="P71" s="2424"/>
      <c r="Q71" s="543"/>
    </row>
    <row r="72" spans="1:17" s="452" customFormat="1" ht="15.75" thickTop="1">
      <c r="A72" s="536"/>
      <c r="B72" s="521">
        <f>B13</f>
        <v>111</v>
      </c>
      <c r="C72" s="537"/>
      <c r="D72" s="537"/>
      <c r="E72" s="537"/>
      <c r="F72" s="537"/>
      <c r="G72" s="537"/>
      <c r="H72" s="538"/>
      <c r="I72" s="538"/>
      <c r="J72" s="538"/>
      <c r="K72" s="538"/>
      <c r="L72" s="539"/>
      <c r="M72" s="540"/>
      <c r="N72" s="1268"/>
      <c r="O72" s="1268"/>
      <c r="P72" s="2425"/>
      <c r="Q72" s="545"/>
    </row>
    <row r="73" spans="1:17" s="452" customFormat="1" ht="15.75" thickBot="1">
      <c r="A73" s="536"/>
      <c r="B73" s="526"/>
      <c r="C73" s="544"/>
      <c r="D73" s="518"/>
      <c r="E73" s="518"/>
      <c r="F73" s="518"/>
      <c r="G73" s="544"/>
      <c r="H73" s="546"/>
      <c r="I73" s="546"/>
      <c r="J73" s="546"/>
      <c r="K73" s="546"/>
      <c r="L73" s="546"/>
      <c r="M73" s="547"/>
      <c r="N73" s="1268"/>
      <c r="O73" s="1268"/>
      <c r="P73" s="2424"/>
      <c r="Q73" s="543"/>
    </row>
    <row r="74" spans="1:17" s="452" customFormat="1" ht="15.75" thickTop="1">
      <c r="A74" s="536"/>
      <c r="B74" s="529">
        <f>B14</f>
        <v>111</v>
      </c>
      <c r="C74" s="537"/>
      <c r="D74" s="537"/>
      <c r="E74" s="537"/>
      <c r="F74" s="537"/>
      <c r="G74" s="504"/>
      <c r="H74" s="548"/>
      <c r="I74" s="548"/>
      <c r="J74" s="548"/>
      <c r="K74" s="548"/>
      <c r="L74" s="549"/>
      <c r="M74" s="550"/>
      <c r="N74" s="1268"/>
      <c r="O74" s="1268"/>
      <c r="P74" s="2426"/>
      <c r="Q74" s="543"/>
    </row>
    <row r="75" spans="1:17" s="452" customFormat="1" ht="15.75" thickBot="1">
      <c r="A75" s="552"/>
      <c r="B75" s="553"/>
      <c r="C75" s="554"/>
      <c r="D75" s="554"/>
      <c r="E75" s="554"/>
      <c r="F75" s="554"/>
      <c r="G75" s="554"/>
      <c r="H75" s="555"/>
      <c r="I75" s="555"/>
      <c r="J75" s="555"/>
      <c r="K75" s="555"/>
      <c r="L75" s="555"/>
      <c r="M75" s="556"/>
      <c r="N75" s="1268"/>
      <c r="O75" s="1268"/>
      <c r="P75" s="2424"/>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3"/>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3"/>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3"/>
      <c r="Q81" s="485"/>
    </row>
    <row r="82" spans="1:17" ht="15.75" thickTop="1">
      <c r="A82" s="516"/>
      <c r="B82" s="529" t="s">
        <v>2446</v>
      </c>
      <c r="C82" s="522" t="s">
        <v>2404</v>
      </c>
      <c r="D82" s="522" t="s">
        <v>2405</v>
      </c>
      <c r="E82" s="522" t="s">
        <v>2406</v>
      </c>
      <c r="F82" s="522" t="s">
        <v>2407</v>
      </c>
      <c r="G82" s="522" t="s">
        <v>2408</v>
      </c>
      <c r="H82" s="522"/>
      <c r="I82" s="522"/>
      <c r="J82" s="522"/>
      <c r="K82" s="522"/>
      <c r="L82" s="522"/>
      <c r="M82" s="1466"/>
      <c r="N82" s="1267"/>
      <c r="O82" s="1267"/>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3"/>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3"/>
      <c r="Q85" s="485"/>
    </row>
    <row r="86" spans="1:17" s="35" customFormat="1" ht="15.75" thickTop="1">
      <c r="A86" s="563"/>
      <c r="B86" s="521" t="s">
        <v>2466</v>
      </c>
      <c r="C86" s="537"/>
      <c r="D86" s="537"/>
      <c r="E86" s="537"/>
      <c r="F86" s="537"/>
      <c r="G86" s="537"/>
      <c r="H86" s="537"/>
      <c r="I86" s="537"/>
      <c r="J86" s="537"/>
      <c r="K86" s="537"/>
      <c r="L86" s="564"/>
      <c r="M86" s="565"/>
      <c r="N86" s="1265"/>
      <c r="O86" s="1265"/>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5"/>
      <c r="O88" s="1265"/>
      <c r="P88" s="2423"/>
      <c r="Q88" s="485"/>
    </row>
    <row r="89" spans="1:17" s="35" customFormat="1" ht="15.75" thickBot="1">
      <c r="A89" s="563"/>
      <c r="B89" s="526"/>
      <c r="C89" s="544"/>
      <c r="D89" s="518"/>
      <c r="E89" s="518"/>
      <c r="F89" s="518"/>
      <c r="G89" s="518"/>
      <c r="H89" s="518"/>
      <c r="I89" s="518"/>
      <c r="J89" s="518"/>
      <c r="K89" s="518"/>
      <c r="L89" s="518"/>
      <c r="M89" s="518"/>
      <c r="N89" s="1267"/>
      <c r="O89" s="1267"/>
      <c r="P89" s="2423"/>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4"/>
      <c r="Q91" s="543"/>
    </row>
    <row r="92" spans="1:17" ht="15.75" thickTop="1">
      <c r="A92" s="516"/>
      <c r="B92" s="521" t="str">
        <f>B28</f>
        <v>楼层</v>
      </c>
      <c r="C92" s="537"/>
      <c r="D92" s="537"/>
      <c r="E92" s="537"/>
      <c r="F92" s="537"/>
      <c r="G92" s="537"/>
      <c r="H92" s="537"/>
      <c r="I92" s="537"/>
      <c r="J92" s="537"/>
      <c r="K92" s="537"/>
      <c r="L92" s="564"/>
      <c r="M92" s="565"/>
      <c r="N92" s="1266"/>
      <c r="O92" s="1266"/>
      <c r="P92" s="2423"/>
      <c r="Q92" s="485"/>
    </row>
    <row r="93" spans="1:17" ht="15.75" thickBot="1">
      <c r="A93" s="516"/>
      <c r="B93" s="526"/>
      <c r="C93" s="518"/>
      <c r="D93" s="518"/>
      <c r="E93" s="518"/>
      <c r="F93" s="518"/>
      <c r="G93" s="518"/>
      <c r="H93" s="518"/>
      <c r="I93" s="518"/>
      <c r="J93" s="518"/>
      <c r="K93" s="518"/>
      <c r="L93" s="518"/>
      <c r="M93" s="519"/>
      <c r="N93" s="1267"/>
      <c r="O93" s="1267"/>
      <c r="P93" s="2423"/>
      <c r="Q93" s="485"/>
    </row>
    <row r="94" spans="1:17" ht="15.75" thickTop="1">
      <c r="A94" s="516"/>
      <c r="B94" s="521">
        <f>B29</f>
        <v>111</v>
      </c>
      <c r="C94" s="537"/>
      <c r="D94" s="537"/>
      <c r="E94" s="537"/>
      <c r="F94" s="537"/>
      <c r="G94" s="567"/>
      <c r="H94" s="567"/>
      <c r="I94" s="567"/>
      <c r="J94" s="567"/>
      <c r="K94" s="568"/>
      <c r="L94" s="569"/>
      <c r="M94" s="570"/>
      <c r="N94" s="1266"/>
      <c r="O94" s="1266"/>
      <c r="P94" s="2423"/>
      <c r="Q94" s="485"/>
    </row>
    <row r="95" spans="1:17" ht="15.75" thickBot="1">
      <c r="A95" s="516"/>
      <c r="B95" s="526"/>
      <c r="C95" s="544"/>
      <c r="D95" s="518"/>
      <c r="E95" s="518"/>
      <c r="F95" s="518"/>
      <c r="G95" s="518"/>
      <c r="H95" s="518"/>
      <c r="I95" s="518"/>
      <c r="J95" s="518"/>
      <c r="K95" s="518"/>
      <c r="L95" s="518"/>
      <c r="M95" s="519"/>
      <c r="N95" s="1267"/>
      <c r="O95" s="1267"/>
      <c r="P95" s="2423"/>
      <c r="Q95" s="485"/>
    </row>
    <row r="96" spans="1:17" ht="15.75" thickTop="1">
      <c r="A96" s="516"/>
      <c r="B96" s="521">
        <f>B30</f>
        <v>111</v>
      </c>
      <c r="C96" s="537"/>
      <c r="D96" s="537"/>
      <c r="E96" s="537"/>
      <c r="F96" s="537"/>
      <c r="G96" s="567"/>
      <c r="H96" s="567"/>
      <c r="I96" s="567"/>
      <c r="J96" s="567"/>
      <c r="K96" s="568"/>
      <c r="L96" s="569"/>
      <c r="M96" s="570"/>
      <c r="N96" s="1266"/>
      <c r="O96" s="1266"/>
      <c r="P96" s="2423"/>
      <c r="Q96" s="485"/>
    </row>
    <row r="97" spans="1:17" ht="15.75" thickBot="1">
      <c r="A97" s="516"/>
      <c r="B97" s="526"/>
      <c r="C97" s="544"/>
      <c r="D97" s="518"/>
      <c r="E97" s="518"/>
      <c r="F97" s="518"/>
      <c r="G97" s="518"/>
      <c r="H97" s="518"/>
      <c r="I97" s="518"/>
      <c r="J97" s="518"/>
      <c r="K97" s="518"/>
      <c r="L97" s="518"/>
      <c r="M97" s="519"/>
      <c r="N97" s="1267"/>
      <c r="O97" s="1267"/>
      <c r="P97" s="2423"/>
      <c r="Q97" s="485"/>
    </row>
    <row r="98" spans="1:17" ht="15.75" thickTop="1">
      <c r="A98" s="516"/>
      <c r="B98" s="529">
        <f>B31</f>
        <v>111</v>
      </c>
      <c r="C98" s="537"/>
      <c r="D98" s="537"/>
      <c r="E98" s="537"/>
      <c r="F98" s="537"/>
      <c r="G98" s="571"/>
      <c r="H98" s="571"/>
      <c r="I98" s="571"/>
      <c r="J98" s="571"/>
      <c r="K98" s="572"/>
      <c r="L98" s="573"/>
      <c r="M98" s="574"/>
      <c r="N98" s="1266"/>
      <c r="O98" s="1266"/>
      <c r="P98" s="2423"/>
      <c r="Q98" s="485"/>
    </row>
    <row r="99" spans="1:17" ht="15.75" thickBot="1">
      <c r="A99" s="2429"/>
      <c r="B99" s="553"/>
      <c r="C99" s="554"/>
      <c r="D99" s="554"/>
      <c r="E99" s="554"/>
      <c r="F99" s="554"/>
      <c r="G99" s="575"/>
      <c r="H99" s="575"/>
      <c r="I99" s="575"/>
      <c r="J99" s="575"/>
      <c r="K99" s="575"/>
      <c r="L99" s="575"/>
      <c r="M99" s="576"/>
      <c r="N99" s="1267"/>
      <c r="O99" s="1267"/>
      <c r="P99" s="2423"/>
      <c r="Q99" s="485"/>
    </row>
    <row r="100" spans="1:17">
      <c r="A100" s="508" t="s">
        <v>2363</v>
      </c>
      <c r="B100" s="509" t="s">
        <v>2467</v>
      </c>
      <c r="C100" s="511"/>
      <c r="D100" s="511"/>
      <c r="E100" s="511"/>
      <c r="F100" s="511"/>
      <c r="G100" s="511"/>
      <c r="H100" s="511"/>
      <c r="I100" s="511"/>
      <c r="J100" s="511"/>
      <c r="K100" s="512"/>
      <c r="L100" s="513"/>
      <c r="M100" s="514"/>
      <c r="N100" s="1266"/>
      <c r="O100" s="1266"/>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3"/>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3"/>
      <c r="Q102" s="485"/>
    </row>
    <row r="103" spans="1:17" s="452" customFormat="1">
      <c r="A103" s="577"/>
      <c r="B103" s="578"/>
      <c r="C103" s="579"/>
      <c r="D103" s="579"/>
      <c r="E103" s="579"/>
      <c r="F103" s="579"/>
      <c r="G103" s="579"/>
      <c r="H103" s="579"/>
      <c r="I103" s="579"/>
      <c r="J103" s="580"/>
      <c r="K103" s="580"/>
      <c r="L103" s="581"/>
      <c r="M103" s="582"/>
      <c r="N103" s="1268"/>
      <c r="O103" s="1268"/>
      <c r="P103" s="2424"/>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4"/>
      <c r="Q104" s="543"/>
    </row>
    <row r="105" spans="1:17" ht="15" thickTop="1">
      <c r="A105" s="583"/>
      <c r="B105" s="521" t="s">
        <v>2414</v>
      </c>
      <c r="C105" s="537"/>
      <c r="D105" s="537"/>
      <c r="E105" s="567"/>
      <c r="F105" s="567"/>
      <c r="G105" s="567"/>
      <c r="H105" s="567"/>
      <c r="I105" s="567"/>
      <c r="J105" s="567"/>
      <c r="K105" s="568"/>
      <c r="L105" s="569"/>
      <c r="M105" s="570"/>
      <c r="N105" s="1266"/>
      <c r="O105" s="1266"/>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3"/>
      <c r="Q106" s="485"/>
    </row>
    <row r="107" spans="1:17" ht="15" thickTop="1">
      <c r="A107" s="583"/>
      <c r="B107" s="521" t="s">
        <v>2416</v>
      </c>
      <c r="C107" s="537"/>
      <c r="D107" s="537"/>
      <c r="E107" s="537"/>
      <c r="F107" s="567"/>
      <c r="G107" s="567"/>
      <c r="H107" s="567"/>
      <c r="I107" s="567"/>
      <c r="J107" s="567"/>
      <c r="K107" s="568"/>
      <c r="L107" s="569"/>
      <c r="M107" s="570"/>
      <c r="N107" s="1266"/>
      <c r="O107" s="1266"/>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3"/>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3"/>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3"/>
      <c r="Q111" s="485"/>
    </row>
    <row r="112" spans="1:17" s="452" customFormat="1" ht="15" thickTop="1">
      <c r="A112" s="577"/>
      <c r="B112" s="521" t="s">
        <v>2419</v>
      </c>
      <c r="C112" s="537"/>
      <c r="D112" s="537"/>
      <c r="E112" s="537"/>
      <c r="F112" s="537"/>
      <c r="G112" s="537"/>
      <c r="H112" s="567"/>
      <c r="I112" s="567"/>
      <c r="J112" s="567"/>
      <c r="K112" s="568"/>
      <c r="L112" s="569"/>
      <c r="M112" s="570"/>
      <c r="N112" s="1268"/>
      <c r="O112" s="1268"/>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4"/>
      <c r="Q113" s="543"/>
    </row>
    <row r="114" spans="1:17" ht="15" thickTop="1">
      <c r="A114" s="583"/>
      <c r="B114" s="521" t="s">
        <v>2468</v>
      </c>
      <c r="C114" s="537"/>
      <c r="D114" s="537"/>
      <c r="E114" s="567"/>
      <c r="F114" s="567"/>
      <c r="G114" s="567"/>
      <c r="H114" s="567"/>
      <c r="I114" s="567"/>
      <c r="J114" s="567"/>
      <c r="K114" s="568"/>
      <c r="L114" s="569"/>
      <c r="M114" s="570"/>
      <c r="N114" s="1266"/>
      <c r="O114" s="1266"/>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3"/>
      <c r="Q115" s="485"/>
    </row>
    <row r="116" spans="1:17" ht="15" thickTop="1">
      <c r="A116" s="583"/>
      <c r="B116" s="521" t="s">
        <v>2469</v>
      </c>
      <c r="C116" s="537"/>
      <c r="D116" s="537"/>
      <c r="E116" s="537"/>
      <c r="F116" s="537"/>
      <c r="G116" s="537"/>
      <c r="H116" s="567"/>
      <c r="I116" s="567"/>
      <c r="J116" s="567"/>
      <c r="K116" s="568"/>
      <c r="L116" s="569"/>
      <c r="M116" s="570"/>
      <c r="N116" s="1266"/>
      <c r="O116" s="1266"/>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3"/>
      <c r="Q117" s="485"/>
    </row>
    <row r="118" spans="1:17" ht="15" thickTop="1">
      <c r="A118" s="583"/>
      <c r="B118" s="521" t="s">
        <v>2470</v>
      </c>
      <c r="C118" s="611"/>
      <c r="D118" s="611"/>
      <c r="E118" s="611"/>
      <c r="F118" s="611"/>
      <c r="G118" s="611"/>
      <c r="H118" s="538"/>
      <c r="I118" s="538"/>
      <c r="J118" s="538"/>
      <c r="K118" s="538"/>
      <c r="L118" s="539"/>
      <c r="M118" s="540"/>
      <c r="N118" s="1266"/>
      <c r="O118" s="1266"/>
      <c r="P118" s="2423"/>
      <c r="Q118" s="485"/>
    </row>
    <row r="119" spans="1:17" ht="15.75" thickBot="1">
      <c r="A119" s="516"/>
      <c r="B119" s="526"/>
      <c r="C119" s="544"/>
      <c r="D119" s="518"/>
      <c r="E119" s="518"/>
      <c r="F119" s="518"/>
      <c r="G119" s="518"/>
      <c r="H119" s="518"/>
      <c r="I119" s="518"/>
      <c r="J119" s="518"/>
      <c r="K119" s="518"/>
      <c r="L119" s="518"/>
      <c r="M119" s="519"/>
      <c r="N119" s="1267"/>
      <c r="O119" s="1267"/>
      <c r="P119" s="2423"/>
      <c r="Q119" s="485"/>
    </row>
    <row r="120" spans="1:17" s="452" customFormat="1" ht="15" thickTop="1">
      <c r="A120" s="577"/>
      <c r="B120" s="521" t="s">
        <v>2471</v>
      </c>
      <c r="C120" s="567"/>
      <c r="D120" s="567"/>
      <c r="E120" s="567"/>
      <c r="F120" s="567"/>
      <c r="G120" s="538"/>
      <c r="H120" s="538"/>
      <c r="I120" s="538"/>
      <c r="J120" s="538"/>
      <c r="K120" s="538"/>
      <c r="L120" s="539"/>
      <c r="M120" s="540"/>
      <c r="N120" s="1268"/>
      <c r="O120" s="1268"/>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4"/>
      <c r="Q121" s="543"/>
    </row>
    <row r="122" spans="1:17" ht="15" thickTop="1">
      <c r="A122" s="583"/>
      <c r="B122" s="521" t="s">
        <v>2421</v>
      </c>
      <c r="C122" s="537"/>
      <c r="D122" s="537"/>
      <c r="E122" s="537"/>
      <c r="F122" s="567"/>
      <c r="G122" s="567"/>
      <c r="H122" s="567"/>
      <c r="I122" s="567"/>
      <c r="J122" s="567"/>
      <c r="K122" s="568"/>
      <c r="L122" s="569"/>
      <c r="M122" s="570"/>
      <c r="N122" s="1266"/>
      <c r="O122" s="1266"/>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3"/>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3"/>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4"/>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4"/>
      <c r="Q127" s="543"/>
    </row>
    <row r="128" spans="1:17" ht="15" thickTop="1">
      <c r="A128" s="583"/>
      <c r="B128" s="521">
        <f>B45</f>
        <v>111</v>
      </c>
      <c r="C128" s="537"/>
      <c r="D128" s="537"/>
      <c r="E128" s="537"/>
      <c r="F128" s="537"/>
      <c r="G128" s="567"/>
      <c r="H128" s="567"/>
      <c r="I128" s="567"/>
      <c r="J128" s="567"/>
      <c r="K128" s="568"/>
      <c r="L128" s="569"/>
      <c r="M128" s="570"/>
      <c r="N128" s="1266"/>
      <c r="O128" s="1266"/>
      <c r="P128" s="2423"/>
      <c r="Q128" s="485"/>
    </row>
    <row r="129" spans="1:17" ht="15.75" thickBot="1">
      <c r="A129" s="516"/>
      <c r="B129" s="526"/>
      <c r="C129" s="544"/>
      <c r="D129" s="518"/>
      <c r="E129" s="518"/>
      <c r="F129" s="518"/>
      <c r="G129" s="518"/>
      <c r="H129" s="518"/>
      <c r="I129" s="518"/>
      <c r="J129" s="518"/>
      <c r="K129" s="518"/>
      <c r="L129" s="518"/>
      <c r="M129" s="519"/>
      <c r="N129" s="1267"/>
      <c r="O129" s="1267"/>
      <c r="P129" s="2423"/>
      <c r="Q129" s="485"/>
    </row>
    <row r="130" spans="1:17" ht="15" thickTop="1">
      <c r="A130" s="583"/>
      <c r="B130" s="529">
        <f>B46</f>
        <v>111</v>
      </c>
      <c r="C130" s="537"/>
      <c r="D130" s="537"/>
      <c r="E130" s="537"/>
      <c r="F130" s="537"/>
      <c r="G130" s="571"/>
      <c r="H130" s="571"/>
      <c r="I130" s="571"/>
      <c r="J130" s="571"/>
      <c r="K130" s="504"/>
      <c r="L130" s="505"/>
      <c r="M130" s="574"/>
      <c r="N130" s="1266"/>
      <c r="O130" s="1266"/>
      <c r="P130" s="2423"/>
      <c r="Q130" s="485"/>
    </row>
    <row r="131" spans="1:17" ht="15.75" thickBot="1">
      <c r="A131" s="2429"/>
      <c r="B131" s="553"/>
      <c r="C131" s="554"/>
      <c r="D131" s="554"/>
      <c r="E131" s="554"/>
      <c r="F131" s="554"/>
      <c r="G131" s="575"/>
      <c r="H131" s="575"/>
      <c r="I131" s="575"/>
      <c r="J131" s="575"/>
      <c r="K131" s="575"/>
      <c r="L131" s="575"/>
      <c r="M131" s="576"/>
      <c r="N131" s="1267"/>
      <c r="O131" s="1267"/>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2472</v>
      </c>
      <c r="C1" s="1725"/>
      <c r="D1" s="1738"/>
      <c r="E1" s="2379"/>
      <c r="F1" s="1739" t="s">
        <v>2332</v>
      </c>
      <c r="G1" s="1738"/>
      <c r="H1" s="1738"/>
      <c r="I1" s="1738"/>
      <c r="J1" s="1738"/>
      <c r="K1" s="1740"/>
      <c r="L1" s="1732"/>
      <c r="M1" s="1733"/>
      <c r="N1" s="1733"/>
      <c r="O1" s="1733"/>
      <c r="P1" s="1733"/>
      <c r="Q1" s="1733"/>
      <c r="R1" s="1733"/>
      <c r="S1" s="1733"/>
      <c r="T1" s="1733"/>
      <c r="U1" s="1733"/>
      <c r="V1" s="1733"/>
      <c r="W1" s="1733"/>
      <c r="X1" s="1733"/>
      <c r="Y1" s="1733"/>
      <c r="Z1" s="1733"/>
      <c r="AA1" s="1733"/>
      <c r="AB1" s="2460"/>
      <c r="AC1" s="1735"/>
    </row>
    <row r="2" spans="1:29" s="377" customFormat="1" ht="28.5" customHeight="1" thickTop="1">
      <c r="A2" s="1726" t="s">
        <v>2002</v>
      </c>
      <c r="B2" s="1724" t="e">
        <f ca="1">IF(D2="——",IF(C2="元",ROUND(C50*D3,0),ROUND(C50*D3/10000,0)),IF(C2="元",ROUND(C50*D3,0),ROUND(C50*D3/10000,0))-E2)</f>
        <v>#DIV/0!</v>
      </c>
      <c r="C2" s="163" t="str">
        <f>'数据-取费表'!B3</f>
        <v>元</v>
      </c>
      <c r="D2" s="2381"/>
      <c r="E2" s="1840" t="e">
        <f ca="1">SUMIF(INDIRECT("'"&amp;G2&amp;"'"&amp;"!A:A"),"承租人权益价值",INDIRECT("'"&amp;G2&amp;"'"&amp;"!c:c"))</f>
        <v>#REF!</v>
      </c>
      <c r="F2" s="2382" t="str">
        <f>C2</f>
        <v>元</v>
      </c>
      <c r="G2" s="2383"/>
      <c r="H2" s="980"/>
      <c r="I2" s="980"/>
      <c r="J2" s="980"/>
      <c r="K2" s="980"/>
      <c r="L2" s="1240"/>
      <c r="M2" s="1241"/>
      <c r="N2" s="1241"/>
      <c r="O2" s="1241"/>
      <c r="P2" s="747"/>
      <c r="Q2" s="747"/>
      <c r="R2" s="747"/>
      <c r="S2" s="747"/>
      <c r="T2" s="747"/>
      <c r="U2" s="747"/>
      <c r="V2" s="747"/>
      <c r="W2" s="747"/>
      <c r="X2" s="747"/>
      <c r="Y2" s="747"/>
      <c r="Z2" s="747"/>
      <c r="AA2" s="747"/>
      <c r="AB2" s="2461"/>
      <c r="AC2" s="761"/>
    </row>
    <row r="3" spans="1:29" s="377" customFormat="1" ht="28.5" customHeight="1" thickBot="1">
      <c r="A3" s="167" t="s">
        <v>2003</v>
      </c>
      <c r="B3" s="593" t="e">
        <f ca="1">ROUND(IF(D2="——",C50,IF(C2="万元",B2*10000/D3,B2/D3)),0)</f>
        <v>#DIV/0!</v>
      </c>
      <c r="C3" s="379" t="s">
        <v>2333</v>
      </c>
      <c r="D3" s="378">
        <f>IF(C1="仅计算典型户型",'数据-取费表'!E5,'数据-取费表'!B5)</f>
        <v>11.66</v>
      </c>
      <c r="E3" s="2453"/>
      <c r="F3" s="981"/>
      <c r="G3" s="980"/>
      <c r="H3" s="980"/>
      <c r="I3" s="980"/>
      <c r="J3" s="980"/>
      <c r="K3" s="982"/>
      <c r="L3" s="1240"/>
      <c r="M3" s="1241"/>
      <c r="N3" s="1241"/>
      <c r="O3" s="1241"/>
      <c r="P3" s="737"/>
      <c r="Q3" s="737"/>
      <c r="R3" s="737"/>
      <c r="S3" s="737"/>
      <c r="T3" s="737"/>
      <c r="U3" s="737"/>
      <c r="V3" s="737"/>
      <c r="W3" s="737"/>
      <c r="X3" s="747"/>
      <c r="Y3" s="737"/>
      <c r="Z3" s="737"/>
      <c r="AA3" s="737"/>
      <c r="AB3" s="2462"/>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50" t="s">
        <v>2340</v>
      </c>
      <c r="Q4" s="3036"/>
      <c r="R4" s="3020" t="s">
        <v>2336</v>
      </c>
      <c r="S4" s="3021"/>
      <c r="T4" s="3020" t="s">
        <v>2337</v>
      </c>
      <c r="U4" s="3021"/>
      <c r="V4" s="3041" t="s">
        <v>2338</v>
      </c>
      <c r="W4" s="3041"/>
      <c r="X4" s="1897"/>
      <c r="Y4" s="3020" t="s">
        <v>2340</v>
      </c>
      <c r="Z4" s="3021"/>
      <c r="AA4" s="3028" t="s">
        <v>2336</v>
      </c>
      <c r="AB4" s="3028"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51"/>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52"/>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SUMIF(59:59,YEAR(E7)&amp;"-"&amp;MONTH(E7),60:60)</f>
        <v>0</v>
      </c>
      <c r="G7" s="2463"/>
      <c r="H7" s="390">
        <f>SUMIF(59:59,YEAR(G7)&amp;"-"&amp;MONTH(G7),60:60)</f>
        <v>0</v>
      </c>
      <c r="I7" s="2463"/>
      <c r="J7" s="390">
        <f>SUMIF(59:59,YEAR(I7)&amp;"-"&amp;MONTH(I7),60:60)</f>
        <v>0</v>
      </c>
      <c r="K7" s="595"/>
      <c r="L7" s="1244"/>
      <c r="M7" s="1245"/>
      <c r="N7" s="1245"/>
      <c r="O7" s="1245"/>
      <c r="P7" s="3026"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26" t="s">
        <v>2351</v>
      </c>
      <c r="Q8" s="3019"/>
      <c r="R8" s="749" t="s">
        <v>25</v>
      </c>
      <c r="S8" s="750">
        <f t="shared" si="0"/>
        <v>0</v>
      </c>
      <c r="T8" s="749" t="s">
        <v>25</v>
      </c>
      <c r="U8" s="750">
        <f t="shared" si="1"/>
        <v>0</v>
      </c>
      <c r="V8" s="749" t="s">
        <v>25</v>
      </c>
      <c r="W8" s="750">
        <f t="shared" si="2"/>
        <v>0</v>
      </c>
      <c r="X8" s="751"/>
      <c r="Y8" s="3018" t="s">
        <v>2351</v>
      </c>
      <c r="Z8" s="3019"/>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02"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02"/>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02"/>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02"/>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02"/>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02"/>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71.25">
      <c r="A15" s="419" t="s">
        <v>2358</v>
      </c>
      <c r="B15" s="613" t="s">
        <v>2473</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36" t="s">
        <v>2359</v>
      </c>
      <c r="Q15" s="1896" t="str">
        <f t="shared" si="6"/>
        <v>办公集聚程度</v>
      </c>
      <c r="R15" s="753" t="s">
        <v>25</v>
      </c>
      <c r="S15" s="754">
        <f t="shared" si="0"/>
        <v>100</v>
      </c>
      <c r="T15" s="753" t="s">
        <v>25</v>
      </c>
      <c r="U15" s="754">
        <f t="shared" si="1"/>
        <v>100</v>
      </c>
      <c r="V15" s="753" t="s">
        <v>25</v>
      </c>
      <c r="W15" s="754">
        <f t="shared" si="2"/>
        <v>100</v>
      </c>
      <c r="X15" s="1897"/>
      <c r="Y15" s="3007" t="s">
        <v>2359</v>
      </c>
      <c r="Z15" s="1899" t="str">
        <f t="shared" si="7"/>
        <v>办公集聚程度</v>
      </c>
      <c r="AA15" s="1900">
        <f t="shared" si="3"/>
        <v>1</v>
      </c>
      <c r="AB15" s="1900">
        <f t="shared" si="4"/>
        <v>1</v>
      </c>
      <c r="AC15" s="1900">
        <f t="shared" si="5"/>
        <v>1</v>
      </c>
    </row>
    <row r="16" spans="1:29" ht="15">
      <c r="A16" s="408"/>
      <c r="B16" s="614"/>
      <c r="C16" s="1471"/>
      <c r="D16" s="427"/>
      <c r="E16" s="426"/>
      <c r="F16" s="427"/>
      <c r="G16" s="1471"/>
      <c r="H16" s="430"/>
      <c r="I16" s="426"/>
      <c r="J16" s="427"/>
      <c r="K16" s="599"/>
      <c r="L16" s="1252"/>
      <c r="M16" s="1243"/>
      <c r="N16" s="1243"/>
      <c r="O16" s="1243"/>
      <c r="P16" s="3038"/>
      <c r="Q16" s="1896"/>
      <c r="R16" s="753"/>
      <c r="S16" s="754"/>
      <c r="T16" s="753"/>
      <c r="U16" s="754"/>
      <c r="V16" s="753"/>
      <c r="W16" s="754"/>
      <c r="X16" s="1897"/>
      <c r="Y16" s="3008"/>
      <c r="Z16" s="1899"/>
      <c r="AA16" s="1900">
        <v>1</v>
      </c>
      <c r="AB16" s="1900">
        <v>1</v>
      </c>
      <c r="AC16" s="1900">
        <v>1</v>
      </c>
    </row>
    <row r="17" spans="1:29" ht="128.25">
      <c r="A17" s="408"/>
      <c r="B17" s="615" t="s">
        <v>1745</v>
      </c>
      <c r="C17" s="2465" t="str">
        <f>估价对象房地状况!C6</f>
        <v>临近城市支路——府右街，紧邻言志胡同，周边有14路、68路等多条公交线路及地铁1、4号线换乘站（西单站），交通状况较好。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616"/>
      <c r="C18" s="2466"/>
      <c r="D18" s="430"/>
      <c r="E18" s="2404"/>
      <c r="F18" s="430"/>
      <c r="G18" s="1467"/>
      <c r="H18" s="427"/>
      <c r="I18" s="1467"/>
      <c r="J18" s="427"/>
      <c r="K18" s="599"/>
      <c r="L18" s="1252"/>
      <c r="M18" s="1243"/>
      <c r="N18" s="1243"/>
      <c r="O18" s="1243"/>
      <c r="P18" s="3038"/>
      <c r="Q18" s="1896"/>
      <c r="R18" s="753"/>
      <c r="S18" s="754"/>
      <c r="T18" s="753"/>
      <c r="U18" s="754"/>
      <c r="V18" s="753"/>
      <c r="W18" s="754"/>
      <c r="X18" s="1897"/>
      <c r="Y18" s="3008"/>
      <c r="Z18" s="1899"/>
      <c r="AA18" s="1900">
        <v>1</v>
      </c>
      <c r="AB18" s="1900">
        <v>1</v>
      </c>
      <c r="AC18" s="1900">
        <v>1</v>
      </c>
    </row>
    <row r="19" spans="1:29" ht="270.75">
      <c r="A19" s="408"/>
      <c r="B19" s="615" t="s">
        <v>2474</v>
      </c>
      <c r="C19" s="2465"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8"/>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616"/>
      <c r="C20" s="1471"/>
      <c r="D20" s="427"/>
      <c r="E20" s="2401"/>
      <c r="F20" s="427"/>
      <c r="G20" s="428"/>
      <c r="H20" s="427"/>
      <c r="I20" s="428"/>
      <c r="J20" s="427"/>
      <c r="K20" s="599"/>
      <c r="L20" s="1252"/>
      <c r="M20" s="1243"/>
      <c r="N20" s="1243"/>
      <c r="O20" s="1243"/>
      <c r="P20" s="3038"/>
      <c r="Q20" s="1896"/>
      <c r="R20" s="753"/>
      <c r="S20" s="754"/>
      <c r="T20" s="753"/>
      <c r="U20" s="754"/>
      <c r="V20" s="753"/>
      <c r="W20" s="754"/>
      <c r="X20" s="1897"/>
      <c r="Y20" s="3008"/>
      <c r="Z20" s="1899"/>
      <c r="AA20" s="1900">
        <v>1</v>
      </c>
      <c r="AB20" s="1900">
        <v>1</v>
      </c>
      <c r="AC20" s="1900">
        <v>1</v>
      </c>
    </row>
    <row r="21" spans="1:29" ht="15">
      <c r="A21" s="408"/>
      <c r="B21" s="617" t="s">
        <v>2475</v>
      </c>
      <c r="C21" s="2465" t="str">
        <f>估价对象房地状况!C8</f>
        <v>五通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8"/>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617"/>
      <c r="C22" s="2466"/>
      <c r="D22" s="427"/>
      <c r="E22" s="426"/>
      <c r="F22" s="427"/>
      <c r="G22" s="1471"/>
      <c r="H22" s="427"/>
      <c r="I22" s="1471"/>
      <c r="J22" s="427"/>
      <c r="K22" s="1468"/>
      <c r="L22" s="1252"/>
      <c r="M22" s="1243"/>
      <c r="N22" s="1243"/>
      <c r="O22" s="1243"/>
      <c r="P22" s="3038"/>
      <c r="Q22" s="1896"/>
      <c r="R22" s="753"/>
      <c r="S22" s="754"/>
      <c r="T22" s="753"/>
      <c r="U22" s="754"/>
      <c r="V22" s="753"/>
      <c r="W22" s="754"/>
      <c r="X22" s="1897"/>
      <c r="Y22" s="3008"/>
      <c r="Z22" s="1899"/>
      <c r="AA22" s="1900">
        <v>1</v>
      </c>
      <c r="AB22" s="1900">
        <v>1</v>
      </c>
      <c r="AC22" s="1900">
        <v>1</v>
      </c>
    </row>
    <row r="23" spans="1:29" ht="99.75">
      <c r="A23" s="408"/>
      <c r="B23" s="615" t="s">
        <v>2476</v>
      </c>
      <c r="C23" s="2465" t="str">
        <f>估价对象房地状况!C9</f>
        <v>区域自然环境：中南海、南海、护城河；人文环境：国家大剧院、北京图书大厦；综合评价环境状况较好。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8"/>
      <c r="Q23" s="1896" t="str">
        <f>B23</f>
        <v>环境质量</v>
      </c>
      <c r="R23" s="753" t="s">
        <v>25</v>
      </c>
      <c r="S23" s="754">
        <f>F23</f>
        <v>100</v>
      </c>
      <c r="T23" s="753" t="s">
        <v>25</v>
      </c>
      <c r="U23" s="754">
        <f>H23</f>
        <v>100</v>
      </c>
      <c r="V23" s="753" t="s">
        <v>25</v>
      </c>
      <c r="W23" s="754">
        <f>J23</f>
        <v>100</v>
      </c>
      <c r="X23" s="1897"/>
      <c r="Y23" s="3008"/>
      <c r="Z23" s="1899" t="str">
        <f>Q23</f>
        <v>环境质量</v>
      </c>
      <c r="AA23" s="1900">
        <f t="shared" si="3"/>
        <v>1</v>
      </c>
      <c r="AB23" s="1900">
        <f t="shared" si="4"/>
        <v>1</v>
      </c>
      <c r="AC23" s="1900">
        <f t="shared" si="5"/>
        <v>1</v>
      </c>
    </row>
    <row r="24" spans="1:29" ht="15">
      <c r="A24" s="408"/>
      <c r="B24" s="617"/>
      <c r="C24" s="1471"/>
      <c r="D24" s="427"/>
      <c r="E24" s="2401"/>
      <c r="F24" s="427"/>
      <c r="G24" s="428"/>
      <c r="H24" s="427"/>
      <c r="I24" s="428"/>
      <c r="J24" s="427"/>
      <c r="K24" s="599"/>
      <c r="L24" s="1252"/>
      <c r="M24" s="1243"/>
      <c r="N24" s="1243"/>
      <c r="O24" s="1243"/>
      <c r="P24" s="3038"/>
      <c r="Q24" s="1896"/>
      <c r="R24" s="753"/>
      <c r="S24" s="754"/>
      <c r="T24" s="753"/>
      <c r="U24" s="754"/>
      <c r="V24" s="753"/>
      <c r="W24" s="754"/>
      <c r="X24" s="1897"/>
      <c r="Y24" s="3008"/>
      <c r="Z24" s="1899"/>
      <c r="AA24" s="1900">
        <v>1</v>
      </c>
      <c r="AB24" s="1900">
        <v>1</v>
      </c>
      <c r="AC24" s="1900">
        <v>1</v>
      </c>
    </row>
    <row r="25" spans="1:29" ht="27">
      <c r="A25" s="383"/>
      <c r="B25" s="615" t="s">
        <v>2477</v>
      </c>
      <c r="C25" s="2467"/>
      <c r="D25" s="415">
        <v>100</v>
      </c>
      <c r="E25" s="414"/>
      <c r="F25" s="415">
        <f>SUMIF(87:87,E26,88:88)-SUMIF(87:87,C26,88:88)+100</f>
        <v>100</v>
      </c>
      <c r="G25" s="2467"/>
      <c r="H25" s="415">
        <f>SUMIF(87:87,G26,88:88)-SUMIF(87:87,C26,88:88)+100</f>
        <v>100</v>
      </c>
      <c r="I25" s="414"/>
      <c r="J25" s="415">
        <f>SUMIF(87:87,I26,88:88)-SUMIF(87:87,C26,88:88)+100</f>
        <v>100</v>
      </c>
      <c r="K25" s="598"/>
      <c r="L25" s="1252"/>
      <c r="M25" s="1243"/>
      <c r="N25" s="1243"/>
      <c r="O25" s="1243"/>
      <c r="P25" s="3038"/>
      <c r="Q25" s="1896" t="str">
        <f>B25</f>
        <v>毗邻道路的类型与等级</v>
      </c>
      <c r="R25" s="753" t="s">
        <v>25</v>
      </c>
      <c r="S25" s="754">
        <f>F25</f>
        <v>100</v>
      </c>
      <c r="T25" s="753" t="s">
        <v>25</v>
      </c>
      <c r="U25" s="754">
        <f>H25</f>
        <v>100</v>
      </c>
      <c r="V25" s="753" t="s">
        <v>25</v>
      </c>
      <c r="W25" s="754">
        <f>J25</f>
        <v>100</v>
      </c>
      <c r="X25" s="1897"/>
      <c r="Y25" s="3008"/>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2"/>
      <c r="M26" s="1243"/>
      <c r="N26" s="1243"/>
      <c r="O26" s="1243"/>
      <c r="P26" s="3038"/>
      <c r="Q26" s="1896"/>
      <c r="R26" s="753"/>
      <c r="S26" s="754"/>
      <c r="T26" s="753"/>
      <c r="U26" s="754"/>
      <c r="V26" s="753"/>
      <c r="W26" s="754"/>
      <c r="X26" s="1897"/>
      <c r="Y26" s="3008"/>
      <c r="Z26" s="1899"/>
      <c r="AA26" s="1900">
        <v>1</v>
      </c>
      <c r="AB26" s="1900">
        <v>1</v>
      </c>
      <c r="AC26" s="1900">
        <v>1</v>
      </c>
    </row>
    <row r="27" spans="1:29" ht="15">
      <c r="A27" s="408"/>
      <c r="B27" s="616" t="s">
        <v>2450</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8"/>
      <c r="Q27" s="1896" t="str">
        <f t="shared" ref="Q27:Q47" si="11">B27</f>
        <v>楼层</v>
      </c>
      <c r="R27" s="753" t="s">
        <v>25</v>
      </c>
      <c r="S27" s="754">
        <f>F27</f>
        <v>100</v>
      </c>
      <c r="T27" s="753" t="s">
        <v>25</v>
      </c>
      <c r="U27" s="754">
        <f>H27</f>
        <v>100</v>
      </c>
      <c r="V27" s="753" t="s">
        <v>25</v>
      </c>
      <c r="W27" s="754">
        <f>J27</f>
        <v>100</v>
      </c>
      <c r="X27" s="1897"/>
      <c r="Y27" s="3008"/>
      <c r="Z27" s="1899" t="str">
        <f>Q27</f>
        <v>楼层</v>
      </c>
      <c r="AA27" s="1900">
        <f t="shared" si="3"/>
        <v>1</v>
      </c>
      <c r="AB27" s="1900">
        <f t="shared" si="4"/>
        <v>1</v>
      </c>
      <c r="AC27" s="1900">
        <f t="shared" si="5"/>
        <v>1</v>
      </c>
    </row>
    <row r="28" spans="1:29" s="35" customFormat="1" ht="15">
      <c r="A28" s="411"/>
      <c r="B28" s="615" t="s">
        <v>2478</v>
      </c>
      <c r="C28" s="2468"/>
      <c r="D28" s="443">
        <v>100</v>
      </c>
      <c r="E28" s="2455"/>
      <c r="F28" s="443">
        <f>SUMIF(91:91,E28,92:92)-SUMIF(91:91,C28,92:92)+100</f>
        <v>100</v>
      </c>
      <c r="G28" s="2468"/>
      <c r="H28" s="443">
        <f>SUMIF(91:91,G28,92:92)-SUMIF(91:91,C28,92:92)+100</f>
        <v>100</v>
      </c>
      <c r="I28" s="2455"/>
      <c r="J28" s="443">
        <f>SUMIF(91:91,I28,92:92)-SUMIF(91:91,C28,92:92)+100</f>
        <v>100</v>
      </c>
      <c r="K28" s="596"/>
      <c r="L28" s="1244"/>
      <c r="M28" s="1245"/>
      <c r="N28" s="1245"/>
      <c r="O28" s="1245"/>
      <c r="P28" s="3038"/>
      <c r="Q28" s="1884" t="str">
        <f t="shared" si="11"/>
        <v>朝向</v>
      </c>
      <c r="R28" s="749" t="s">
        <v>25</v>
      </c>
      <c r="S28" s="750">
        <f>F28</f>
        <v>100</v>
      </c>
      <c r="T28" s="749" t="s">
        <v>25</v>
      </c>
      <c r="U28" s="750">
        <f>H28</f>
        <v>100</v>
      </c>
      <c r="V28" s="749" t="s">
        <v>25</v>
      </c>
      <c r="W28" s="750">
        <f>J28</f>
        <v>100</v>
      </c>
      <c r="X28" s="751"/>
      <c r="Y28" s="3008"/>
      <c r="Z28" s="23" t="str">
        <f>Q28</f>
        <v>朝向</v>
      </c>
      <c r="AA28" s="1900">
        <f>D28/F28</f>
        <v>1</v>
      </c>
      <c r="AB28" s="1900">
        <f>D28/H28</f>
        <v>1</v>
      </c>
      <c r="AC28" s="1900">
        <f>D28/J28</f>
        <v>1</v>
      </c>
    </row>
    <row r="29" spans="1:29" ht="15">
      <c r="A29" s="408"/>
      <c r="B29" s="2469">
        <v>111</v>
      </c>
      <c r="C29" s="2467"/>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8"/>
      <c r="Q29" s="1896">
        <f t="shared" si="11"/>
        <v>111</v>
      </c>
      <c r="R29" s="753" t="s">
        <v>25</v>
      </c>
      <c r="S29" s="754">
        <f t="shared" ref="S29:S47" si="12">F29</f>
        <v>100</v>
      </c>
      <c r="T29" s="753" t="s">
        <v>25</v>
      </c>
      <c r="U29" s="754">
        <f t="shared" ref="U29:U47" si="13">H29</f>
        <v>100</v>
      </c>
      <c r="V29" s="753" t="s">
        <v>25</v>
      </c>
      <c r="W29" s="754">
        <f t="shared" ref="W29:W47" si="14">J29</f>
        <v>100</v>
      </c>
      <c r="X29" s="1897"/>
      <c r="Y29" s="3008"/>
      <c r="Z29" s="1899">
        <f t="shared" ref="Z29:Z47" si="15">Q29</f>
        <v>111</v>
      </c>
      <c r="AA29" s="1900">
        <f t="shared" si="3"/>
        <v>1</v>
      </c>
      <c r="AB29" s="1900">
        <f t="shared" si="4"/>
        <v>1</v>
      </c>
      <c r="AC29" s="1900">
        <f t="shared" si="5"/>
        <v>1</v>
      </c>
    </row>
    <row r="30" spans="1:29" ht="15">
      <c r="A30" s="408"/>
      <c r="B30" s="2469">
        <v>111</v>
      </c>
      <c r="C30" s="2467"/>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8"/>
      <c r="Q30" s="1896">
        <f t="shared" si="11"/>
        <v>111</v>
      </c>
      <c r="R30" s="753" t="s">
        <v>25</v>
      </c>
      <c r="S30" s="754">
        <f t="shared" si="12"/>
        <v>100</v>
      </c>
      <c r="T30" s="753" t="s">
        <v>25</v>
      </c>
      <c r="U30" s="754">
        <f t="shared" si="13"/>
        <v>100</v>
      </c>
      <c r="V30" s="753" t="s">
        <v>25</v>
      </c>
      <c r="W30" s="754">
        <f t="shared" si="14"/>
        <v>100</v>
      </c>
      <c r="X30" s="1897"/>
      <c r="Y30" s="3008"/>
      <c r="Z30" s="1899">
        <f t="shared" si="15"/>
        <v>111</v>
      </c>
      <c r="AA30" s="1900">
        <f t="shared" si="3"/>
        <v>1</v>
      </c>
      <c r="AB30" s="1900">
        <f t="shared" si="4"/>
        <v>1</v>
      </c>
      <c r="AC30" s="1900">
        <f t="shared" si="5"/>
        <v>1</v>
      </c>
    </row>
    <row r="31" spans="1:29" ht="15">
      <c r="A31" s="408"/>
      <c r="B31" s="2469">
        <v>111</v>
      </c>
      <c r="C31" s="2467"/>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8"/>
      <c r="Q31" s="1896">
        <f t="shared" si="11"/>
        <v>111</v>
      </c>
      <c r="R31" s="753" t="s">
        <v>25</v>
      </c>
      <c r="S31" s="754">
        <f t="shared" si="12"/>
        <v>100</v>
      </c>
      <c r="T31" s="753" t="s">
        <v>25</v>
      </c>
      <c r="U31" s="754">
        <f t="shared" si="13"/>
        <v>100</v>
      </c>
      <c r="V31" s="753" t="s">
        <v>25</v>
      </c>
      <c r="W31" s="754">
        <f t="shared" si="14"/>
        <v>100</v>
      </c>
      <c r="X31" s="1897"/>
      <c r="Y31" s="3008"/>
      <c r="Z31" s="1899">
        <f t="shared" si="15"/>
        <v>111</v>
      </c>
      <c r="AA31" s="1900">
        <f t="shared" si="3"/>
        <v>1</v>
      </c>
      <c r="AB31" s="1900">
        <f t="shared" si="4"/>
        <v>1</v>
      </c>
      <c r="AC31" s="1900">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8"/>
      <c r="Q32" s="1896">
        <f t="shared" si="11"/>
        <v>111</v>
      </c>
      <c r="R32" s="753" t="s">
        <v>25</v>
      </c>
      <c r="S32" s="754">
        <f t="shared" si="12"/>
        <v>100</v>
      </c>
      <c r="T32" s="753" t="s">
        <v>25</v>
      </c>
      <c r="U32" s="754">
        <f t="shared" si="13"/>
        <v>100</v>
      </c>
      <c r="V32" s="753" t="s">
        <v>25</v>
      </c>
      <c r="W32" s="754">
        <f t="shared" si="14"/>
        <v>100</v>
      </c>
      <c r="X32" s="1897"/>
      <c r="Y32" s="3008"/>
      <c r="Z32" s="1899">
        <f t="shared" si="15"/>
        <v>111</v>
      </c>
      <c r="AA32" s="1900">
        <f t="shared" si="3"/>
        <v>1</v>
      </c>
      <c r="AB32" s="1900">
        <f t="shared" si="4"/>
        <v>1</v>
      </c>
      <c r="AC32" s="1900">
        <f t="shared" si="5"/>
        <v>1</v>
      </c>
    </row>
    <row r="33" spans="1:29" ht="15">
      <c r="A33" s="419" t="s">
        <v>2363</v>
      </c>
      <c r="B33" s="28" t="s">
        <v>2479</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2"/>
      <c r="M33" s="1243"/>
      <c r="N33" s="1243"/>
      <c r="O33" s="1243"/>
      <c r="P33" s="3047" t="s">
        <v>2365</v>
      </c>
      <c r="Q33" s="1896" t="str">
        <f t="shared" si="11"/>
        <v>建筑类型</v>
      </c>
      <c r="R33" s="753" t="s">
        <v>25</v>
      </c>
      <c r="S33" s="754">
        <f t="shared" si="12"/>
        <v>100</v>
      </c>
      <c r="T33" s="753" t="s">
        <v>25</v>
      </c>
      <c r="U33" s="754">
        <f t="shared" si="13"/>
        <v>100</v>
      </c>
      <c r="V33" s="753" t="s">
        <v>25</v>
      </c>
      <c r="W33" s="754">
        <f t="shared" si="14"/>
        <v>100</v>
      </c>
      <c r="X33" s="1897"/>
      <c r="Y33" s="3012" t="s">
        <v>2365</v>
      </c>
      <c r="Z33" s="1899" t="str">
        <f t="shared" si="15"/>
        <v>建筑类型</v>
      </c>
      <c r="AA33" s="1900">
        <f t="shared" si="3"/>
        <v>1</v>
      </c>
      <c r="AB33" s="1900">
        <f t="shared" si="4"/>
        <v>1</v>
      </c>
      <c r="AC33" s="1900">
        <f t="shared" si="5"/>
        <v>1</v>
      </c>
    </row>
    <row r="34" spans="1:29" s="452" customFormat="1" ht="15">
      <c r="A34" s="449"/>
      <c r="B34" s="402" t="s">
        <v>2366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48"/>
      <c r="Q34" s="755" t="str">
        <f t="shared" si="11"/>
        <v>项目建筑规模</v>
      </c>
      <c r="R34" s="756" t="s">
        <v>25</v>
      </c>
      <c r="S34" s="757" t="e">
        <f t="shared" si="12"/>
        <v>#N/A</v>
      </c>
      <c r="T34" s="756" t="s">
        <v>25</v>
      </c>
      <c r="U34" s="757" t="e">
        <f t="shared" si="13"/>
        <v>#N/A</v>
      </c>
      <c r="V34" s="756" t="s">
        <v>25</v>
      </c>
      <c r="W34" s="757" t="e">
        <f t="shared" si="14"/>
        <v>#N/A</v>
      </c>
      <c r="X34" s="758"/>
      <c r="Y34" s="3012"/>
      <c r="Z34" s="759" t="str">
        <f t="shared" si="15"/>
        <v>项目建筑规模</v>
      </c>
      <c r="AA34" s="1900" t="e">
        <f t="shared" si="3"/>
        <v>#N/A</v>
      </c>
      <c r="AB34" s="1900" t="e">
        <f t="shared" si="4"/>
        <v>#N/A</v>
      </c>
      <c r="AC34" s="1900" t="e">
        <f t="shared" si="5"/>
        <v>#N/A</v>
      </c>
    </row>
    <row r="35" spans="1:29" ht="15">
      <c r="A35" s="453"/>
      <c r="B35" s="402" t="s">
        <v>2367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48"/>
      <c r="Q35" s="1896" t="str">
        <f t="shared" si="11"/>
        <v>建筑结构</v>
      </c>
      <c r="R35" s="753" t="s">
        <v>25</v>
      </c>
      <c r="S35" s="754">
        <f t="shared" si="12"/>
        <v>100</v>
      </c>
      <c r="T35" s="753" t="s">
        <v>25</v>
      </c>
      <c r="U35" s="754">
        <f t="shared" si="13"/>
        <v>100</v>
      </c>
      <c r="V35" s="753" t="s">
        <v>25</v>
      </c>
      <c r="W35" s="754">
        <f t="shared" si="14"/>
        <v>100</v>
      </c>
      <c r="X35" s="1897"/>
      <c r="Y35" s="3012"/>
      <c r="Z35" s="1899" t="str">
        <f t="shared" si="15"/>
        <v>建筑结构</v>
      </c>
      <c r="AA35" s="1900">
        <f t="shared" si="3"/>
        <v>1</v>
      </c>
      <c r="AB35" s="1900">
        <f t="shared" si="4"/>
        <v>1</v>
      </c>
      <c r="AC35" s="1900">
        <f t="shared" si="5"/>
        <v>1</v>
      </c>
    </row>
    <row r="36" spans="1:29" ht="15">
      <c r="A36" s="453"/>
      <c r="B36" s="402" t="s">
        <v>2452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48"/>
      <c r="Q36" s="1896" t="str">
        <f t="shared" si="11"/>
        <v>公共部分装修</v>
      </c>
      <c r="R36" s="753" t="s">
        <v>25</v>
      </c>
      <c r="S36" s="754">
        <f t="shared" si="12"/>
        <v>100</v>
      </c>
      <c r="T36" s="753" t="s">
        <v>25</v>
      </c>
      <c r="U36" s="754">
        <f t="shared" si="13"/>
        <v>100</v>
      </c>
      <c r="V36" s="753" t="s">
        <v>25</v>
      </c>
      <c r="W36" s="754">
        <f t="shared" si="14"/>
        <v>100</v>
      </c>
      <c r="X36" s="1897"/>
      <c r="Y36" s="3012"/>
      <c r="Z36" s="1899" t="str">
        <f t="shared" si="15"/>
        <v>公共部分装修</v>
      </c>
      <c r="AA36" s="1900">
        <f t="shared" si="3"/>
        <v>1</v>
      </c>
      <c r="AB36" s="1900">
        <f t="shared" si="4"/>
        <v>1</v>
      </c>
      <c r="AC36" s="1900">
        <f t="shared" si="5"/>
        <v>1</v>
      </c>
    </row>
    <row r="37" spans="1:29" ht="15">
      <c r="A37" s="453"/>
      <c r="B37" s="402" t="s">
        <v>2453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48"/>
      <c r="Q37" s="1896" t="str">
        <f t="shared" si="11"/>
        <v>成新度</v>
      </c>
      <c r="R37" s="753" t="s">
        <v>25</v>
      </c>
      <c r="S37" s="754" t="e">
        <f t="shared" si="12"/>
        <v>#N/A</v>
      </c>
      <c r="T37" s="753" t="s">
        <v>25</v>
      </c>
      <c r="U37" s="754" t="e">
        <f t="shared" si="13"/>
        <v>#N/A</v>
      </c>
      <c r="V37" s="753" t="s">
        <v>25</v>
      </c>
      <c r="W37" s="754" t="e">
        <f t="shared" si="14"/>
        <v>#N/A</v>
      </c>
      <c r="X37" s="1897"/>
      <c r="Y37" s="3012"/>
      <c r="Z37" s="1899" t="str">
        <f t="shared" si="15"/>
        <v>成新度</v>
      </c>
      <c r="AA37" s="1900" t="e">
        <f t="shared" si="3"/>
        <v>#N/A</v>
      </c>
      <c r="AB37" s="1900" t="e">
        <f t="shared" si="4"/>
        <v>#N/A</v>
      </c>
      <c r="AC37" s="1900" t="e">
        <f t="shared" si="5"/>
        <v>#N/A</v>
      </c>
    </row>
    <row r="38" spans="1:29" s="35" customFormat="1" ht="15">
      <c r="A38" s="454"/>
      <c r="B38" s="402" t="s">
        <v>2480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48"/>
      <c r="Q38" s="1884" t="str">
        <f t="shared" si="11"/>
        <v>写字楼等级</v>
      </c>
      <c r="R38" s="749" t="s">
        <v>25</v>
      </c>
      <c r="S38" s="750">
        <f t="shared" si="12"/>
        <v>100</v>
      </c>
      <c r="T38" s="749" t="s">
        <v>25</v>
      </c>
      <c r="U38" s="750">
        <f t="shared" si="13"/>
        <v>100</v>
      </c>
      <c r="V38" s="749" t="s">
        <v>25</v>
      </c>
      <c r="W38" s="750">
        <f t="shared" si="14"/>
        <v>100</v>
      </c>
      <c r="X38" s="751"/>
      <c r="Y38" s="3012"/>
      <c r="Z38" s="23" t="str">
        <f t="shared" si="15"/>
        <v>写字楼等级</v>
      </c>
      <c r="AA38" s="752">
        <f t="shared" si="3"/>
        <v>1</v>
      </c>
      <c r="AB38" s="752">
        <f t="shared" si="4"/>
        <v>1</v>
      </c>
      <c r="AC38" s="752">
        <f t="shared" si="5"/>
        <v>1</v>
      </c>
    </row>
    <row r="39" spans="1:29" ht="15">
      <c r="A39" s="453"/>
      <c r="B39" s="402" t="s">
        <v>2481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48" t="s">
        <v>2365</v>
      </c>
      <c r="Q39" s="1896" t="str">
        <f t="shared" si="11"/>
        <v>物业管理</v>
      </c>
      <c r="R39" s="753" t="s">
        <v>25</v>
      </c>
      <c r="S39" s="754">
        <f t="shared" si="12"/>
        <v>100</v>
      </c>
      <c r="T39" s="753" t="s">
        <v>25</v>
      </c>
      <c r="U39" s="754">
        <f t="shared" si="13"/>
        <v>100</v>
      </c>
      <c r="V39" s="753" t="s">
        <v>25</v>
      </c>
      <c r="W39" s="754">
        <f t="shared" si="14"/>
        <v>100</v>
      </c>
      <c r="X39" s="1897"/>
      <c r="Y39" s="3012" t="s">
        <v>2365</v>
      </c>
      <c r="Z39" s="1899" t="str">
        <f t="shared" si="15"/>
        <v>物业管理</v>
      </c>
      <c r="AA39" s="1900">
        <f t="shared" si="3"/>
        <v>1</v>
      </c>
      <c r="AB39" s="1900">
        <f t="shared" si="4"/>
        <v>1</v>
      </c>
      <c r="AC39" s="1900">
        <f t="shared" si="5"/>
        <v>1</v>
      </c>
    </row>
    <row r="40" spans="1:29" ht="15">
      <c r="A40" s="453"/>
      <c r="B40" s="402" t="s">
        <v>2454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48"/>
      <c r="Q40" s="1896" t="str">
        <f t="shared" si="11"/>
        <v>市政基础设施</v>
      </c>
      <c r="R40" s="753" t="s">
        <v>25</v>
      </c>
      <c r="S40" s="754">
        <f t="shared" si="12"/>
        <v>100</v>
      </c>
      <c r="T40" s="753" t="s">
        <v>25</v>
      </c>
      <c r="U40" s="754">
        <f t="shared" si="13"/>
        <v>100</v>
      </c>
      <c r="V40" s="753" t="s">
        <v>25</v>
      </c>
      <c r="W40" s="754">
        <f t="shared" si="14"/>
        <v>100</v>
      </c>
      <c r="X40" s="1897"/>
      <c r="Y40" s="3012"/>
      <c r="Z40" s="1899" t="str">
        <f t="shared" si="15"/>
        <v>市政基础设施</v>
      </c>
      <c r="AA40" s="1900">
        <f t="shared" si="3"/>
        <v>1</v>
      </c>
      <c r="AB40" s="1900">
        <f t="shared" si="4"/>
        <v>1</v>
      </c>
      <c r="AC40" s="1900">
        <f t="shared" si="5"/>
        <v>1</v>
      </c>
    </row>
    <row r="41" spans="1:29" ht="15">
      <c r="A41" s="453"/>
      <c r="B41" s="402" t="s">
        <v>2456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48"/>
      <c r="Q41" s="1896" t="str">
        <f t="shared" si="11"/>
        <v>层高</v>
      </c>
      <c r="R41" s="753" t="s">
        <v>25</v>
      </c>
      <c r="S41" s="754">
        <f t="shared" si="12"/>
        <v>100</v>
      </c>
      <c r="T41" s="753" t="s">
        <v>25</v>
      </c>
      <c r="U41" s="754">
        <f t="shared" si="13"/>
        <v>100</v>
      </c>
      <c r="V41" s="753" t="s">
        <v>25</v>
      </c>
      <c r="W41" s="754">
        <f t="shared" si="14"/>
        <v>100</v>
      </c>
      <c r="X41" s="1897"/>
      <c r="Y41" s="3012"/>
      <c r="Z41" s="1899" t="str">
        <f t="shared" si="15"/>
        <v>层高</v>
      </c>
      <c r="AA41" s="1900">
        <f t="shared" si="3"/>
        <v>1</v>
      </c>
      <c r="AB41" s="1900">
        <f t="shared" si="4"/>
        <v>1</v>
      </c>
      <c r="AC41" s="1900">
        <f t="shared" si="5"/>
        <v>1</v>
      </c>
    </row>
    <row r="42" spans="1:29" s="452" customFormat="1" ht="15">
      <c r="A42" s="449"/>
      <c r="B42" s="1901" t="s">
        <v>2482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48"/>
      <c r="Q42" s="755" t="str">
        <f t="shared" si="11"/>
        <v>单套建筑面积</v>
      </c>
      <c r="R42" s="756" t="s">
        <v>25</v>
      </c>
      <c r="S42" s="757">
        <f t="shared" si="12"/>
        <v>100</v>
      </c>
      <c r="T42" s="756" t="s">
        <v>25</v>
      </c>
      <c r="U42" s="757">
        <f t="shared" si="13"/>
        <v>100</v>
      </c>
      <c r="V42" s="756" t="s">
        <v>25</v>
      </c>
      <c r="W42" s="757">
        <f t="shared" si="14"/>
        <v>100</v>
      </c>
      <c r="X42" s="758"/>
      <c r="Y42" s="3012"/>
      <c r="Z42" s="759" t="str">
        <f t="shared" si="15"/>
        <v>单套建筑面积</v>
      </c>
      <c r="AA42" s="1900">
        <f t="shared" si="3"/>
        <v>1</v>
      </c>
      <c r="AB42" s="1900">
        <f t="shared" si="4"/>
        <v>1</v>
      </c>
      <c r="AC42" s="1900">
        <f t="shared" si="5"/>
        <v>1</v>
      </c>
    </row>
    <row r="43" spans="1:29" ht="15">
      <c r="A43" s="453"/>
      <c r="B43" s="402" t="s">
        <v>2459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48"/>
      <c r="Q43" s="1896" t="str">
        <f t="shared" si="11"/>
        <v>内部装修</v>
      </c>
      <c r="R43" s="753" t="s">
        <v>25</v>
      </c>
      <c r="S43" s="754">
        <f t="shared" si="12"/>
        <v>100</v>
      </c>
      <c r="T43" s="753" t="s">
        <v>25</v>
      </c>
      <c r="U43" s="754">
        <f t="shared" si="13"/>
        <v>100</v>
      </c>
      <c r="V43" s="753" t="s">
        <v>25</v>
      </c>
      <c r="W43" s="754">
        <f t="shared" si="14"/>
        <v>100</v>
      </c>
      <c r="X43" s="1897"/>
      <c r="Y43" s="3012"/>
      <c r="Z43" s="1899" t="str">
        <f t="shared" si="15"/>
        <v>内部装修</v>
      </c>
      <c r="AA43" s="1900">
        <f t="shared" si="3"/>
        <v>1</v>
      </c>
      <c r="AB43" s="1900">
        <f t="shared" si="4"/>
        <v>1</v>
      </c>
      <c r="AC43" s="1900">
        <f t="shared" si="5"/>
        <v>1</v>
      </c>
    </row>
    <row r="44" spans="1:29" ht="15">
      <c r="A44" s="453"/>
      <c r="B44" s="402" t="s">
        <v>2376</v>
      </c>
      <c r="C44" s="441"/>
      <c r="D44" s="415">
        <v>100</v>
      </c>
      <c r="E44" s="2408"/>
      <c r="F44" s="442">
        <f>SUMIF(125:125,E44,126:126)-SUMIF(125:125,C44,126:126)+100</f>
        <v>100</v>
      </c>
      <c r="G44" s="2408"/>
      <c r="H44" s="415">
        <f>SUMIF(125:125,G44,126:126)-SUMIF(125:125,C44,126:126)+100</f>
        <v>100</v>
      </c>
      <c r="I44" s="2408"/>
      <c r="J44" s="415">
        <f>SUMIF(125:125,I44,126:126)-SUMIF(125:125,C44,126:126)+100</f>
        <v>100</v>
      </c>
      <c r="K44" s="596"/>
      <c r="L44" s="1252"/>
      <c r="M44" s="1243"/>
      <c r="N44" s="1243"/>
      <c r="O44" s="1243"/>
      <c r="P44" s="3048"/>
      <c r="Q44" s="1896" t="str">
        <f t="shared" si="11"/>
        <v>内部装修维护情况</v>
      </c>
      <c r="R44" s="753" t="s">
        <v>25</v>
      </c>
      <c r="S44" s="754">
        <f t="shared" si="12"/>
        <v>100</v>
      </c>
      <c r="T44" s="753" t="s">
        <v>25</v>
      </c>
      <c r="U44" s="754">
        <f t="shared" si="13"/>
        <v>100</v>
      </c>
      <c r="V44" s="753" t="s">
        <v>25</v>
      </c>
      <c r="W44" s="754">
        <f t="shared" si="14"/>
        <v>100</v>
      </c>
      <c r="X44" s="1897"/>
      <c r="Y44" s="3012"/>
      <c r="Z44" s="1899" t="str">
        <f t="shared" si="15"/>
        <v>内部装修维护情况</v>
      </c>
      <c r="AA44" s="1900">
        <f t="shared" si="3"/>
        <v>1</v>
      </c>
      <c r="AB44" s="1900">
        <f t="shared" si="4"/>
        <v>1</v>
      </c>
      <c r="AC44" s="1900">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48"/>
      <c r="Q45" s="1884">
        <f t="shared" si="11"/>
        <v>111</v>
      </c>
      <c r="R45" s="749" t="s">
        <v>25</v>
      </c>
      <c r="S45" s="750">
        <f t="shared" si="12"/>
        <v>100</v>
      </c>
      <c r="T45" s="749" t="s">
        <v>25</v>
      </c>
      <c r="U45" s="750">
        <f t="shared" si="13"/>
        <v>100</v>
      </c>
      <c r="V45" s="749" t="s">
        <v>25</v>
      </c>
      <c r="W45" s="750">
        <f t="shared" si="14"/>
        <v>100</v>
      </c>
      <c r="X45" s="751"/>
      <c r="Y45" s="3012"/>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48"/>
      <c r="Q46" s="1896">
        <f t="shared" si="11"/>
        <v>111</v>
      </c>
      <c r="R46" s="753" t="s">
        <v>25</v>
      </c>
      <c r="S46" s="754">
        <f t="shared" si="12"/>
        <v>100</v>
      </c>
      <c r="T46" s="753" t="s">
        <v>25</v>
      </c>
      <c r="U46" s="754">
        <f t="shared" si="13"/>
        <v>100</v>
      </c>
      <c r="V46" s="753" t="s">
        <v>25</v>
      </c>
      <c r="W46" s="754">
        <f t="shared" si="14"/>
        <v>100</v>
      </c>
      <c r="X46" s="1897"/>
      <c r="Y46" s="3012"/>
      <c r="Z46" s="1899">
        <f t="shared" si="15"/>
        <v>111</v>
      </c>
      <c r="AA46" s="1900">
        <f t="shared" si="3"/>
        <v>1</v>
      </c>
      <c r="AB46" s="1900">
        <f t="shared" si="4"/>
        <v>1</v>
      </c>
      <c r="AC46" s="1900">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49"/>
      <c r="Q47" s="1896">
        <f t="shared" si="11"/>
        <v>111</v>
      </c>
      <c r="R47" s="753" t="s">
        <v>25</v>
      </c>
      <c r="S47" s="754">
        <f t="shared" si="12"/>
        <v>100</v>
      </c>
      <c r="T47" s="753" t="s">
        <v>25</v>
      </c>
      <c r="U47" s="754">
        <f t="shared" si="13"/>
        <v>100</v>
      </c>
      <c r="V47" s="753" t="s">
        <v>25</v>
      </c>
      <c r="W47" s="754">
        <f t="shared" si="14"/>
        <v>100</v>
      </c>
      <c r="X47" s="1897"/>
      <c r="Y47" s="3013"/>
      <c r="Z47" s="1899">
        <f t="shared" si="15"/>
        <v>111</v>
      </c>
      <c r="AA47" s="1900">
        <f t="shared" si="3"/>
        <v>1</v>
      </c>
      <c r="AB47" s="1900">
        <f t="shared" si="4"/>
        <v>1</v>
      </c>
      <c r="AC47" s="1900">
        <f t="shared" si="5"/>
        <v>1</v>
      </c>
    </row>
    <row r="48" spans="1:29" ht="15">
      <c r="A48" s="460" t="s">
        <v>2377</v>
      </c>
      <c r="B48" s="461"/>
      <c r="C48" s="1501" t="s">
        <v>1</v>
      </c>
      <c r="D48" s="1502"/>
      <c r="E48" s="1503"/>
      <c r="F48" s="1504"/>
      <c r="G48" s="1505"/>
      <c r="H48" s="1506"/>
      <c r="I48" s="1503"/>
      <c r="J48" s="1506"/>
      <c r="K48" s="762"/>
      <c r="L48" s="1255"/>
      <c r="M48" s="1243"/>
      <c r="N48" s="1243"/>
      <c r="O48" s="1243"/>
      <c r="P48" s="3002" t="str">
        <f>A48</f>
        <v>成交单价（元/平方米）</v>
      </c>
      <c r="Q48" s="3004"/>
      <c r="R48" s="3000">
        <f>E48</f>
        <v>0</v>
      </c>
      <c r="S48" s="3000"/>
      <c r="T48" s="3000">
        <f>G48</f>
        <v>0</v>
      </c>
      <c r="U48" s="3000"/>
      <c r="V48" s="3000">
        <f>I48</f>
        <v>0</v>
      </c>
      <c r="W48" s="3000"/>
      <c r="X48" s="738"/>
      <c r="Y48" s="760"/>
      <c r="Z48" s="738"/>
      <c r="AA48" s="738"/>
      <c r="AB48" s="738"/>
      <c r="AC48" s="738"/>
    </row>
    <row r="49" spans="1:29" ht="15.75" thickBot="1">
      <c r="A49" s="467" t="s">
        <v>2460</v>
      </c>
      <c r="B49" s="468"/>
      <c r="C49" s="1507" t="e">
        <f>R50</f>
        <v>#DIV/0!</v>
      </c>
      <c r="D49" s="1508"/>
      <c r="E49" s="1509" t="e">
        <f>R49</f>
        <v>#DIV/0!</v>
      </c>
      <c r="F49" s="1509"/>
      <c r="G49" s="1507" t="e">
        <f>T49</f>
        <v>#DIV/0!</v>
      </c>
      <c r="H49" s="1508"/>
      <c r="I49" s="1509" t="e">
        <f>V49</f>
        <v>#DIV/0!</v>
      </c>
      <c r="J49" s="1508"/>
      <c r="K49" s="763"/>
      <c r="L49" s="1255"/>
      <c r="M49" s="1243"/>
      <c r="N49" s="1243"/>
      <c r="O49" s="1243"/>
      <c r="P49" s="3002" t="str">
        <f>A49</f>
        <v>比较价值（元/平方米）</v>
      </c>
      <c r="Q49" s="3004"/>
      <c r="R49" s="3000" t="e">
        <f>IF(E1="售价",ROUND(PRODUCT(R48,AA7:AA47),0),ROUND(PRODUCT(R48,AA7:AA47),1))</f>
        <v>#DIV/0!</v>
      </c>
      <c r="S49" s="3000"/>
      <c r="T49" s="3000" t="e">
        <f>IF(E1="售价",ROUND(PRODUCT(T48,AB7:AB47),0),ROUND(PRODUCT(T48,AB7:AB47),1))</f>
        <v>#DIV/0!</v>
      </c>
      <c r="U49" s="3000"/>
      <c r="V49" s="3000" t="e">
        <f>IF(E1="售价",ROUND(PRODUCT(V48,AC7:AC47),0),ROUND(PRODUCT(V48,AC7:AC47),1))</f>
        <v>#DIV/0!</v>
      </c>
      <c r="W49" s="3000"/>
      <c r="X49" s="738"/>
      <c r="Y49" s="738"/>
      <c r="Z49" s="738"/>
      <c r="AA49" s="738"/>
      <c r="AB49" s="738"/>
      <c r="AC49" s="738"/>
    </row>
    <row r="50" spans="1:29" ht="15.75" thickBot="1">
      <c r="A50" s="473" t="s">
        <v>2483</v>
      </c>
      <c r="B50" s="474"/>
      <c r="C50" s="1511" t="e">
        <f>R50</f>
        <v>#DIV/0!</v>
      </c>
      <c r="D50" s="1511"/>
      <c r="E50" s="1511"/>
      <c r="F50" s="1511"/>
      <c r="G50" s="1511"/>
      <c r="H50" s="1511"/>
      <c r="I50" s="1511"/>
      <c r="J50" s="1511"/>
      <c r="K50" s="764"/>
      <c r="L50" s="1255"/>
      <c r="M50" s="1243"/>
      <c r="N50" s="1243"/>
      <c r="O50" s="1243"/>
      <c r="P50" s="3046" t="str">
        <f>A50</f>
        <v>估价对象XX用房的比较价值（楼面单价，元/平方米）</v>
      </c>
      <c r="Q50" s="3002"/>
      <c r="R50" s="3003" t="e">
        <f>IF(E1="售价",ROUND(AVERAGE(R49:V49),0),ROUND(AVERAGE(R49:V49),1))</f>
        <v>#DIV/0!</v>
      </c>
      <c r="S50" s="3003"/>
      <c r="T50" s="3003"/>
      <c r="U50" s="3003"/>
      <c r="V50" s="3003"/>
      <c r="W50" s="3003"/>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7" t="str">
        <f>YEAR(C7)&amp;"-"&amp;MONTH(C7)</f>
        <v>2018-12</v>
      </c>
      <c r="D59" s="1678">
        <f>EDATE(C59,-1)</f>
        <v>43405</v>
      </c>
      <c r="E59" s="1678">
        <f t="shared" ref="E59:O59" si="16">EDATE(D59,-1)</f>
        <v>43374</v>
      </c>
      <c r="F59" s="1678">
        <f t="shared" si="16"/>
        <v>43344</v>
      </c>
      <c r="G59" s="1678">
        <f t="shared" si="16"/>
        <v>43313</v>
      </c>
      <c r="H59" s="1678">
        <f t="shared" si="16"/>
        <v>43282</v>
      </c>
      <c r="I59" s="1678">
        <f t="shared" si="16"/>
        <v>43252</v>
      </c>
      <c r="J59" s="1678">
        <f t="shared" si="16"/>
        <v>43221</v>
      </c>
      <c r="K59" s="1678">
        <f t="shared" si="16"/>
        <v>43191</v>
      </c>
      <c r="L59" s="1678">
        <f t="shared" si="16"/>
        <v>43160</v>
      </c>
      <c r="M59" s="1678">
        <f t="shared" si="16"/>
        <v>43132</v>
      </c>
      <c r="N59" s="1678">
        <f t="shared" si="16"/>
        <v>43101</v>
      </c>
      <c r="O59" s="1678">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2388</v>
      </c>
      <c r="B64" s="509" t="s">
        <v>2353</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2486</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8"/>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9"/>
      <c r="B100" s="553"/>
      <c r="C100" s="554"/>
      <c r="D100" s="554"/>
      <c r="E100" s="554"/>
      <c r="F100" s="554"/>
      <c r="G100" s="575"/>
      <c r="H100" s="575"/>
      <c r="I100" s="575"/>
      <c r="J100" s="575"/>
      <c r="K100" s="575"/>
      <c r="L100" s="575"/>
      <c r="M100" s="576"/>
      <c r="N100" s="1267"/>
      <c r="O100" s="1267"/>
      <c r="P100" s="22"/>
      <c r="Q100" s="485"/>
    </row>
    <row r="101" spans="1:17">
      <c r="A101" s="508" t="s">
        <v>2363</v>
      </c>
      <c r="B101" s="509" t="s">
        <v>2412</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2414</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2416</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2487</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2418</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2419</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2488</v>
      </c>
      <c r="C119" s="567"/>
      <c r="D119" s="567"/>
      <c r="E119" s="567"/>
      <c r="F119" s="567"/>
      <c r="G119" s="567"/>
      <c r="H119" s="567"/>
      <c r="I119" s="567"/>
      <c r="J119" s="567"/>
      <c r="K119" s="567"/>
      <c r="L119" s="2471"/>
      <c r="M119" s="2472"/>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2470</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2421</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3"/>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2489</v>
      </c>
      <c r="C1" s="1725"/>
      <c r="D1" s="1738"/>
      <c r="E1" s="2379"/>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IF(D2="——",IF(C2="元",ROUND(C43*D3,0),ROUND(C43*D3/10000,0)),IF(C2="元",ROUND(C43*D3,0),ROUND(C43*D3/10000,0))-E2)</f>
        <v>#DIV/0!</v>
      </c>
      <c r="C2" s="163" t="str">
        <f>'数据-取费表'!B3</f>
        <v>元</v>
      </c>
      <c r="D2" s="2381"/>
      <c r="E2" s="2474" t="e">
        <f ca="1">SUMIF(INDIRECT("'"&amp;G2&amp;"'"&amp;"!A:A"),"承租人权益价值",INDIRECT("'"&amp;G2&amp;"'"&amp;"!c:c"))</f>
        <v>#REF!</v>
      </c>
      <c r="F2" s="2382" t="str">
        <f>C2</f>
        <v>元</v>
      </c>
      <c r="G2" s="2383"/>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11.66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18" t="s">
        <v>2351</v>
      </c>
      <c r="Q8" s="3019"/>
      <c r="R8" s="749" t="s">
        <v>25</v>
      </c>
      <c r="S8" s="750">
        <f t="shared" si="0"/>
        <v>100</v>
      </c>
      <c r="T8" s="749" t="s">
        <v>25</v>
      </c>
      <c r="U8" s="750">
        <f t="shared" si="1"/>
        <v>100</v>
      </c>
      <c r="V8" s="749" t="s">
        <v>25</v>
      </c>
      <c r="W8" s="750">
        <f t="shared" si="2"/>
        <v>100</v>
      </c>
      <c r="X8" s="751"/>
      <c r="Y8" s="3018" t="s">
        <v>2351</v>
      </c>
      <c r="Z8" s="3019"/>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57">
      <c r="A15" s="419" t="s">
        <v>2358</v>
      </c>
      <c r="B15" s="26" t="s">
        <v>2490</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07" t="s">
        <v>2359</v>
      </c>
      <c r="Q15" s="1896" t="str">
        <f t="shared" si="6"/>
        <v>产业集聚程度</v>
      </c>
      <c r="R15" s="753" t="s">
        <v>25</v>
      </c>
      <c r="S15" s="754">
        <f t="shared" si="0"/>
        <v>100</v>
      </c>
      <c r="T15" s="753" t="s">
        <v>25</v>
      </c>
      <c r="U15" s="754">
        <f t="shared" si="1"/>
        <v>100</v>
      </c>
      <c r="V15" s="753" t="s">
        <v>25</v>
      </c>
      <c r="W15" s="754">
        <f t="shared" si="2"/>
        <v>100</v>
      </c>
      <c r="X15" s="1897"/>
      <c r="Y15" s="3007" t="s">
        <v>2359</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51"/>
      <c r="P16" s="3008"/>
      <c r="Q16" s="1896"/>
      <c r="R16" s="753"/>
      <c r="S16" s="754"/>
      <c r="T16" s="753"/>
      <c r="U16" s="754"/>
      <c r="V16" s="753"/>
      <c r="W16" s="754"/>
      <c r="X16" s="1897"/>
      <c r="Y16" s="3008"/>
      <c r="Z16" s="1899"/>
      <c r="AA16" s="1900">
        <v>1</v>
      </c>
      <c r="AB16" s="1900">
        <v>1</v>
      </c>
      <c r="AC16" s="1900">
        <v>1</v>
      </c>
    </row>
    <row r="17" spans="1:29" ht="85.5">
      <c r="A17" s="408"/>
      <c r="B17" s="431" t="s">
        <v>1745</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599"/>
      <c r="L18" s="1252"/>
      <c r="M18" s="1243"/>
      <c r="N18" s="1243"/>
      <c r="O18" s="1251"/>
      <c r="P18" s="3008"/>
      <c r="Q18" s="1896"/>
      <c r="R18" s="753"/>
      <c r="S18" s="754"/>
      <c r="T18" s="753"/>
      <c r="U18" s="754"/>
      <c r="V18" s="753"/>
      <c r="W18" s="754"/>
      <c r="X18" s="1897"/>
      <c r="Y18" s="3008"/>
      <c r="Z18" s="1899"/>
      <c r="AA18" s="1900">
        <v>1</v>
      </c>
      <c r="AB18" s="1900">
        <v>1</v>
      </c>
      <c r="AC18" s="1900">
        <v>1</v>
      </c>
    </row>
    <row r="19" spans="1:29" ht="42.75">
      <c r="A19" s="408"/>
      <c r="B19" s="615" t="s">
        <v>2474</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8"/>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616"/>
      <c r="C20" s="426"/>
      <c r="D20" s="427"/>
      <c r="E20" s="428"/>
      <c r="F20" s="429"/>
      <c r="G20" s="2401"/>
      <c r="H20" s="427"/>
      <c r="I20" s="428"/>
      <c r="J20" s="427"/>
      <c r="K20" s="599"/>
      <c r="L20" s="1252"/>
      <c r="M20" s="1243"/>
      <c r="N20" s="1243"/>
      <c r="O20" s="1251"/>
      <c r="P20" s="3008"/>
      <c r="Q20" s="1896"/>
      <c r="R20" s="753"/>
      <c r="S20" s="754"/>
      <c r="T20" s="753"/>
      <c r="U20" s="754"/>
      <c r="V20" s="753"/>
      <c r="W20" s="754"/>
      <c r="X20" s="1897"/>
      <c r="Y20" s="3008"/>
      <c r="Z20" s="1899"/>
      <c r="AA20" s="1900">
        <v>1</v>
      </c>
      <c r="AB20" s="1900">
        <v>1</v>
      </c>
      <c r="AC20" s="1900">
        <v>1</v>
      </c>
    </row>
    <row r="21" spans="1:29" ht="28.5">
      <c r="A21" s="408"/>
      <c r="B21" s="617" t="s">
        <v>2475</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8"/>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1468"/>
      <c r="L22" s="1252"/>
      <c r="M22" s="1243"/>
      <c r="N22" s="1243"/>
      <c r="O22" s="1251"/>
      <c r="P22" s="3008"/>
      <c r="Q22" s="1896"/>
      <c r="R22" s="753"/>
      <c r="S22" s="754"/>
      <c r="T22" s="753"/>
      <c r="U22" s="754"/>
      <c r="V22" s="753"/>
      <c r="W22" s="754"/>
      <c r="X22" s="1897"/>
      <c r="Y22" s="3008"/>
      <c r="Z22" s="1899"/>
      <c r="AA22" s="1900">
        <v>1</v>
      </c>
      <c r="AB22" s="1900">
        <v>1</v>
      </c>
      <c r="AC22" s="1900">
        <v>1</v>
      </c>
    </row>
    <row r="23" spans="1:29" ht="71.25">
      <c r="A23" s="408"/>
      <c r="B23" s="431" t="s">
        <v>2476</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8"/>
      <c r="Q23" s="1896" t="str">
        <f>B23</f>
        <v>环境质量</v>
      </c>
      <c r="R23" s="753" t="s">
        <v>25</v>
      </c>
      <c r="S23" s="754">
        <f>F23</f>
        <v>100</v>
      </c>
      <c r="T23" s="753" t="s">
        <v>25</v>
      </c>
      <c r="U23" s="754">
        <f>H23</f>
        <v>100</v>
      </c>
      <c r="V23" s="753" t="s">
        <v>25</v>
      </c>
      <c r="W23" s="754">
        <f>J23</f>
        <v>100</v>
      </c>
      <c r="X23" s="1897"/>
      <c r="Y23" s="3008"/>
      <c r="Z23" s="1899" t="str">
        <f>Q23</f>
        <v>环境质量</v>
      </c>
      <c r="AA23" s="1900">
        <f t="shared" si="3"/>
        <v>1</v>
      </c>
      <c r="AB23" s="1900">
        <f t="shared" si="4"/>
        <v>1</v>
      </c>
      <c r="AC23" s="1900">
        <f t="shared" si="5"/>
        <v>1</v>
      </c>
    </row>
    <row r="24" spans="1:29" ht="15">
      <c r="A24" s="408"/>
      <c r="B24" s="2405"/>
      <c r="C24" s="426"/>
      <c r="D24" s="427"/>
      <c r="E24" s="428"/>
      <c r="F24" s="429"/>
      <c r="G24" s="2401"/>
      <c r="H24" s="427"/>
      <c r="I24" s="428"/>
      <c r="J24" s="427"/>
      <c r="K24" s="599"/>
      <c r="L24" s="1252"/>
      <c r="M24" s="1243"/>
      <c r="N24" s="1243"/>
      <c r="O24" s="1251"/>
      <c r="P24" s="3008"/>
      <c r="Q24" s="1896"/>
      <c r="R24" s="753"/>
      <c r="S24" s="754"/>
      <c r="T24" s="753"/>
      <c r="U24" s="754"/>
      <c r="V24" s="753"/>
      <c r="W24" s="754"/>
      <c r="X24" s="1897"/>
      <c r="Y24" s="3008"/>
      <c r="Z24" s="1899"/>
      <c r="AA24" s="1900">
        <v>1</v>
      </c>
      <c r="AB24" s="1900">
        <v>1</v>
      </c>
      <c r="AC24" s="1900">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8"/>
      <c r="Q25" s="1896">
        <f>B25</f>
        <v>111</v>
      </c>
      <c r="R25" s="753" t="s">
        <v>25</v>
      </c>
      <c r="S25" s="754">
        <f>F25</f>
        <v>100</v>
      </c>
      <c r="T25" s="753" t="s">
        <v>25</v>
      </c>
      <c r="U25" s="754">
        <f>H25</f>
        <v>100</v>
      </c>
      <c r="V25" s="753" t="s">
        <v>25</v>
      </c>
      <c r="W25" s="754">
        <f>J25</f>
        <v>100</v>
      </c>
      <c r="X25" s="1897"/>
      <c r="Y25" s="3008"/>
      <c r="Z25" s="1899">
        <f>Q25</f>
        <v>111</v>
      </c>
      <c r="AA25" s="1900">
        <f t="shared" si="3"/>
        <v>1</v>
      </c>
      <c r="AB25" s="1900">
        <f t="shared" si="4"/>
        <v>1</v>
      </c>
      <c r="AC25" s="1900">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8"/>
      <c r="Q26" s="1896">
        <f t="shared" ref="Q26:Q40" si="11">B26</f>
        <v>111</v>
      </c>
      <c r="R26" s="753" t="s">
        <v>25</v>
      </c>
      <c r="S26" s="754">
        <f>F26</f>
        <v>100</v>
      </c>
      <c r="T26" s="753" t="s">
        <v>25</v>
      </c>
      <c r="U26" s="754">
        <f>H26</f>
        <v>100</v>
      </c>
      <c r="V26" s="753" t="s">
        <v>25</v>
      </c>
      <c r="W26" s="754">
        <f>J26</f>
        <v>100</v>
      </c>
      <c r="X26" s="1897"/>
      <c r="Y26" s="3008"/>
      <c r="Z26" s="1899">
        <f>Q26</f>
        <v>111</v>
      </c>
      <c r="AA26" s="1900">
        <f t="shared" si="3"/>
        <v>1</v>
      </c>
      <c r="AB26" s="1900">
        <f t="shared" si="4"/>
        <v>1</v>
      </c>
      <c r="AC26" s="1900">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8"/>
      <c r="Q27" s="1884">
        <f t="shared" si="11"/>
        <v>111</v>
      </c>
      <c r="R27" s="749" t="s">
        <v>25</v>
      </c>
      <c r="S27" s="750">
        <f>F27</f>
        <v>100</v>
      </c>
      <c r="T27" s="749" t="s">
        <v>25</v>
      </c>
      <c r="U27" s="750">
        <f>H27</f>
        <v>100</v>
      </c>
      <c r="V27" s="749" t="s">
        <v>25</v>
      </c>
      <c r="W27" s="750">
        <f>J27</f>
        <v>100</v>
      </c>
      <c r="X27" s="751"/>
      <c r="Y27" s="3008"/>
      <c r="Z27" s="23">
        <f>Q27</f>
        <v>111</v>
      </c>
      <c r="AA27" s="1900">
        <f>D27/F27</f>
        <v>1</v>
      </c>
      <c r="AB27" s="1900">
        <f>D27/H27</f>
        <v>1</v>
      </c>
      <c r="AC27" s="1900">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8"/>
      <c r="Q28" s="1896">
        <f t="shared" si="11"/>
        <v>111</v>
      </c>
      <c r="R28" s="753" t="s">
        <v>25</v>
      </c>
      <c r="S28" s="754">
        <f t="shared" ref="S28:S40" si="12">F28</f>
        <v>100</v>
      </c>
      <c r="T28" s="753" t="s">
        <v>25</v>
      </c>
      <c r="U28" s="754">
        <f t="shared" ref="U28:U40" si="13">H28</f>
        <v>100</v>
      </c>
      <c r="V28" s="753" t="s">
        <v>25</v>
      </c>
      <c r="W28" s="754">
        <f t="shared" ref="W28:W40" si="14">J28</f>
        <v>100</v>
      </c>
      <c r="X28" s="1897"/>
      <c r="Y28" s="3008"/>
      <c r="Z28" s="1899">
        <f t="shared" ref="Z28:Z40" si="15">Q28</f>
        <v>111</v>
      </c>
      <c r="AA28" s="1900">
        <f t="shared" si="3"/>
        <v>1</v>
      </c>
      <c r="AB28" s="1900">
        <f t="shared" si="4"/>
        <v>1</v>
      </c>
      <c r="AC28" s="1900">
        <f t="shared" si="5"/>
        <v>1</v>
      </c>
    </row>
    <row r="29" spans="1:29" ht="28.5">
      <c r="A29" s="447" t="s">
        <v>2363</v>
      </c>
      <c r="B29" s="28" t="s">
        <v>2479</v>
      </c>
      <c r="C29" s="2470" t="s">
        <v>2491</v>
      </c>
      <c r="D29" s="448">
        <v>100</v>
      </c>
      <c r="E29" s="2470"/>
      <c r="F29" s="442">
        <f>SUMIF(88:88,E29,89:89)-SUMIF(88:88,C29,89:89)+100</f>
        <v>100</v>
      </c>
      <c r="G29" s="2470"/>
      <c r="H29" s="415">
        <f>SUMIF(88:88,G29,89:89)-SUMIF(88:88,C29,89:89)+100</f>
        <v>100</v>
      </c>
      <c r="I29" s="2470"/>
      <c r="J29" s="448">
        <f>SUMIF(88:88,I29,89:89)-SUMIF(88:88,C29,89:89)+100</f>
        <v>100</v>
      </c>
      <c r="K29" s="596"/>
      <c r="L29" s="1252"/>
      <c r="M29" s="1243"/>
      <c r="N29" s="1243"/>
      <c r="O29" s="1251"/>
      <c r="P29" s="3053" t="s">
        <v>2365</v>
      </c>
      <c r="Q29" s="1896" t="str">
        <f t="shared" si="11"/>
        <v>建筑类型</v>
      </c>
      <c r="R29" s="753" t="s">
        <v>25</v>
      </c>
      <c r="S29" s="754">
        <f t="shared" si="12"/>
        <v>100</v>
      </c>
      <c r="T29" s="753" t="s">
        <v>25</v>
      </c>
      <c r="U29" s="754">
        <f t="shared" si="13"/>
        <v>100</v>
      </c>
      <c r="V29" s="753" t="s">
        <v>25</v>
      </c>
      <c r="W29" s="754">
        <f t="shared" si="14"/>
        <v>100</v>
      </c>
      <c r="X29" s="1897"/>
      <c r="Y29" s="3012" t="s">
        <v>2365</v>
      </c>
      <c r="Z29" s="1899" t="str">
        <f t="shared" si="15"/>
        <v>建筑类型</v>
      </c>
      <c r="AA29" s="1900">
        <f t="shared" si="3"/>
        <v>1</v>
      </c>
      <c r="AB29" s="1900">
        <f t="shared" si="4"/>
        <v>1</v>
      </c>
      <c r="AC29" s="1900">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12"/>
      <c r="Q30" s="755" t="str">
        <f t="shared" si="11"/>
        <v>项目建筑规模</v>
      </c>
      <c r="R30" s="756" t="s">
        <v>25</v>
      </c>
      <c r="S30" s="757" t="e">
        <f t="shared" si="12"/>
        <v>#N/A</v>
      </c>
      <c r="T30" s="756" t="s">
        <v>25</v>
      </c>
      <c r="U30" s="757" t="e">
        <f t="shared" si="13"/>
        <v>#N/A</v>
      </c>
      <c r="V30" s="756" t="s">
        <v>25</v>
      </c>
      <c r="W30" s="757" t="e">
        <f t="shared" si="14"/>
        <v>#N/A</v>
      </c>
      <c r="X30" s="758"/>
      <c r="Y30" s="3012"/>
      <c r="Z30" s="759" t="str">
        <f t="shared" si="15"/>
        <v>项目建筑规模</v>
      </c>
      <c r="AA30" s="1900" t="e">
        <f t="shared" si="3"/>
        <v>#N/A</v>
      </c>
      <c r="AB30" s="1900" t="e">
        <f t="shared" si="4"/>
        <v>#N/A</v>
      </c>
      <c r="AC30" s="1900"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12"/>
      <c r="Q31" s="1896" t="str">
        <f t="shared" si="11"/>
        <v>建筑结构</v>
      </c>
      <c r="R31" s="753" t="s">
        <v>25</v>
      </c>
      <c r="S31" s="754">
        <f t="shared" si="12"/>
        <v>100</v>
      </c>
      <c r="T31" s="753" t="s">
        <v>25</v>
      </c>
      <c r="U31" s="754">
        <f t="shared" si="13"/>
        <v>100</v>
      </c>
      <c r="V31" s="753" t="s">
        <v>25</v>
      </c>
      <c r="W31" s="754">
        <f t="shared" si="14"/>
        <v>100</v>
      </c>
      <c r="X31" s="1897"/>
      <c r="Y31" s="3012"/>
      <c r="Z31" s="1899" t="str">
        <f t="shared" si="15"/>
        <v>建筑结构</v>
      </c>
      <c r="AA31" s="1900">
        <f t="shared" si="3"/>
        <v>1</v>
      </c>
      <c r="AB31" s="1900">
        <f t="shared" si="4"/>
        <v>1</v>
      </c>
      <c r="AC31" s="1900">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12"/>
      <c r="Q32" s="1896" t="str">
        <f t="shared" si="11"/>
        <v>公共部分装修</v>
      </c>
      <c r="R32" s="753" t="s">
        <v>25</v>
      </c>
      <c r="S32" s="754">
        <f t="shared" si="12"/>
        <v>100</v>
      </c>
      <c r="T32" s="753" t="s">
        <v>25</v>
      </c>
      <c r="U32" s="754">
        <f t="shared" si="13"/>
        <v>100</v>
      </c>
      <c r="V32" s="753" t="s">
        <v>25</v>
      </c>
      <c r="W32" s="754">
        <f t="shared" si="14"/>
        <v>100</v>
      </c>
      <c r="X32" s="1897"/>
      <c r="Y32" s="3012"/>
      <c r="Z32" s="1899" t="str">
        <f t="shared" si="15"/>
        <v>公共部分装修</v>
      </c>
      <c r="AA32" s="1900">
        <f t="shared" si="3"/>
        <v>1</v>
      </c>
      <c r="AB32" s="1900">
        <f t="shared" si="4"/>
        <v>1</v>
      </c>
      <c r="AC32" s="1900">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12"/>
      <c r="Q33" s="1896" t="str">
        <f t="shared" si="11"/>
        <v>成新度</v>
      </c>
      <c r="R33" s="753" t="s">
        <v>25</v>
      </c>
      <c r="S33" s="754" t="e">
        <f t="shared" si="12"/>
        <v>#N/A</v>
      </c>
      <c r="T33" s="753" t="s">
        <v>25</v>
      </c>
      <c r="U33" s="754" t="e">
        <f t="shared" si="13"/>
        <v>#N/A</v>
      </c>
      <c r="V33" s="753" t="s">
        <v>25</v>
      </c>
      <c r="W33" s="754" t="e">
        <f t="shared" si="14"/>
        <v>#N/A</v>
      </c>
      <c r="X33" s="1897"/>
      <c r="Y33" s="3012"/>
      <c r="Z33" s="1899" t="str">
        <f t="shared" si="15"/>
        <v>成新度</v>
      </c>
      <c r="AA33" s="1900" t="e">
        <f t="shared" si="3"/>
        <v>#N/A</v>
      </c>
      <c r="AB33" s="1900" t="e">
        <f t="shared" si="4"/>
        <v>#N/A</v>
      </c>
      <c r="AC33" s="1900"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12"/>
      <c r="Q34" s="1884" t="str">
        <f t="shared" si="11"/>
        <v>物业管理</v>
      </c>
      <c r="R34" s="749" t="s">
        <v>25</v>
      </c>
      <c r="S34" s="750">
        <f t="shared" si="12"/>
        <v>100</v>
      </c>
      <c r="T34" s="749" t="s">
        <v>25</v>
      </c>
      <c r="U34" s="750">
        <f t="shared" si="13"/>
        <v>100</v>
      </c>
      <c r="V34" s="749" t="s">
        <v>25</v>
      </c>
      <c r="W34" s="750">
        <f t="shared" si="14"/>
        <v>100</v>
      </c>
      <c r="X34" s="751"/>
      <c r="Y34" s="3012"/>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12" t="s">
        <v>2365</v>
      </c>
      <c r="Q35" s="1896" t="str">
        <f t="shared" si="11"/>
        <v>市政基础设施</v>
      </c>
      <c r="R35" s="753" t="s">
        <v>25</v>
      </c>
      <c r="S35" s="754">
        <f t="shared" si="12"/>
        <v>100</v>
      </c>
      <c r="T35" s="753" t="s">
        <v>25</v>
      </c>
      <c r="U35" s="754">
        <f t="shared" si="13"/>
        <v>100</v>
      </c>
      <c r="V35" s="753" t="s">
        <v>25</v>
      </c>
      <c r="W35" s="754">
        <f t="shared" si="14"/>
        <v>100</v>
      </c>
      <c r="X35" s="1897"/>
      <c r="Y35" s="3012" t="s">
        <v>2365</v>
      </c>
      <c r="Z35" s="1899" t="str">
        <f t="shared" si="15"/>
        <v>市政基础设施</v>
      </c>
      <c r="AA35" s="1900">
        <f t="shared" si="3"/>
        <v>1</v>
      </c>
      <c r="AB35" s="1900">
        <f t="shared" si="4"/>
        <v>1</v>
      </c>
      <c r="AC35" s="1900">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12"/>
      <c r="Q36" s="1896" t="str">
        <f t="shared" si="11"/>
        <v>内部装修</v>
      </c>
      <c r="R36" s="753" t="s">
        <v>25</v>
      </c>
      <c r="S36" s="754">
        <f t="shared" si="12"/>
        <v>100</v>
      </c>
      <c r="T36" s="753" t="s">
        <v>25</v>
      </c>
      <c r="U36" s="754">
        <f t="shared" si="13"/>
        <v>100</v>
      </c>
      <c r="V36" s="753" t="s">
        <v>25</v>
      </c>
      <c r="W36" s="754">
        <f t="shared" si="14"/>
        <v>100</v>
      </c>
      <c r="X36" s="1897"/>
      <c r="Y36" s="3012"/>
      <c r="Z36" s="1899" t="str">
        <f t="shared" si="15"/>
        <v>内部装修</v>
      </c>
      <c r="AA36" s="1900">
        <f t="shared" si="3"/>
        <v>1</v>
      </c>
      <c r="AB36" s="1900">
        <f t="shared" si="4"/>
        <v>1</v>
      </c>
      <c r="AC36" s="1900">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12"/>
      <c r="Q37" s="1896" t="str">
        <f t="shared" si="11"/>
        <v>内部装修状况</v>
      </c>
      <c r="R37" s="753" t="s">
        <v>25</v>
      </c>
      <c r="S37" s="754">
        <f t="shared" si="12"/>
        <v>0</v>
      </c>
      <c r="T37" s="753" t="s">
        <v>25</v>
      </c>
      <c r="U37" s="754">
        <f t="shared" si="13"/>
        <v>0</v>
      </c>
      <c r="V37" s="753" t="s">
        <v>25</v>
      </c>
      <c r="W37" s="754">
        <f t="shared" si="14"/>
        <v>0</v>
      </c>
      <c r="X37" s="1897"/>
      <c r="Y37" s="3012"/>
      <c r="Z37" s="1899" t="str">
        <f t="shared" si="15"/>
        <v>内部装修状况</v>
      </c>
      <c r="AA37" s="1900" t="e">
        <f t="shared" si="3"/>
        <v>#DIV/0!</v>
      </c>
      <c r="AB37" s="1900" t="e">
        <f t="shared" si="4"/>
        <v>#DIV/0!</v>
      </c>
      <c r="AC37" s="1900"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12"/>
      <c r="Q38" s="755">
        <f t="shared" si="11"/>
        <v>111</v>
      </c>
      <c r="R38" s="756" t="s">
        <v>25</v>
      </c>
      <c r="S38" s="757">
        <f t="shared" si="12"/>
        <v>100</v>
      </c>
      <c r="T38" s="756" t="s">
        <v>25</v>
      </c>
      <c r="U38" s="757">
        <f t="shared" si="13"/>
        <v>100</v>
      </c>
      <c r="V38" s="756" t="s">
        <v>25</v>
      </c>
      <c r="W38" s="757">
        <f t="shared" si="14"/>
        <v>100</v>
      </c>
      <c r="X38" s="758"/>
      <c r="Y38" s="3012"/>
      <c r="Z38" s="759">
        <f t="shared" si="15"/>
        <v>111</v>
      </c>
      <c r="AA38" s="1900">
        <f t="shared" si="3"/>
        <v>1</v>
      </c>
      <c r="AB38" s="1900">
        <f t="shared" si="4"/>
        <v>1</v>
      </c>
      <c r="AC38" s="1900">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12"/>
      <c r="Q39" s="1896">
        <f t="shared" si="11"/>
        <v>111</v>
      </c>
      <c r="R39" s="753" t="s">
        <v>25</v>
      </c>
      <c r="S39" s="754">
        <f t="shared" si="12"/>
        <v>100</v>
      </c>
      <c r="T39" s="753" t="s">
        <v>25</v>
      </c>
      <c r="U39" s="754">
        <f t="shared" si="13"/>
        <v>100</v>
      </c>
      <c r="V39" s="753" t="s">
        <v>25</v>
      </c>
      <c r="W39" s="754">
        <f t="shared" si="14"/>
        <v>100</v>
      </c>
      <c r="X39" s="1897"/>
      <c r="Y39" s="3012"/>
      <c r="Z39" s="1899">
        <f t="shared" si="15"/>
        <v>111</v>
      </c>
      <c r="AA39" s="1900">
        <f t="shared" si="3"/>
        <v>1</v>
      </c>
      <c r="AB39" s="1900">
        <f t="shared" si="4"/>
        <v>1</v>
      </c>
      <c r="AC39" s="1900">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13"/>
      <c r="Q40" s="1896">
        <f t="shared" si="11"/>
        <v>111</v>
      </c>
      <c r="R40" s="753" t="s">
        <v>25</v>
      </c>
      <c r="S40" s="754">
        <f t="shared" si="12"/>
        <v>100</v>
      </c>
      <c r="T40" s="753" t="s">
        <v>25</v>
      </c>
      <c r="U40" s="754">
        <f t="shared" si="13"/>
        <v>100</v>
      </c>
      <c r="V40" s="753" t="s">
        <v>25</v>
      </c>
      <c r="W40" s="754">
        <f t="shared" si="14"/>
        <v>100</v>
      </c>
      <c r="X40" s="1897"/>
      <c r="Y40" s="3013"/>
      <c r="Z40" s="1899">
        <f t="shared" si="15"/>
        <v>111</v>
      </c>
      <c r="AA40" s="1900">
        <f t="shared" si="3"/>
        <v>1</v>
      </c>
      <c r="AB40" s="1900">
        <f t="shared" si="4"/>
        <v>1</v>
      </c>
      <c r="AC40" s="1900">
        <f t="shared" si="5"/>
        <v>1</v>
      </c>
    </row>
    <row r="41" spans="1:29" ht="15">
      <c r="A41" s="460" t="s">
        <v>2377</v>
      </c>
      <c r="B41" s="461"/>
      <c r="C41" s="1501" t="s">
        <v>1</v>
      </c>
      <c r="D41" s="1502"/>
      <c r="E41" s="1503"/>
      <c r="F41" s="1504"/>
      <c r="G41" s="1505"/>
      <c r="H41" s="1506"/>
      <c r="I41" s="1503"/>
      <c r="J41" s="1506"/>
      <c r="K41" s="762"/>
      <c r="L41" s="1255"/>
      <c r="M41" s="1256"/>
      <c r="N41" s="1243"/>
      <c r="O41" s="1256"/>
      <c r="P41" s="3004" t="str">
        <f>A41</f>
        <v>成交单价（元/平方米）</v>
      </c>
      <c r="Q41" s="3004"/>
      <c r="R41" s="3000">
        <f>E41</f>
        <v>0</v>
      </c>
      <c r="S41" s="3000"/>
      <c r="T41" s="3000">
        <f>G41</f>
        <v>0</v>
      </c>
      <c r="U41" s="3000"/>
      <c r="V41" s="3000">
        <f>I41</f>
        <v>0</v>
      </c>
      <c r="W41" s="3000"/>
      <c r="X41" s="738"/>
      <c r="Y41" s="760"/>
      <c r="Z41" s="738"/>
      <c r="AA41" s="738"/>
      <c r="AB41" s="738"/>
      <c r="AC41" s="738"/>
    </row>
    <row r="42" spans="1:29" ht="15.75" thickBot="1">
      <c r="A42" s="467" t="s">
        <v>2460</v>
      </c>
      <c r="B42" s="468"/>
      <c r="C42" s="1507" t="e">
        <f>R43</f>
        <v>#DIV/0!</v>
      </c>
      <c r="D42" s="1508"/>
      <c r="E42" s="1509" t="e">
        <f>R42</f>
        <v>#DIV/0!</v>
      </c>
      <c r="F42" s="1509"/>
      <c r="G42" s="1507" t="e">
        <f>T42</f>
        <v>#DIV/0!</v>
      </c>
      <c r="H42" s="1508"/>
      <c r="I42" s="1509" t="e">
        <f>V42</f>
        <v>#DIV/0!</v>
      </c>
      <c r="J42" s="1508"/>
      <c r="K42" s="763"/>
      <c r="L42" s="1255"/>
      <c r="M42" s="1256"/>
      <c r="N42" s="1243"/>
      <c r="O42" s="1256"/>
      <c r="P42" s="3004" t="str">
        <f>A42</f>
        <v>比较价值（元/平方米）</v>
      </c>
      <c r="Q42" s="3004"/>
      <c r="R42" s="3000" t="e">
        <f>IF(E1="售价",ROUND(PRODUCT(R41,AA7:AA40),0),ROUND(PRODUCT(R41,AA7:AA40),1))</f>
        <v>#DIV/0!</v>
      </c>
      <c r="S42" s="3000"/>
      <c r="T42" s="3000" t="e">
        <f>IF(E1="售价",ROUND(PRODUCT(T41,AB7:AB40),0),ROUND(PRODUCT(T41,AB7:AB40),1))</f>
        <v>#DIV/0!</v>
      </c>
      <c r="U42" s="3000"/>
      <c r="V42" s="3000" t="e">
        <f>IF(E1="售价",ROUND(PRODUCT(V41,AC7:AC40),0),ROUND(PRODUCT(V41,AC7:AC40),1))</f>
        <v>#DIV/0!</v>
      </c>
      <c r="W42" s="3000"/>
      <c r="X42" s="738"/>
      <c r="Y42" s="738"/>
      <c r="Z42" s="738"/>
      <c r="AA42" s="738"/>
      <c r="AB42" s="738"/>
      <c r="AC42" s="738"/>
    </row>
    <row r="43" spans="1:29" ht="15.75" thickBot="1">
      <c r="A43" s="473" t="s">
        <v>2483</v>
      </c>
      <c r="B43" s="474"/>
      <c r="C43" s="1511" t="e">
        <f>R43</f>
        <v>#DIV/0!</v>
      </c>
      <c r="D43" s="1511"/>
      <c r="E43" s="1511"/>
      <c r="F43" s="1511"/>
      <c r="G43" s="1511"/>
      <c r="H43" s="1511"/>
      <c r="I43" s="1511"/>
      <c r="J43" s="1511"/>
      <c r="K43" s="764"/>
      <c r="L43" s="1255"/>
      <c r="M43" s="1256"/>
      <c r="N43" s="1256"/>
      <c r="O43" s="1256"/>
      <c r="P43" s="3001" t="str">
        <f>A43</f>
        <v>估价对象XX用房的比较价值（楼面单价，元/平方米）</v>
      </c>
      <c r="Q43" s="3002"/>
      <c r="R43" s="3003" t="e">
        <f>IF(E1="售价",ROUND(AVERAGE(R42:V42),0),ROUND(AVERAGE(R42:V42),1))</f>
        <v>#DIV/0!</v>
      </c>
      <c r="S43" s="3003"/>
      <c r="T43" s="3003"/>
      <c r="U43" s="3003"/>
      <c r="V43" s="3003"/>
      <c r="W43" s="3003"/>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7" t="str">
        <f>YEAR(C7)&amp;"-"&amp;MONTH(C7)</f>
        <v>2018-12</v>
      </c>
      <c r="D52" s="1678">
        <f>EDATE(C52,-1)</f>
        <v>43405</v>
      </c>
      <c r="E52" s="1679">
        <f t="shared" ref="E52:O52" si="16">EDATE(D52,-1)</f>
        <v>43374</v>
      </c>
      <c r="F52" s="1679">
        <f t="shared" si="16"/>
        <v>43344</v>
      </c>
      <c r="G52" s="1679">
        <f t="shared" si="16"/>
        <v>43313</v>
      </c>
      <c r="H52" s="1679">
        <f t="shared" si="16"/>
        <v>43282</v>
      </c>
      <c r="I52" s="1679">
        <f t="shared" si="16"/>
        <v>43252</v>
      </c>
      <c r="J52" s="1679">
        <f t="shared" si="16"/>
        <v>43221</v>
      </c>
      <c r="K52" s="1679">
        <f t="shared" si="16"/>
        <v>43191</v>
      </c>
      <c r="L52" s="1679">
        <f t="shared" si="16"/>
        <v>43160</v>
      </c>
      <c r="M52" s="1679">
        <f t="shared" si="16"/>
        <v>43132</v>
      </c>
      <c r="N52" s="1679">
        <f t="shared" si="16"/>
        <v>43101</v>
      </c>
      <c r="O52" s="1679">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2388</v>
      </c>
      <c r="B57" s="509" t="s">
        <v>2353</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9"/>
      <c r="B87" s="553"/>
      <c r="C87" s="554"/>
      <c r="D87" s="554"/>
      <c r="E87" s="554"/>
      <c r="F87" s="554"/>
      <c r="G87" s="575"/>
      <c r="H87" s="575"/>
      <c r="I87" s="575"/>
      <c r="J87" s="575"/>
      <c r="K87" s="575"/>
      <c r="L87" s="575"/>
      <c r="M87" s="576"/>
      <c r="N87" s="1267"/>
      <c r="O87" s="1267"/>
      <c r="P87" s="22"/>
      <c r="Q87" s="485"/>
    </row>
    <row r="88" spans="1:17">
      <c r="A88" s="508" t="s">
        <v>2363</v>
      </c>
      <c r="B88" s="509" t="s">
        <v>2412</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2414</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2416</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2418</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2419</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2421</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9"/>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7"/>
      <c r="C1" s="1728"/>
      <c r="D1" s="1729"/>
      <c r="E1" s="2379"/>
      <c r="F1" s="1730" t="s">
        <v>2332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IF(D2="——",IF(B37="元/平方米",IF(C2="元",ROUND(C39*D3,0),ROUND(C39*D3/10000,0)),IF(C2="元",ROUND(F3*C39,0),ROUND(F3*C39/10000,0))),IF(B37="元/平方米",IF(C2="元",ROUND(C39*D3,0),ROUND(C39*D3/10000,0)),IF(C2="元",ROUND(F3*C39,0),ROUND(F3*C39/10000,0)))-E2)</f>
        <v>#DIV/0!</v>
      </c>
      <c r="C2" s="163" t="str">
        <f>'数据-取费表'!B3</f>
        <v>元</v>
      </c>
      <c r="D2" s="2381"/>
      <c r="E2" s="1213" t="e">
        <f ca="1">SUMIF(INDIRECT("'"&amp;G2&amp;"'"&amp;"!A:A"),"承租人权益价值",INDIRECT("'"&amp;G2&amp;"'"&amp;"!c:c"))</f>
        <v>#REF!</v>
      </c>
      <c r="F2" s="2382" t="str">
        <f>C2</f>
        <v>元</v>
      </c>
      <c r="G2" s="2383"/>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11.66</v>
      </c>
      <c r="E3" s="1091" t="s">
        <v>2501</v>
      </c>
      <c r="F3" s="379">
        <f>'数据-取费表'!B41</f>
        <v>1</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513"/>
      <c r="M4" s="425"/>
      <c r="N4" s="425"/>
      <c r="O4" s="425"/>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513"/>
      <c r="M5" s="425"/>
      <c r="N5" s="425"/>
      <c r="O5" s="425"/>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513"/>
      <c r="M6" s="425"/>
      <c r="N6" s="425"/>
      <c r="O6" s="425"/>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18" t="s">
        <v>2348</v>
      </c>
      <c r="Q7" s="3026"/>
      <c r="R7" s="749" t="s">
        <v>25</v>
      </c>
      <c r="S7" s="750">
        <f t="shared" ref="S7:S14" si="0">F7</f>
        <v>0</v>
      </c>
      <c r="T7" s="749" t="s">
        <v>25</v>
      </c>
      <c r="U7" s="750">
        <f t="shared" ref="U7:U14" si="1">H7</f>
        <v>0</v>
      </c>
      <c r="V7" s="749" t="s">
        <v>25</v>
      </c>
      <c r="W7" s="750">
        <f t="shared" ref="W7:W14"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18" t="s">
        <v>2351</v>
      </c>
      <c r="Q8" s="3019"/>
      <c r="R8" s="749" t="s">
        <v>25</v>
      </c>
      <c r="S8" s="750">
        <f t="shared" si="0"/>
        <v>0</v>
      </c>
      <c r="T8" s="749" t="s">
        <v>25</v>
      </c>
      <c r="U8" s="750">
        <f t="shared" si="1"/>
        <v>0</v>
      </c>
      <c r="V8" s="749" t="s">
        <v>25</v>
      </c>
      <c r="W8" s="750">
        <f t="shared" si="2"/>
        <v>0</v>
      </c>
      <c r="X8" s="751"/>
      <c r="Y8" s="3018" t="s">
        <v>2351</v>
      </c>
      <c r="Z8" s="3019"/>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04" t="s">
        <v>2354</v>
      </c>
      <c r="Q9" s="1884" t="str">
        <f t="shared" ref="Q9:Q14" si="6">B9</f>
        <v>用途</v>
      </c>
      <c r="R9" s="749" t="s">
        <v>25</v>
      </c>
      <c r="S9" s="750">
        <f t="shared" si="0"/>
        <v>100</v>
      </c>
      <c r="T9" s="749" t="s">
        <v>25</v>
      </c>
      <c r="U9" s="750">
        <f t="shared" si="1"/>
        <v>100</v>
      </c>
      <c r="V9" s="749" t="s">
        <v>25</v>
      </c>
      <c r="W9" s="750">
        <f t="shared" si="2"/>
        <v>100</v>
      </c>
      <c r="X9" s="751"/>
      <c r="Y9" s="2830"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8"/>
      <c r="P11" s="3004"/>
      <c r="Q11" s="1884">
        <f t="shared" si="6"/>
        <v>111</v>
      </c>
      <c r="R11" s="749" t="s">
        <v>25</v>
      </c>
      <c r="S11" s="750">
        <f t="shared" si="0"/>
        <v>100</v>
      </c>
      <c r="T11" s="749" t="s">
        <v>25</v>
      </c>
      <c r="U11" s="750">
        <f t="shared" si="1"/>
        <v>100</v>
      </c>
      <c r="V11" s="749" t="s">
        <v>25</v>
      </c>
      <c r="W11" s="750">
        <f t="shared" si="2"/>
        <v>100</v>
      </c>
      <c r="X11" s="751"/>
      <c r="Y11" s="283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8"/>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28.25">
      <c r="A14" s="380" t="s">
        <v>2358</v>
      </c>
      <c r="B14" s="613" t="s">
        <v>2502</v>
      </c>
      <c r="C14" s="1479" t="str">
        <f>IF(B1="工业",估价对象房地状况!G4,估价对象房地状况!C6)</f>
        <v>临近城市支路——府右街，紧邻言志胡同，周边有14路、68路等多条公交线路及地铁1、4号线换乘站（西单站），交通状况较好。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8"/>
      <c r="P14" s="3007" t="s">
        <v>2359</v>
      </c>
      <c r="Q14" s="1896" t="str">
        <f t="shared" si="6"/>
        <v>交通便捷度</v>
      </c>
      <c r="R14" s="753" t="s">
        <v>25</v>
      </c>
      <c r="S14" s="754">
        <f t="shared" si="0"/>
        <v>100</v>
      </c>
      <c r="T14" s="753" t="s">
        <v>25</v>
      </c>
      <c r="U14" s="754">
        <f t="shared" si="1"/>
        <v>100</v>
      </c>
      <c r="V14" s="753" t="s">
        <v>25</v>
      </c>
      <c r="W14" s="754">
        <f t="shared" si="2"/>
        <v>100</v>
      </c>
      <c r="X14" s="1897"/>
      <c r="Y14" s="3007" t="s">
        <v>2359</v>
      </c>
      <c r="Z14" s="1899" t="str">
        <f t="shared" si="7"/>
        <v>交通便捷度</v>
      </c>
      <c r="AA14" s="1900">
        <f t="shared" si="3"/>
        <v>1</v>
      </c>
      <c r="AB14" s="1900">
        <f t="shared" si="4"/>
        <v>1</v>
      </c>
      <c r="AC14" s="1900">
        <f t="shared" si="5"/>
        <v>1</v>
      </c>
    </row>
    <row r="15" spans="1:29" ht="15">
      <c r="A15" s="383"/>
      <c r="B15" s="631"/>
      <c r="C15" s="1480"/>
      <c r="D15" s="1474"/>
      <c r="E15" s="426"/>
      <c r="F15" s="427"/>
      <c r="G15" s="1471"/>
      <c r="H15" s="430"/>
      <c r="I15" s="426"/>
      <c r="J15" s="427"/>
      <c r="K15" s="599"/>
      <c r="L15" s="1521"/>
      <c r="M15" s="425"/>
      <c r="N15" s="425"/>
      <c r="O15" s="1898"/>
      <c r="P15" s="3008"/>
      <c r="Q15" s="1896"/>
      <c r="R15" s="753"/>
      <c r="S15" s="754"/>
      <c r="T15" s="753"/>
      <c r="U15" s="754"/>
      <c r="V15" s="753"/>
      <c r="W15" s="754"/>
      <c r="X15" s="1897"/>
      <c r="Y15" s="3008"/>
      <c r="Z15" s="1899"/>
      <c r="AA15" s="1900">
        <v>1</v>
      </c>
      <c r="AB15" s="1900">
        <v>1</v>
      </c>
      <c r="AC15" s="1900">
        <v>1</v>
      </c>
    </row>
    <row r="16" spans="1:29" ht="270.75">
      <c r="A16" s="383"/>
      <c r="B16" s="615" t="s">
        <v>2474</v>
      </c>
      <c r="C16" s="1481" t="str">
        <f>IF(B1="工业",估价对象房地状况!G5,估价对象房地状况!C7)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8"/>
      <c r="P16" s="3008"/>
      <c r="Q16" s="1896" t="str">
        <f>B16</f>
        <v>公共配套设施</v>
      </c>
      <c r="R16" s="753" t="s">
        <v>25</v>
      </c>
      <c r="S16" s="754">
        <f>F16</f>
        <v>100</v>
      </c>
      <c r="T16" s="753" t="s">
        <v>25</v>
      </c>
      <c r="U16" s="754">
        <f>H16</f>
        <v>100</v>
      </c>
      <c r="V16" s="753" t="s">
        <v>25</v>
      </c>
      <c r="W16" s="754">
        <f>J16</f>
        <v>100</v>
      </c>
      <c r="X16" s="1897"/>
      <c r="Y16" s="3008"/>
      <c r="Z16" s="1899" t="str">
        <f>Q16</f>
        <v>公共配套设施</v>
      </c>
      <c r="AA16" s="1900">
        <f t="shared" si="3"/>
        <v>1</v>
      </c>
      <c r="AB16" s="1900">
        <f t="shared" si="4"/>
        <v>1</v>
      </c>
      <c r="AC16" s="1900">
        <f t="shared" si="5"/>
        <v>1</v>
      </c>
    </row>
    <row r="17" spans="1:29" ht="15">
      <c r="A17" s="383"/>
      <c r="B17" s="616"/>
      <c r="C17" s="1469"/>
      <c r="D17" s="1475"/>
      <c r="E17" s="428"/>
      <c r="F17" s="430"/>
      <c r="G17" s="428"/>
      <c r="H17" s="427"/>
      <c r="I17" s="428"/>
      <c r="J17" s="427"/>
      <c r="K17" s="599"/>
      <c r="L17" s="1521"/>
      <c r="M17" s="425"/>
      <c r="N17" s="425"/>
      <c r="O17" s="1898"/>
      <c r="P17" s="3008"/>
      <c r="Q17" s="1896"/>
      <c r="R17" s="753"/>
      <c r="S17" s="754"/>
      <c r="T17" s="753"/>
      <c r="U17" s="754"/>
      <c r="V17" s="753"/>
      <c r="W17" s="754"/>
      <c r="X17" s="1897"/>
      <c r="Y17" s="3008"/>
      <c r="Z17" s="1899"/>
      <c r="AA17" s="1900">
        <v>1</v>
      </c>
      <c r="AB17" s="1900">
        <v>1</v>
      </c>
      <c r="AC17" s="1900">
        <v>1</v>
      </c>
    </row>
    <row r="18" spans="1:29" ht="15">
      <c r="A18" s="383"/>
      <c r="B18" s="617" t="s">
        <v>2475</v>
      </c>
      <c r="C18" s="1481" t="str">
        <f>IF(B1="工业",估价对象房地状况!G6,估价对象房地状况!C8)</f>
        <v>五通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8"/>
      <c r="P18" s="3008"/>
      <c r="Q18" s="1896" t="str">
        <f>B18</f>
        <v>基础设施水平</v>
      </c>
      <c r="R18" s="753" t="s">
        <v>25</v>
      </c>
      <c r="S18" s="754">
        <f>F18</f>
        <v>100</v>
      </c>
      <c r="T18" s="753" t="s">
        <v>25</v>
      </c>
      <c r="U18" s="754">
        <f>H18</f>
        <v>100</v>
      </c>
      <c r="V18" s="753" t="s">
        <v>25</v>
      </c>
      <c r="W18" s="754">
        <f>J18</f>
        <v>100</v>
      </c>
      <c r="X18" s="1897"/>
      <c r="Y18" s="3008"/>
      <c r="Z18" s="1899" t="str">
        <f>Q18</f>
        <v>基础设施水平</v>
      </c>
      <c r="AA18" s="1900">
        <f t="shared" ref="AA18" si="8">D18/F18</f>
        <v>1</v>
      </c>
      <c r="AB18" s="1900">
        <f t="shared" ref="AB18" si="9">D18/H18</f>
        <v>1</v>
      </c>
      <c r="AC18" s="1900">
        <f t="shared" ref="AC18" si="10">D18/J18</f>
        <v>1</v>
      </c>
    </row>
    <row r="19" spans="1:29" ht="15">
      <c r="A19" s="383"/>
      <c r="B19" s="617"/>
      <c r="C19" s="1470"/>
      <c r="D19" s="1475"/>
      <c r="E19" s="1467"/>
      <c r="F19" s="430"/>
      <c r="G19" s="1467"/>
      <c r="H19" s="427"/>
      <c r="I19" s="428"/>
      <c r="J19" s="427"/>
      <c r="K19" s="1468"/>
      <c r="L19" s="1521"/>
      <c r="M19" s="425"/>
      <c r="N19" s="425"/>
      <c r="O19" s="1898"/>
      <c r="P19" s="3008"/>
      <c r="Q19" s="1896"/>
      <c r="R19" s="753"/>
      <c r="S19" s="754"/>
      <c r="T19" s="753"/>
      <c r="U19" s="754"/>
      <c r="V19" s="753"/>
      <c r="W19" s="754"/>
      <c r="X19" s="1897"/>
      <c r="Y19" s="3008"/>
      <c r="Z19" s="1899"/>
      <c r="AA19" s="1900">
        <v>1</v>
      </c>
      <c r="AB19" s="1900">
        <v>1</v>
      </c>
      <c r="AC19" s="1900">
        <v>1</v>
      </c>
    </row>
    <row r="20" spans="1:29" ht="99.75">
      <c r="A20" s="383"/>
      <c r="B20" s="615" t="s">
        <v>2503</v>
      </c>
      <c r="C20" s="1481" t="str">
        <f>IF(B1="工业",估价对象房地状况!G7,估价对象房地状况!C9)</f>
        <v>区域自然环境：中南海、南海、护城河；人文环境：国家大剧院、北京图书大厦；综合评价环境状况较好。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8"/>
      <c r="P20" s="3008"/>
      <c r="Q20" s="1896" t="str">
        <f>B20</f>
        <v>自然及人文环境</v>
      </c>
      <c r="R20" s="753" t="s">
        <v>25</v>
      </c>
      <c r="S20" s="754">
        <f>F20</f>
        <v>100</v>
      </c>
      <c r="T20" s="753" t="s">
        <v>25</v>
      </c>
      <c r="U20" s="754">
        <f>H20</f>
        <v>100</v>
      </c>
      <c r="V20" s="753" t="s">
        <v>25</v>
      </c>
      <c r="W20" s="754">
        <f>J20</f>
        <v>100</v>
      </c>
      <c r="X20" s="1897"/>
      <c r="Y20" s="3008"/>
      <c r="Z20" s="1899" t="str">
        <f>Q20</f>
        <v>自然及人文环境</v>
      </c>
      <c r="AA20" s="1900">
        <f t="shared" si="3"/>
        <v>1</v>
      </c>
      <c r="AB20" s="1900">
        <f t="shared" si="4"/>
        <v>1</v>
      </c>
      <c r="AC20" s="1900">
        <f t="shared" si="5"/>
        <v>1</v>
      </c>
    </row>
    <row r="21" spans="1:29" ht="15">
      <c r="A21" s="383"/>
      <c r="B21" s="616"/>
      <c r="C21" s="1480"/>
      <c r="D21" s="1474"/>
      <c r="E21" s="426"/>
      <c r="F21" s="427"/>
      <c r="G21" s="1471"/>
      <c r="H21" s="427"/>
      <c r="I21" s="426"/>
      <c r="J21" s="427"/>
      <c r="K21" s="599"/>
      <c r="L21" s="1521"/>
      <c r="M21" s="425"/>
      <c r="N21" s="425"/>
      <c r="O21" s="1898"/>
      <c r="P21" s="3008"/>
      <c r="Q21" s="1896"/>
      <c r="R21" s="753"/>
      <c r="S21" s="754"/>
      <c r="T21" s="753"/>
      <c r="U21" s="754"/>
      <c r="V21" s="753"/>
      <c r="W21" s="754"/>
      <c r="X21" s="1897"/>
      <c r="Y21" s="3008"/>
      <c r="Z21" s="1899"/>
      <c r="AA21" s="1900">
        <v>1</v>
      </c>
      <c r="AB21" s="1900">
        <v>1</v>
      </c>
      <c r="AC21" s="1900">
        <v>1</v>
      </c>
    </row>
    <row r="22" spans="1:29" ht="15">
      <c r="A22" s="383"/>
      <c r="B22" s="615" t="s">
        <v>2504</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8"/>
      <c r="P22" s="3008"/>
      <c r="Q22" s="1896" t="str">
        <f>B22</f>
        <v>楼层</v>
      </c>
      <c r="R22" s="753" t="s">
        <v>25</v>
      </c>
      <c r="S22" s="754">
        <f>F22</f>
        <v>100</v>
      </c>
      <c r="T22" s="753" t="s">
        <v>25</v>
      </c>
      <c r="U22" s="754">
        <f>H22</f>
        <v>100</v>
      </c>
      <c r="V22" s="753" t="s">
        <v>25</v>
      </c>
      <c r="W22" s="754">
        <f>J22</f>
        <v>100</v>
      </c>
      <c r="X22" s="1897"/>
      <c r="Y22" s="3008"/>
      <c r="Z22" s="1899" t="str">
        <f>Q22</f>
        <v>楼层</v>
      </c>
      <c r="AA22" s="1900">
        <f t="shared" si="3"/>
        <v>1</v>
      </c>
      <c r="AB22" s="1900">
        <f t="shared" si="4"/>
        <v>1</v>
      </c>
      <c r="AC22" s="1900">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8"/>
      <c r="P23" s="3008"/>
      <c r="Q23" s="1896">
        <f>B23</f>
        <v>111</v>
      </c>
      <c r="R23" s="753" t="s">
        <v>25</v>
      </c>
      <c r="S23" s="754">
        <f>F23</f>
        <v>100</v>
      </c>
      <c r="T23" s="753" t="s">
        <v>25</v>
      </c>
      <c r="U23" s="754">
        <f>H23</f>
        <v>100</v>
      </c>
      <c r="V23" s="753" t="s">
        <v>25</v>
      </c>
      <c r="W23" s="754">
        <f>J23</f>
        <v>100</v>
      </c>
      <c r="X23" s="1897"/>
      <c r="Y23" s="3008"/>
      <c r="Z23" s="1899">
        <f>Q23</f>
        <v>111</v>
      </c>
      <c r="AA23" s="1900">
        <f t="shared" si="3"/>
        <v>1</v>
      </c>
      <c r="AB23" s="1900">
        <f t="shared" si="4"/>
        <v>1</v>
      </c>
      <c r="AC23" s="1900">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8"/>
      <c r="P24" s="3008"/>
      <c r="Q24" s="1896">
        <f t="shared" ref="Q24:Q36" si="11">B24</f>
        <v>111</v>
      </c>
      <c r="R24" s="753" t="s">
        <v>25</v>
      </c>
      <c r="S24" s="754">
        <f>F24</f>
        <v>100</v>
      </c>
      <c r="T24" s="753" t="s">
        <v>25</v>
      </c>
      <c r="U24" s="754">
        <f>H24</f>
        <v>100</v>
      </c>
      <c r="V24" s="753" t="s">
        <v>25</v>
      </c>
      <c r="W24" s="754">
        <f>J24</f>
        <v>100</v>
      </c>
      <c r="X24" s="1897"/>
      <c r="Y24" s="3008"/>
      <c r="Z24" s="1899">
        <f>Q24</f>
        <v>111</v>
      </c>
      <c r="AA24" s="1900">
        <f t="shared" si="3"/>
        <v>1</v>
      </c>
      <c r="AB24" s="1900">
        <f t="shared" si="4"/>
        <v>1</v>
      </c>
      <c r="AC24" s="1900">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08"/>
      <c r="Q25" s="1884">
        <f t="shared" si="11"/>
        <v>111</v>
      </c>
      <c r="R25" s="749" t="s">
        <v>25</v>
      </c>
      <c r="S25" s="750">
        <f>F25</f>
        <v>100</v>
      </c>
      <c r="T25" s="749" t="s">
        <v>25</v>
      </c>
      <c r="U25" s="750">
        <f>H25</f>
        <v>100</v>
      </c>
      <c r="V25" s="749" t="s">
        <v>25</v>
      </c>
      <c r="W25" s="750">
        <f>J25</f>
        <v>100</v>
      </c>
      <c r="X25" s="751"/>
      <c r="Y25" s="3008"/>
      <c r="Z25" s="23">
        <f>Q25</f>
        <v>111</v>
      </c>
      <c r="AA25" s="1900">
        <f>D25/F25</f>
        <v>1</v>
      </c>
      <c r="AB25" s="1900">
        <f>D25/H25</f>
        <v>1</v>
      </c>
      <c r="AC25" s="1900">
        <f>D25/J25</f>
        <v>1</v>
      </c>
    </row>
    <row r="26" spans="1:29" ht="28.5">
      <c r="A26" s="635" t="s">
        <v>2363</v>
      </c>
      <c r="B26" s="27" t="s">
        <v>2505</v>
      </c>
      <c r="C26" s="2478"/>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8"/>
      <c r="P26" s="3053" t="s">
        <v>2365</v>
      </c>
      <c r="Q26" s="1896" t="str">
        <f t="shared" si="11"/>
        <v>配套类型</v>
      </c>
      <c r="R26" s="753" t="s">
        <v>25</v>
      </c>
      <c r="S26" s="754">
        <f t="shared" ref="S26:S36" si="12">F26</f>
        <v>100</v>
      </c>
      <c r="T26" s="753" t="s">
        <v>25</v>
      </c>
      <c r="U26" s="754">
        <f t="shared" ref="U26:U36" si="13">H26</f>
        <v>100</v>
      </c>
      <c r="V26" s="753" t="s">
        <v>25</v>
      </c>
      <c r="W26" s="754">
        <f t="shared" ref="W26:W36" si="14">J26</f>
        <v>100</v>
      </c>
      <c r="X26" s="1897"/>
      <c r="Y26" s="3012" t="s">
        <v>2365</v>
      </c>
      <c r="Z26" s="1899" t="str">
        <f t="shared" ref="Z26:Z36" si="15">Q26</f>
        <v>配套类型</v>
      </c>
      <c r="AA26" s="1900">
        <f t="shared" si="3"/>
        <v>1</v>
      </c>
      <c r="AB26" s="1900">
        <f t="shared" si="4"/>
        <v>1</v>
      </c>
      <c r="AC26" s="1900">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12"/>
      <c r="Q27" s="755" t="str">
        <f t="shared" si="11"/>
        <v>项目停车位配比</v>
      </c>
      <c r="R27" s="756" t="s">
        <v>25</v>
      </c>
      <c r="S27" s="757">
        <f t="shared" si="12"/>
        <v>100</v>
      </c>
      <c r="T27" s="756" t="s">
        <v>25</v>
      </c>
      <c r="U27" s="757">
        <f t="shared" si="13"/>
        <v>100</v>
      </c>
      <c r="V27" s="756" t="s">
        <v>25</v>
      </c>
      <c r="W27" s="757">
        <f t="shared" si="14"/>
        <v>100</v>
      </c>
      <c r="X27" s="758"/>
      <c r="Y27" s="3012"/>
      <c r="Z27" s="759" t="str">
        <f t="shared" si="15"/>
        <v>项目停车位配比</v>
      </c>
      <c r="AA27" s="1900">
        <f t="shared" si="3"/>
        <v>1</v>
      </c>
      <c r="AB27" s="1900">
        <f t="shared" si="4"/>
        <v>1</v>
      </c>
      <c r="AC27" s="1900">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8"/>
      <c r="P28" s="3012"/>
      <c r="Q28" s="1896" t="str">
        <f t="shared" si="11"/>
        <v>公共部分装修</v>
      </c>
      <c r="R28" s="753" t="s">
        <v>25</v>
      </c>
      <c r="S28" s="754">
        <f t="shared" si="12"/>
        <v>100</v>
      </c>
      <c r="T28" s="753" t="s">
        <v>25</v>
      </c>
      <c r="U28" s="754">
        <f t="shared" si="13"/>
        <v>100</v>
      </c>
      <c r="V28" s="753" t="s">
        <v>25</v>
      </c>
      <c r="W28" s="754">
        <f t="shared" si="14"/>
        <v>100</v>
      </c>
      <c r="X28" s="1897"/>
      <c r="Y28" s="3012"/>
      <c r="Z28" s="1899" t="str">
        <f t="shared" si="15"/>
        <v>公共部分装修</v>
      </c>
      <c r="AA28" s="1900">
        <f t="shared" si="3"/>
        <v>1</v>
      </c>
      <c r="AB28" s="1900">
        <f t="shared" si="4"/>
        <v>1</v>
      </c>
      <c r="AC28" s="1900">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8"/>
      <c r="P29" s="3012"/>
      <c r="Q29" s="1896" t="str">
        <f t="shared" si="11"/>
        <v>成新率</v>
      </c>
      <c r="R29" s="753" t="s">
        <v>25</v>
      </c>
      <c r="S29" s="754" t="e">
        <f t="shared" si="12"/>
        <v>#N/A</v>
      </c>
      <c r="T29" s="753" t="s">
        <v>25</v>
      </c>
      <c r="U29" s="754" t="e">
        <f t="shared" si="13"/>
        <v>#N/A</v>
      </c>
      <c r="V29" s="753" t="s">
        <v>25</v>
      </c>
      <c r="W29" s="754" t="e">
        <f t="shared" si="14"/>
        <v>#N/A</v>
      </c>
      <c r="X29" s="1897"/>
      <c r="Y29" s="3012"/>
      <c r="Z29" s="1899" t="str">
        <f t="shared" si="15"/>
        <v>成新率</v>
      </c>
      <c r="AA29" s="1900" t="e">
        <f t="shared" si="3"/>
        <v>#N/A</v>
      </c>
      <c r="AB29" s="1900" t="e">
        <f t="shared" si="4"/>
        <v>#N/A</v>
      </c>
      <c r="AC29" s="1900" t="e">
        <f t="shared" si="5"/>
        <v>#N/A</v>
      </c>
    </row>
    <row r="30" spans="1:29" ht="15">
      <c r="A30" s="639"/>
      <c r="B30" s="637" t="s">
        <v>2509</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8"/>
      <c r="P30" s="3012"/>
      <c r="Q30" s="1896" t="str">
        <f t="shared" si="11"/>
        <v>物业等级</v>
      </c>
      <c r="R30" s="753" t="s">
        <v>25</v>
      </c>
      <c r="S30" s="754">
        <f t="shared" si="12"/>
        <v>100</v>
      </c>
      <c r="T30" s="753" t="s">
        <v>25</v>
      </c>
      <c r="U30" s="754">
        <f t="shared" si="13"/>
        <v>100</v>
      </c>
      <c r="V30" s="753" t="s">
        <v>25</v>
      </c>
      <c r="W30" s="754">
        <f t="shared" si="14"/>
        <v>100</v>
      </c>
      <c r="X30" s="1897"/>
      <c r="Y30" s="3012"/>
      <c r="Z30" s="1899" t="str">
        <f t="shared" si="15"/>
        <v>物业等级</v>
      </c>
      <c r="AA30" s="1900">
        <f t="shared" si="3"/>
        <v>1</v>
      </c>
      <c r="AB30" s="1900">
        <f t="shared" si="4"/>
        <v>1</v>
      </c>
      <c r="AC30" s="1900">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12"/>
      <c r="Q31" s="1884" t="str">
        <f t="shared" si="11"/>
        <v>停车位面积</v>
      </c>
      <c r="R31" s="749" t="s">
        <v>25</v>
      </c>
      <c r="S31" s="750" t="e">
        <f t="shared" si="12"/>
        <v>#N/A</v>
      </c>
      <c r="T31" s="749" t="s">
        <v>25</v>
      </c>
      <c r="U31" s="750" t="e">
        <f t="shared" si="13"/>
        <v>#N/A</v>
      </c>
      <c r="V31" s="749" t="s">
        <v>25</v>
      </c>
      <c r="W31" s="750" t="e">
        <f t="shared" si="14"/>
        <v>#N/A</v>
      </c>
      <c r="X31" s="751"/>
      <c r="Y31" s="3012"/>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8"/>
      <c r="P32" s="3012" t="s">
        <v>2365</v>
      </c>
      <c r="Q32" s="1896" t="str">
        <f t="shared" si="11"/>
        <v>车位类型</v>
      </c>
      <c r="R32" s="753" t="s">
        <v>25</v>
      </c>
      <c r="S32" s="754">
        <f t="shared" si="12"/>
        <v>100</v>
      </c>
      <c r="T32" s="753" t="s">
        <v>25</v>
      </c>
      <c r="U32" s="754">
        <f t="shared" si="13"/>
        <v>100</v>
      </c>
      <c r="V32" s="753" t="s">
        <v>25</v>
      </c>
      <c r="W32" s="754">
        <f t="shared" si="14"/>
        <v>100</v>
      </c>
      <c r="X32" s="1897"/>
      <c r="Y32" s="3012" t="s">
        <v>2365</v>
      </c>
      <c r="Z32" s="1899" t="str">
        <f t="shared" si="15"/>
        <v>车位类型</v>
      </c>
      <c r="AA32" s="1900">
        <f t="shared" si="3"/>
        <v>1</v>
      </c>
      <c r="AB32" s="1900">
        <f t="shared" si="4"/>
        <v>1</v>
      </c>
      <c r="AC32" s="1900">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8"/>
      <c r="P33" s="3012"/>
      <c r="Q33" s="1896" t="str">
        <f t="shared" si="11"/>
        <v>是否直接入户</v>
      </c>
      <c r="R33" s="753" t="s">
        <v>25</v>
      </c>
      <c r="S33" s="754">
        <f t="shared" si="12"/>
        <v>100</v>
      </c>
      <c r="T33" s="753" t="s">
        <v>25</v>
      </c>
      <c r="U33" s="754">
        <f t="shared" si="13"/>
        <v>100</v>
      </c>
      <c r="V33" s="753" t="s">
        <v>25</v>
      </c>
      <c r="W33" s="754">
        <f t="shared" si="14"/>
        <v>100</v>
      </c>
      <c r="X33" s="1897"/>
      <c r="Y33" s="3012"/>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8"/>
      <c r="P34" s="3012"/>
      <c r="Q34" s="1896">
        <f t="shared" si="11"/>
        <v>111</v>
      </c>
      <c r="R34" s="753" t="s">
        <v>25</v>
      </c>
      <c r="S34" s="754">
        <f t="shared" si="12"/>
        <v>100</v>
      </c>
      <c r="T34" s="753" t="s">
        <v>25</v>
      </c>
      <c r="U34" s="754">
        <f t="shared" si="13"/>
        <v>100</v>
      </c>
      <c r="V34" s="753" t="s">
        <v>25</v>
      </c>
      <c r="W34" s="754">
        <f t="shared" si="14"/>
        <v>100</v>
      </c>
      <c r="X34" s="1897"/>
      <c r="Y34" s="3012"/>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12"/>
      <c r="Q35" s="755">
        <f t="shared" si="11"/>
        <v>111</v>
      </c>
      <c r="R35" s="756" t="s">
        <v>25</v>
      </c>
      <c r="S35" s="757">
        <f t="shared" si="12"/>
        <v>100</v>
      </c>
      <c r="T35" s="756" t="s">
        <v>25</v>
      </c>
      <c r="U35" s="757">
        <f t="shared" si="13"/>
        <v>100</v>
      </c>
      <c r="V35" s="756" t="s">
        <v>25</v>
      </c>
      <c r="W35" s="757">
        <f t="shared" si="14"/>
        <v>100</v>
      </c>
      <c r="X35" s="758"/>
      <c r="Y35" s="3012"/>
      <c r="Z35" s="759">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8"/>
      <c r="P36" s="3012"/>
      <c r="Q36" s="1896">
        <f t="shared" si="11"/>
        <v>111</v>
      </c>
      <c r="R36" s="753" t="s">
        <v>25</v>
      </c>
      <c r="S36" s="754">
        <f t="shared" si="12"/>
        <v>100</v>
      </c>
      <c r="T36" s="753" t="s">
        <v>25</v>
      </c>
      <c r="U36" s="754">
        <f t="shared" si="13"/>
        <v>100</v>
      </c>
      <c r="V36" s="753" t="s">
        <v>25</v>
      </c>
      <c r="W36" s="754">
        <f t="shared" si="14"/>
        <v>100</v>
      </c>
      <c r="X36" s="1897"/>
      <c r="Y36" s="3012"/>
      <c r="Z36" s="1899">
        <f t="shared" si="15"/>
        <v>111</v>
      </c>
      <c r="AA36" s="1900">
        <f t="shared" si="3"/>
        <v>1</v>
      </c>
      <c r="AB36" s="1900">
        <f t="shared" si="4"/>
        <v>1</v>
      </c>
      <c r="AC36" s="1900">
        <f t="shared" si="5"/>
        <v>1</v>
      </c>
    </row>
    <row r="37" spans="1:29" ht="15">
      <c r="A37" s="460" t="s">
        <v>2513</v>
      </c>
      <c r="B37" s="1092" t="s">
        <v>2514</v>
      </c>
      <c r="C37" s="1501" t="s">
        <v>1</v>
      </c>
      <c r="D37" s="1502"/>
      <c r="E37" s="1503"/>
      <c r="F37" s="1504"/>
      <c r="G37" s="1505"/>
      <c r="H37" s="1506"/>
      <c r="I37" s="1503"/>
      <c r="J37" s="1506"/>
      <c r="K37" s="603"/>
      <c r="L37" s="1524"/>
      <c r="M37" s="738"/>
      <c r="N37" s="425"/>
      <c r="O37" s="738"/>
      <c r="P37" s="3004" t="str">
        <f>A37</f>
        <v>成交单价</v>
      </c>
      <c r="Q37" s="3004"/>
      <c r="R37" s="3000">
        <f>E37</f>
        <v>0</v>
      </c>
      <c r="S37" s="3000"/>
      <c r="T37" s="3000">
        <f>G37</f>
        <v>0</v>
      </c>
      <c r="U37" s="3000"/>
      <c r="V37" s="3000">
        <f>I37</f>
        <v>0</v>
      </c>
      <c r="W37" s="3000"/>
      <c r="X37" s="738"/>
      <c r="Y37" s="760"/>
      <c r="Z37" s="738"/>
      <c r="AA37" s="738"/>
      <c r="AB37" s="738"/>
      <c r="AC37" s="738"/>
    </row>
    <row r="38" spans="1:29" ht="15.75" thickBot="1">
      <c r="A38" s="467" t="s">
        <v>2515</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04" t="str">
        <f>A38</f>
        <v>比较价值</v>
      </c>
      <c r="Q38" s="3004"/>
      <c r="R38" s="3000" t="e">
        <f>IF(E1="售价",ROUND(PRODUCT(R37,AA7:AA36),0),ROUND(PRODUCT(R37,AA7:AA36),1))</f>
        <v>#DIV/0!</v>
      </c>
      <c r="S38" s="3000"/>
      <c r="T38" s="3000" t="e">
        <f>IF(E1="售价",ROUND(PRODUCT(T37,AB7:AB36),0),ROUND(PRODUCT(T37,AB7:AB36),1))</f>
        <v>#DIV/0!</v>
      </c>
      <c r="U38" s="3000"/>
      <c r="V38" s="3000" t="e">
        <f>IF(E1="售价",ROUND(PRODUCT(V37,AC7:AC36),0),ROUND(PRODUCT(V37,AC7:AC36),1))</f>
        <v>#DIV/0!</v>
      </c>
      <c r="W38" s="3000"/>
      <c r="X38" s="738"/>
      <c r="Y38" s="738"/>
      <c r="Z38" s="738"/>
      <c r="AA38" s="738"/>
      <c r="AB38" s="738"/>
      <c r="AC38" s="738"/>
    </row>
    <row r="39" spans="1:29" ht="15.75" thickBot="1">
      <c r="A39" s="473" t="s">
        <v>2516</v>
      </c>
      <c r="B39" s="474"/>
      <c r="C39" s="1511" t="e">
        <f>R39</f>
        <v>#DIV/0!</v>
      </c>
      <c r="D39" s="1511"/>
      <c r="E39" s="1511"/>
      <c r="F39" s="1511"/>
      <c r="G39" s="1511"/>
      <c r="H39" s="1511"/>
      <c r="I39" s="1511"/>
      <c r="J39" s="1511"/>
      <c r="K39" s="605"/>
      <c r="L39" s="1524"/>
      <c r="M39" s="738"/>
      <c r="N39" s="738"/>
      <c r="O39" s="738"/>
      <c r="P39" s="3001" t="str">
        <f>A39</f>
        <v>估价对象XX用房的比较价值（楼面单价，元/平方米）</v>
      </c>
      <c r="Q39" s="3002"/>
      <c r="R39" s="3003" t="e">
        <f>IF(E1="售价",ROUND(AVERAGE(R38:V38),0),ROUND(AVERAGE(R38:V38),1))</f>
        <v>#DIV/0!</v>
      </c>
      <c r="S39" s="3003"/>
      <c r="T39" s="3003"/>
      <c r="U39" s="3003"/>
      <c r="V39" s="3003"/>
      <c r="W39" s="3003"/>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2520</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2521</v>
      </c>
      <c r="B48" s="487"/>
      <c r="C48" s="1677" t="str">
        <f>YEAR(C7)&amp;"-"&amp;MONTH(C7)</f>
        <v>2018-12</v>
      </c>
      <c r="D48" s="1678">
        <f>EDATE(C48,-1)</f>
        <v>43405</v>
      </c>
      <c r="E48" s="1678">
        <f t="shared" ref="E48:O48" si="16">EDATE(D48,-1)</f>
        <v>43374</v>
      </c>
      <c r="F48" s="1678">
        <f t="shared" si="16"/>
        <v>43344</v>
      </c>
      <c r="G48" s="1678">
        <f t="shared" si="16"/>
        <v>43313</v>
      </c>
      <c r="H48" s="1678">
        <f t="shared" si="16"/>
        <v>43282</v>
      </c>
      <c r="I48" s="1678">
        <f t="shared" si="16"/>
        <v>43252</v>
      </c>
      <c r="J48" s="1678">
        <f t="shared" si="16"/>
        <v>43221</v>
      </c>
      <c r="K48" s="1678">
        <f t="shared" si="16"/>
        <v>43191</v>
      </c>
      <c r="L48" s="1678">
        <f t="shared" si="16"/>
        <v>43160</v>
      </c>
      <c r="M48" s="1678">
        <f t="shared" si="16"/>
        <v>43132</v>
      </c>
      <c r="N48" s="1678">
        <f t="shared" si="16"/>
        <v>43101</v>
      </c>
      <c r="O48" s="1678">
        <f t="shared" si="16"/>
        <v>43070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7"/>
      <c r="C1" s="1728"/>
      <c r="D1" s="1738"/>
      <c r="E1" s="2379"/>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IF(D2="——",IF(C2="元",ROUND(C37*D3,0),ROUND(C37*D3/10000,0)),IF(C2="元",ROUND(C37*D3,0),ROUND(C37*D3/10000,0))-E2)</f>
        <v>#DIV/0!</v>
      </c>
      <c r="C2" s="163" t="str">
        <f>'数据-取费表'!B3</f>
        <v>元</v>
      </c>
      <c r="D2" s="2381"/>
      <c r="E2" s="1737" t="e">
        <f ca="1">SUMIF(INDIRECT("'"&amp;G2&amp;"'"&amp;"!A:A"),"承租人权益价值",INDIRECT("'"&amp;G2&amp;"'"&amp;"!c:c"))</f>
        <v>#REF!</v>
      </c>
      <c r="F2" s="2382" t="str">
        <f>C2</f>
        <v>元</v>
      </c>
      <c r="G2" s="2383"/>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11.66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2463"/>
      <c r="F7" s="390">
        <f>SUMIF(46:46,YEAR(E7)&amp;"-"&amp;MONTH(E7),47:47)</f>
        <v>0</v>
      </c>
      <c r="G7" s="391"/>
      <c r="H7" s="390">
        <f>SUMIF(46:46,YEAR(G7)&amp;"-"&amp;MONTH(G7),47:47)</f>
        <v>0</v>
      </c>
      <c r="I7" s="391"/>
      <c r="J7" s="390">
        <f>SUMIF(46:46,YEAR(I7)&amp;"-"&amp;MONTH(I7),47:47)</f>
        <v>0</v>
      </c>
      <c r="K7" s="595"/>
      <c r="L7" s="1244"/>
      <c r="M7" s="1245"/>
      <c r="N7" s="1245"/>
      <c r="O7" s="1245"/>
      <c r="P7" s="3018" t="s">
        <v>2348</v>
      </c>
      <c r="Q7" s="3026"/>
      <c r="R7" s="749" t="s">
        <v>25</v>
      </c>
      <c r="S7" s="750">
        <f t="shared" ref="S7:S14" si="0">F7</f>
        <v>0</v>
      </c>
      <c r="T7" s="749" t="s">
        <v>25</v>
      </c>
      <c r="U7" s="750">
        <f t="shared" ref="U7:U14" si="1">H7</f>
        <v>0</v>
      </c>
      <c r="V7" s="749" t="s">
        <v>25</v>
      </c>
      <c r="W7" s="750">
        <f t="shared" ref="W7:W14"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04" t="s">
        <v>2354</v>
      </c>
      <c r="Q9" s="1884" t="str">
        <f t="shared" ref="Q9:Q14" si="6">B9</f>
        <v>用途</v>
      </c>
      <c r="R9" s="749" t="s">
        <v>25</v>
      </c>
      <c r="S9" s="750">
        <f t="shared" si="0"/>
        <v>100</v>
      </c>
      <c r="T9" s="749" t="s">
        <v>25</v>
      </c>
      <c r="U9" s="750">
        <f t="shared" si="1"/>
        <v>100</v>
      </c>
      <c r="V9" s="749" t="s">
        <v>25</v>
      </c>
      <c r="W9" s="750">
        <f t="shared" si="2"/>
        <v>100</v>
      </c>
      <c r="X9" s="751"/>
      <c r="Y9" s="2830"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04"/>
      <c r="Q11" s="1884">
        <f t="shared" si="6"/>
        <v>111</v>
      </c>
      <c r="R11" s="749" t="s">
        <v>25</v>
      </c>
      <c r="S11" s="750">
        <f t="shared" si="0"/>
        <v>100</v>
      </c>
      <c r="T11" s="749" t="s">
        <v>25</v>
      </c>
      <c r="U11" s="750">
        <f t="shared" si="1"/>
        <v>100</v>
      </c>
      <c r="V11" s="749" t="s">
        <v>25</v>
      </c>
      <c r="W11" s="750">
        <f t="shared" si="2"/>
        <v>100</v>
      </c>
      <c r="X11" s="751"/>
      <c r="Y11" s="2830"/>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28.25">
      <c r="A14" s="419" t="s">
        <v>2358</v>
      </c>
      <c r="B14" s="26" t="s">
        <v>2502</v>
      </c>
      <c r="C14" s="2476" t="str">
        <f>IF(B1="工业",估价对象房地状况!G4,估价对象房地状况!C6)</f>
        <v>临近城市支路——府右街，紧邻言志胡同，周边有14路、68路等多条公交线路及地铁1、4号线换乘站（西单站），交通状况较好。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07" t="s">
        <v>2359</v>
      </c>
      <c r="Q14" s="1896" t="str">
        <f t="shared" si="6"/>
        <v>交通便捷度</v>
      </c>
      <c r="R14" s="753" t="s">
        <v>25</v>
      </c>
      <c r="S14" s="754">
        <f t="shared" si="0"/>
        <v>100</v>
      </c>
      <c r="T14" s="753" t="s">
        <v>25</v>
      </c>
      <c r="U14" s="754">
        <f t="shared" si="1"/>
        <v>100</v>
      </c>
      <c r="V14" s="753" t="s">
        <v>25</v>
      </c>
      <c r="W14" s="754">
        <f t="shared" si="2"/>
        <v>100</v>
      </c>
      <c r="X14" s="1897"/>
      <c r="Y14" s="3007" t="s">
        <v>2359</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2"/>
      <c r="M15" s="1243"/>
      <c r="N15" s="1243"/>
      <c r="O15" s="1251"/>
      <c r="P15" s="3008"/>
      <c r="Q15" s="1896"/>
      <c r="R15" s="753"/>
      <c r="S15" s="754"/>
      <c r="T15" s="753"/>
      <c r="U15" s="754"/>
      <c r="V15" s="753"/>
      <c r="W15" s="754"/>
      <c r="X15" s="1897"/>
      <c r="Y15" s="3008"/>
      <c r="Z15" s="1899"/>
      <c r="AA15" s="1900">
        <v>1</v>
      </c>
      <c r="AB15" s="1900">
        <v>1</v>
      </c>
      <c r="AC15" s="1900">
        <v>1</v>
      </c>
    </row>
    <row r="16" spans="1:29" ht="270.75">
      <c r="A16" s="408"/>
      <c r="B16" s="615" t="s">
        <v>2474</v>
      </c>
      <c r="C16" s="2403" t="str">
        <f>IF(B1="工业",估价对象房地状况!G5,估价对象房地状况!C7)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8"/>
      <c r="Q16" s="1896" t="str">
        <f>B16</f>
        <v>公共配套设施</v>
      </c>
      <c r="R16" s="753" t="s">
        <v>25</v>
      </c>
      <c r="S16" s="754">
        <f>F16</f>
        <v>100</v>
      </c>
      <c r="T16" s="753" t="s">
        <v>25</v>
      </c>
      <c r="U16" s="754">
        <f>H16</f>
        <v>100</v>
      </c>
      <c r="V16" s="753" t="s">
        <v>25</v>
      </c>
      <c r="W16" s="754">
        <f>J16</f>
        <v>100</v>
      </c>
      <c r="X16" s="1897"/>
      <c r="Y16" s="3008"/>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2"/>
      <c r="M17" s="1243"/>
      <c r="N17" s="1243"/>
      <c r="O17" s="1251"/>
      <c r="P17" s="3008"/>
      <c r="Q17" s="1896"/>
      <c r="R17" s="753"/>
      <c r="S17" s="754"/>
      <c r="T17" s="753"/>
      <c r="U17" s="754"/>
      <c r="V17" s="753"/>
      <c r="W17" s="754"/>
      <c r="X17" s="1897"/>
      <c r="Y17" s="3008"/>
      <c r="Z17" s="1899"/>
      <c r="AA17" s="1900">
        <v>1</v>
      </c>
      <c r="AB17" s="1900">
        <v>1</v>
      </c>
      <c r="AC17" s="1900">
        <v>1</v>
      </c>
    </row>
    <row r="18" spans="1:29" ht="15">
      <c r="A18" s="408"/>
      <c r="B18" s="617" t="s">
        <v>2475</v>
      </c>
      <c r="C18" s="2403" t="str">
        <f>IF(B1="工业",估价对象房地状况!G6,估价对象房地状况!C8)</f>
        <v>五通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8"/>
      <c r="Q18" s="1896" t="str">
        <f>B18</f>
        <v>基础设施水平</v>
      </c>
      <c r="R18" s="753" t="s">
        <v>25</v>
      </c>
      <c r="S18" s="754">
        <f>F18</f>
        <v>100</v>
      </c>
      <c r="T18" s="753" t="s">
        <v>25</v>
      </c>
      <c r="U18" s="754">
        <f>H18</f>
        <v>100</v>
      </c>
      <c r="V18" s="753" t="s">
        <v>25</v>
      </c>
      <c r="W18" s="754">
        <f>J18</f>
        <v>100</v>
      </c>
      <c r="X18" s="1897"/>
      <c r="Y18" s="3008"/>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8"/>
      <c r="L19" s="1252"/>
      <c r="M19" s="1243"/>
      <c r="N19" s="1243"/>
      <c r="O19" s="1251"/>
      <c r="P19" s="3008"/>
      <c r="Q19" s="1896"/>
      <c r="R19" s="753"/>
      <c r="S19" s="754"/>
      <c r="T19" s="753"/>
      <c r="U19" s="754"/>
      <c r="V19" s="753"/>
      <c r="W19" s="754"/>
      <c r="X19" s="1897"/>
      <c r="Y19" s="3008"/>
      <c r="Z19" s="1899"/>
      <c r="AA19" s="1900">
        <v>1</v>
      </c>
      <c r="AB19" s="1900">
        <v>1</v>
      </c>
      <c r="AC19" s="1900">
        <v>1</v>
      </c>
    </row>
    <row r="20" spans="1:29" ht="99.75">
      <c r="A20" s="408"/>
      <c r="B20" s="431" t="s">
        <v>2503</v>
      </c>
      <c r="C20" s="2403" t="str">
        <f>IF(B1="工业",估价对象房地状况!G7,估价对象房地状况!C9)</f>
        <v>区域自然环境：中南海、南海、护城河；人文环境：国家大剧院、北京图书大厦；综合评价环境状况较好。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8"/>
      <c r="Q20" s="1896" t="str">
        <f>B20</f>
        <v>自然及人文环境</v>
      </c>
      <c r="R20" s="753" t="s">
        <v>25</v>
      </c>
      <c r="S20" s="754">
        <f>F20</f>
        <v>100</v>
      </c>
      <c r="T20" s="753" t="s">
        <v>25</v>
      </c>
      <c r="U20" s="754">
        <f>H20</f>
        <v>100</v>
      </c>
      <c r="V20" s="753" t="s">
        <v>25</v>
      </c>
      <c r="W20" s="754">
        <f>J20</f>
        <v>100</v>
      </c>
      <c r="X20" s="1897"/>
      <c r="Y20" s="3008"/>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2"/>
      <c r="M21" s="1243"/>
      <c r="N21" s="1243"/>
      <c r="O21" s="1251"/>
      <c r="P21" s="3008"/>
      <c r="Q21" s="1896"/>
      <c r="R21" s="753"/>
      <c r="S21" s="754"/>
      <c r="T21" s="753"/>
      <c r="U21" s="754"/>
      <c r="V21" s="753"/>
      <c r="W21" s="754"/>
      <c r="X21" s="1897"/>
      <c r="Y21" s="3008"/>
      <c r="Z21" s="1899"/>
      <c r="AA21" s="1900">
        <v>1</v>
      </c>
      <c r="AB21" s="1900">
        <v>1</v>
      </c>
      <c r="AC21" s="1900">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8"/>
      <c r="Q22" s="1896" t="str">
        <f>B22</f>
        <v>楼层</v>
      </c>
      <c r="R22" s="753" t="s">
        <v>25</v>
      </c>
      <c r="S22" s="754">
        <f>F22</f>
        <v>100</v>
      </c>
      <c r="T22" s="753" t="s">
        <v>25</v>
      </c>
      <c r="U22" s="754">
        <f>H22</f>
        <v>100</v>
      </c>
      <c r="V22" s="753" t="s">
        <v>25</v>
      </c>
      <c r="W22" s="754">
        <f>J22</f>
        <v>100</v>
      </c>
      <c r="X22" s="1897"/>
      <c r="Y22" s="3008"/>
      <c r="Z22" s="1899" t="str">
        <f>Q22</f>
        <v>楼层</v>
      </c>
      <c r="AA22" s="1900">
        <f t="shared" si="3"/>
        <v>1</v>
      </c>
      <c r="AB22" s="1900">
        <f t="shared" si="4"/>
        <v>1</v>
      </c>
      <c r="AC22" s="1900">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8"/>
      <c r="Q23" s="1896">
        <f>B23</f>
        <v>111</v>
      </c>
      <c r="R23" s="753" t="s">
        <v>25</v>
      </c>
      <c r="S23" s="754">
        <f>F23</f>
        <v>100</v>
      </c>
      <c r="T23" s="753" t="s">
        <v>25</v>
      </c>
      <c r="U23" s="754">
        <f>H23</f>
        <v>100</v>
      </c>
      <c r="V23" s="753" t="s">
        <v>25</v>
      </c>
      <c r="W23" s="754">
        <f>J23</f>
        <v>100</v>
      </c>
      <c r="X23" s="1897"/>
      <c r="Y23" s="3008"/>
      <c r="Z23" s="1899">
        <f>Q23</f>
        <v>111</v>
      </c>
      <c r="AA23" s="1900">
        <f t="shared" si="3"/>
        <v>1</v>
      </c>
      <c r="AB23" s="1900">
        <f t="shared" si="4"/>
        <v>1</v>
      </c>
      <c r="AC23" s="1900">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8"/>
      <c r="Q24" s="1896">
        <f t="shared" ref="Q24:Q34" si="11">B24</f>
        <v>111</v>
      </c>
      <c r="R24" s="753" t="s">
        <v>25</v>
      </c>
      <c r="S24" s="754">
        <f>F24</f>
        <v>100</v>
      </c>
      <c r="T24" s="753" t="s">
        <v>25</v>
      </c>
      <c r="U24" s="754">
        <f>H24</f>
        <v>100</v>
      </c>
      <c r="V24" s="753" t="s">
        <v>25</v>
      </c>
      <c r="W24" s="754">
        <f>J24</f>
        <v>100</v>
      </c>
      <c r="X24" s="1897"/>
      <c r="Y24" s="3008"/>
      <c r="Z24" s="1899">
        <f>Q24</f>
        <v>111</v>
      </c>
      <c r="AA24" s="1900">
        <f t="shared" si="3"/>
        <v>1</v>
      </c>
      <c r="AB24" s="1900">
        <f t="shared" si="4"/>
        <v>1</v>
      </c>
      <c r="AC24" s="1900">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4"/>
      <c r="M25" s="1245"/>
      <c r="N25" s="1245"/>
      <c r="O25" s="1246"/>
      <c r="P25" s="3008"/>
      <c r="Q25" s="1884">
        <f t="shared" si="11"/>
        <v>111</v>
      </c>
      <c r="R25" s="749" t="s">
        <v>25</v>
      </c>
      <c r="S25" s="750">
        <f>F25</f>
        <v>100</v>
      </c>
      <c r="T25" s="749" t="s">
        <v>25</v>
      </c>
      <c r="U25" s="750">
        <f>H25</f>
        <v>100</v>
      </c>
      <c r="V25" s="749" t="s">
        <v>25</v>
      </c>
      <c r="W25" s="750">
        <f>J25</f>
        <v>100</v>
      </c>
      <c r="X25" s="751"/>
      <c r="Y25" s="3008"/>
      <c r="Z25" s="23">
        <f>Q25</f>
        <v>111</v>
      </c>
      <c r="AA25" s="1900">
        <f>D25/F25</f>
        <v>1</v>
      </c>
      <c r="AB25" s="1900">
        <f>D25/H25</f>
        <v>1</v>
      </c>
      <c r="AC25" s="1900">
        <f>D25/J25</f>
        <v>1</v>
      </c>
    </row>
    <row r="26" spans="1:29" ht="28.5">
      <c r="A26" s="447" t="s">
        <v>2363</v>
      </c>
      <c r="B26" s="28" t="s">
        <v>2507</v>
      </c>
      <c r="C26" s="2470"/>
      <c r="D26" s="448">
        <v>100</v>
      </c>
      <c r="E26" s="2470"/>
      <c r="F26" s="650">
        <f>SUMIF(77:77,E26,78:78)-SUMIF(77:77,C26,78:78)+100</f>
        <v>100</v>
      </c>
      <c r="G26" s="2470"/>
      <c r="H26" s="448">
        <f>SUMIF(77:77,G26,78:78)-SUMIF(77:77,C26,78:78)+100</f>
        <v>100</v>
      </c>
      <c r="I26" s="2470"/>
      <c r="J26" s="448">
        <f>SUMIF(77:77,I26,78:78)-SUMIF(77:77,C26,78:78)+100</f>
        <v>100</v>
      </c>
      <c r="K26" s="596"/>
      <c r="L26" s="1252"/>
      <c r="M26" s="1243"/>
      <c r="N26" s="1243"/>
      <c r="O26" s="1251"/>
      <c r="P26" s="3053" t="s">
        <v>2365</v>
      </c>
      <c r="Q26" s="1896" t="str">
        <f t="shared" si="11"/>
        <v>公共部分装修</v>
      </c>
      <c r="R26" s="753" t="s">
        <v>25</v>
      </c>
      <c r="S26" s="754">
        <f t="shared" ref="S26:S34" si="12">F26</f>
        <v>100</v>
      </c>
      <c r="T26" s="753" t="s">
        <v>25</v>
      </c>
      <c r="U26" s="754">
        <f t="shared" ref="U26:U34" si="13">H26</f>
        <v>100</v>
      </c>
      <c r="V26" s="753" t="s">
        <v>25</v>
      </c>
      <c r="W26" s="754">
        <f t="shared" ref="W26:W34" si="14">J26</f>
        <v>100</v>
      </c>
      <c r="X26" s="1897"/>
      <c r="Y26" s="3012" t="s">
        <v>2365</v>
      </c>
      <c r="Z26" s="1899" t="str">
        <f t="shared" ref="Z26:Z34" si="15">Q26</f>
        <v>公共部分装修</v>
      </c>
      <c r="AA26" s="1900">
        <f t="shared" si="3"/>
        <v>1</v>
      </c>
      <c r="AB26" s="1900">
        <f t="shared" si="4"/>
        <v>1</v>
      </c>
      <c r="AC26" s="1900">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12"/>
      <c r="Q27" s="755" t="str">
        <f t="shared" si="11"/>
        <v>成新率</v>
      </c>
      <c r="R27" s="756" t="s">
        <v>25</v>
      </c>
      <c r="S27" s="757" t="e">
        <f t="shared" si="12"/>
        <v>#N/A</v>
      </c>
      <c r="T27" s="756" t="s">
        <v>25</v>
      </c>
      <c r="U27" s="757" t="e">
        <f t="shared" si="13"/>
        <v>#N/A</v>
      </c>
      <c r="V27" s="756" t="s">
        <v>25</v>
      </c>
      <c r="W27" s="757" t="e">
        <f t="shared" si="14"/>
        <v>#N/A</v>
      </c>
      <c r="X27" s="758"/>
      <c r="Y27" s="3012"/>
      <c r="Z27" s="759" t="str">
        <f t="shared" si="15"/>
        <v>成新率</v>
      </c>
      <c r="AA27" s="1900" t="e">
        <f t="shared" si="3"/>
        <v>#N/A</v>
      </c>
      <c r="AB27" s="1900" t="e">
        <f t="shared" si="4"/>
        <v>#N/A</v>
      </c>
      <c r="AC27" s="1900"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12"/>
      <c r="Q28" s="1896" t="str">
        <f t="shared" si="11"/>
        <v>物业等级</v>
      </c>
      <c r="R28" s="753" t="s">
        <v>25</v>
      </c>
      <c r="S28" s="754">
        <f t="shared" si="12"/>
        <v>100</v>
      </c>
      <c r="T28" s="753" t="s">
        <v>25</v>
      </c>
      <c r="U28" s="754">
        <f t="shared" si="13"/>
        <v>100</v>
      </c>
      <c r="V28" s="753" t="s">
        <v>25</v>
      </c>
      <c r="W28" s="754">
        <f t="shared" si="14"/>
        <v>100</v>
      </c>
      <c r="X28" s="1897"/>
      <c r="Y28" s="3012"/>
      <c r="Z28" s="1899" t="str">
        <f t="shared" si="15"/>
        <v>物业等级</v>
      </c>
      <c r="AA28" s="1900">
        <f t="shared" si="3"/>
        <v>1</v>
      </c>
      <c r="AB28" s="1900">
        <f t="shared" si="4"/>
        <v>1</v>
      </c>
      <c r="AC28" s="1900">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12"/>
      <c r="Q29" s="1896" t="str">
        <f t="shared" si="11"/>
        <v>有无电梯</v>
      </c>
      <c r="R29" s="753" t="s">
        <v>25</v>
      </c>
      <c r="S29" s="754">
        <f t="shared" si="12"/>
        <v>100</v>
      </c>
      <c r="T29" s="753" t="s">
        <v>25</v>
      </c>
      <c r="U29" s="754">
        <f t="shared" si="13"/>
        <v>100</v>
      </c>
      <c r="V29" s="753" t="s">
        <v>25</v>
      </c>
      <c r="W29" s="754">
        <f t="shared" si="14"/>
        <v>100</v>
      </c>
      <c r="X29" s="1897"/>
      <c r="Y29" s="3012"/>
      <c r="Z29" s="1899" t="str">
        <f t="shared" si="15"/>
        <v>有无电梯</v>
      </c>
      <c r="AA29" s="1900">
        <f t="shared" si="3"/>
        <v>1</v>
      </c>
      <c r="AB29" s="1900">
        <f t="shared" si="4"/>
        <v>1</v>
      </c>
      <c r="AC29" s="1900">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12"/>
      <c r="Q30" s="1896" t="str">
        <f t="shared" si="11"/>
        <v>建筑面积</v>
      </c>
      <c r="R30" s="753" t="s">
        <v>25</v>
      </c>
      <c r="S30" s="754" t="e">
        <f t="shared" si="12"/>
        <v>#N/A</v>
      </c>
      <c r="T30" s="753" t="s">
        <v>25</v>
      </c>
      <c r="U30" s="754" t="e">
        <f t="shared" si="13"/>
        <v>#N/A</v>
      </c>
      <c r="V30" s="753" t="s">
        <v>25</v>
      </c>
      <c r="W30" s="754" t="e">
        <f t="shared" si="14"/>
        <v>#N/A</v>
      </c>
      <c r="X30" s="1897"/>
      <c r="Y30" s="3012"/>
      <c r="Z30" s="1899" t="str">
        <f t="shared" si="15"/>
        <v>建筑面积</v>
      </c>
      <c r="AA30" s="1900" t="e">
        <f t="shared" si="3"/>
        <v>#N/A</v>
      </c>
      <c r="AB30" s="1900" t="e">
        <f t="shared" si="4"/>
        <v>#N/A</v>
      </c>
      <c r="AC30" s="1900"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12"/>
      <c r="Q31" s="1884" t="str">
        <f t="shared" si="11"/>
        <v>是否封闭</v>
      </c>
      <c r="R31" s="749" t="s">
        <v>25</v>
      </c>
      <c r="S31" s="750">
        <f t="shared" si="12"/>
        <v>100</v>
      </c>
      <c r="T31" s="749" t="s">
        <v>25</v>
      </c>
      <c r="U31" s="750">
        <f t="shared" si="13"/>
        <v>100</v>
      </c>
      <c r="V31" s="749" t="s">
        <v>25</v>
      </c>
      <c r="W31" s="750">
        <f t="shared" si="14"/>
        <v>100</v>
      </c>
      <c r="X31" s="751"/>
      <c r="Y31" s="3012"/>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12" t="s">
        <v>2365</v>
      </c>
      <c r="Q32" s="1896">
        <f t="shared" si="11"/>
        <v>111</v>
      </c>
      <c r="R32" s="753" t="s">
        <v>25</v>
      </c>
      <c r="S32" s="754">
        <f t="shared" si="12"/>
        <v>100</v>
      </c>
      <c r="T32" s="753" t="s">
        <v>25</v>
      </c>
      <c r="U32" s="754">
        <f t="shared" si="13"/>
        <v>100</v>
      </c>
      <c r="V32" s="753" t="s">
        <v>25</v>
      </c>
      <c r="W32" s="754">
        <f t="shared" si="14"/>
        <v>100</v>
      </c>
      <c r="X32" s="1897"/>
      <c r="Y32" s="3012" t="s">
        <v>2365</v>
      </c>
      <c r="Z32" s="1899">
        <f t="shared" si="15"/>
        <v>111</v>
      </c>
      <c r="AA32" s="1900">
        <f t="shared" si="3"/>
        <v>1</v>
      </c>
      <c r="AB32" s="1900">
        <f t="shared" si="4"/>
        <v>1</v>
      </c>
      <c r="AC32" s="1900">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12"/>
      <c r="Q33" s="1896">
        <f t="shared" si="11"/>
        <v>111</v>
      </c>
      <c r="R33" s="753" t="s">
        <v>25</v>
      </c>
      <c r="S33" s="754">
        <f t="shared" si="12"/>
        <v>100</v>
      </c>
      <c r="T33" s="753" t="s">
        <v>25</v>
      </c>
      <c r="U33" s="754">
        <f t="shared" si="13"/>
        <v>100</v>
      </c>
      <c r="V33" s="753" t="s">
        <v>25</v>
      </c>
      <c r="W33" s="754">
        <f t="shared" si="14"/>
        <v>100</v>
      </c>
      <c r="X33" s="1897"/>
      <c r="Y33" s="3012"/>
      <c r="Z33" s="1899">
        <f t="shared" si="15"/>
        <v>111</v>
      </c>
      <c r="AA33" s="1900">
        <f t="shared" si="3"/>
        <v>1</v>
      </c>
      <c r="AB33" s="1900">
        <f t="shared" si="4"/>
        <v>1</v>
      </c>
      <c r="AC33" s="1900">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2"/>
      <c r="M34" s="1243"/>
      <c r="N34" s="1243"/>
      <c r="O34" s="1251"/>
      <c r="P34" s="3012"/>
      <c r="Q34" s="1896">
        <f t="shared" si="11"/>
        <v>111</v>
      </c>
      <c r="R34" s="753" t="s">
        <v>25</v>
      </c>
      <c r="S34" s="754">
        <f t="shared" si="12"/>
        <v>100</v>
      </c>
      <c r="T34" s="753" t="s">
        <v>25</v>
      </c>
      <c r="U34" s="754">
        <f t="shared" si="13"/>
        <v>100</v>
      </c>
      <c r="V34" s="753" t="s">
        <v>25</v>
      </c>
      <c r="W34" s="754">
        <f t="shared" si="14"/>
        <v>100</v>
      </c>
      <c r="X34" s="1897"/>
      <c r="Y34" s="3012"/>
      <c r="Z34" s="1899">
        <f t="shared" si="15"/>
        <v>111</v>
      </c>
      <c r="AA34" s="1900">
        <f t="shared" si="3"/>
        <v>1</v>
      </c>
      <c r="AB34" s="1900">
        <f t="shared" si="4"/>
        <v>1</v>
      </c>
      <c r="AC34" s="1900">
        <f t="shared" si="5"/>
        <v>1</v>
      </c>
    </row>
    <row r="35" spans="1:29" ht="15">
      <c r="A35" s="460" t="s">
        <v>2377</v>
      </c>
      <c r="B35" s="461"/>
      <c r="C35" s="1501" t="s">
        <v>1</v>
      </c>
      <c r="D35" s="1502"/>
      <c r="E35" s="1503"/>
      <c r="F35" s="1504"/>
      <c r="G35" s="1505"/>
      <c r="H35" s="1506"/>
      <c r="I35" s="1503"/>
      <c r="J35" s="1506"/>
      <c r="K35" s="762"/>
      <c r="L35" s="1255"/>
      <c r="M35" s="1256"/>
      <c r="N35" s="1243"/>
      <c r="O35" s="1256"/>
      <c r="P35" s="3004" t="str">
        <f>A35</f>
        <v>成交单价（元/平方米）</v>
      </c>
      <c r="Q35" s="3004"/>
      <c r="R35" s="3000">
        <f>E35</f>
        <v>0</v>
      </c>
      <c r="S35" s="3000"/>
      <c r="T35" s="3000">
        <f>G35</f>
        <v>0</v>
      </c>
      <c r="U35" s="3000"/>
      <c r="V35" s="3000">
        <f>I35</f>
        <v>0</v>
      </c>
      <c r="W35" s="3000"/>
      <c r="X35" s="738"/>
      <c r="Y35" s="760"/>
      <c r="Z35" s="738"/>
      <c r="AA35" s="738"/>
      <c r="AB35" s="738"/>
      <c r="AC35" s="738"/>
    </row>
    <row r="36" spans="1:29" ht="15.75" thickBot="1">
      <c r="A36" s="467" t="s">
        <v>2460</v>
      </c>
      <c r="B36" s="468"/>
      <c r="C36" s="1507" t="e">
        <f>R37</f>
        <v>#DIV/0!</v>
      </c>
      <c r="D36" s="1508"/>
      <c r="E36" s="1509" t="e">
        <f>R36</f>
        <v>#DIV/0!</v>
      </c>
      <c r="F36" s="1509"/>
      <c r="G36" s="1507" t="e">
        <f>T36</f>
        <v>#DIV/0!</v>
      </c>
      <c r="H36" s="1508"/>
      <c r="I36" s="1509" t="e">
        <f>V36</f>
        <v>#DIV/0!</v>
      </c>
      <c r="J36" s="1508"/>
      <c r="K36" s="763"/>
      <c r="L36" s="1255"/>
      <c r="M36" s="1256"/>
      <c r="N36" s="1243"/>
      <c r="O36" s="1256"/>
      <c r="P36" s="3004" t="str">
        <f>A36</f>
        <v>比较价值（元/平方米）</v>
      </c>
      <c r="Q36" s="3004"/>
      <c r="R36" s="3000" t="e">
        <f>IF(E1="售价",ROUND(PRODUCT(R35,AA7:AA34),0),ROUND(PRODUCT(R35,AA7:AA34),1))</f>
        <v>#DIV/0!</v>
      </c>
      <c r="S36" s="3000"/>
      <c r="T36" s="3000" t="e">
        <f>IF(E1="售价",ROUND(PRODUCT(T35,AB7:AB34),0),ROUND(PRODUCT(T35,AB7:AB34),1))</f>
        <v>#DIV/0!</v>
      </c>
      <c r="U36" s="3000"/>
      <c r="V36" s="3000" t="e">
        <f>IF(E1="售价",ROUND(PRODUCT(V35,AC7:AC34),0),ROUND(PRODUCT(V35,AC7:AC34),1))</f>
        <v>#DIV/0!</v>
      </c>
      <c r="W36" s="3000"/>
      <c r="X36" s="738"/>
      <c r="Y36" s="738"/>
      <c r="Z36" s="738"/>
      <c r="AA36" s="738"/>
      <c r="AB36" s="738"/>
      <c r="AC36" s="738"/>
    </row>
    <row r="37" spans="1:29" ht="15.75" thickBot="1">
      <c r="A37" s="473" t="s">
        <v>2483</v>
      </c>
      <c r="B37" s="474"/>
      <c r="C37" s="1511" t="e">
        <f>R37</f>
        <v>#DIV/0!</v>
      </c>
      <c r="D37" s="1511"/>
      <c r="E37" s="1511"/>
      <c r="F37" s="1511"/>
      <c r="G37" s="1511"/>
      <c r="H37" s="1511"/>
      <c r="I37" s="1511"/>
      <c r="J37" s="1511"/>
      <c r="K37" s="764"/>
      <c r="L37" s="1255"/>
      <c r="M37" s="1256"/>
      <c r="N37" s="1256"/>
      <c r="O37" s="1256"/>
      <c r="P37" s="3001" t="str">
        <f>A37</f>
        <v>估价对象XX用房的比较价值（楼面单价，元/平方米）</v>
      </c>
      <c r="Q37" s="3002"/>
      <c r="R37" s="3003" t="e">
        <f>IF(E1="售价",ROUND(AVERAGE(R36:V36),0),ROUND(AVERAGE(R36:V36),1))</f>
        <v>#DIV/0!</v>
      </c>
      <c r="S37" s="3003"/>
      <c r="T37" s="3003"/>
      <c r="U37" s="3003"/>
      <c r="V37" s="3003"/>
      <c r="W37" s="3003"/>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7" t="str">
        <f>YEAR(C7)&amp;"-"&amp;MONTH(C7)</f>
        <v>2018-12</v>
      </c>
      <c r="D46" s="1678">
        <f>EDATE(C46,-1)</f>
        <v>43405</v>
      </c>
      <c r="E46" s="1678">
        <f t="shared" ref="E46:O46" si="16">EDATE(D46,-1)</f>
        <v>43374</v>
      </c>
      <c r="F46" s="1678">
        <f t="shared" si="16"/>
        <v>43344</v>
      </c>
      <c r="G46" s="1678">
        <f t="shared" si="16"/>
        <v>43313</v>
      </c>
      <c r="H46" s="1678">
        <f t="shared" si="16"/>
        <v>43282</v>
      </c>
      <c r="I46" s="1678">
        <f t="shared" si="16"/>
        <v>43252</v>
      </c>
      <c r="J46" s="1678">
        <f t="shared" si="16"/>
        <v>43221</v>
      </c>
      <c r="K46" s="1678">
        <f t="shared" si="16"/>
        <v>43191</v>
      </c>
      <c r="L46" s="1678">
        <f t="shared" si="16"/>
        <v>43160</v>
      </c>
      <c r="M46" s="1678">
        <f t="shared" si="16"/>
        <v>43132</v>
      </c>
      <c r="N46" s="1678">
        <f t="shared" si="16"/>
        <v>43101</v>
      </c>
      <c r="O46" s="1678">
        <f t="shared" si="16"/>
        <v>43070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2388</v>
      </c>
      <c r="B51" s="509" t="s">
        <v>2353</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2522</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2363</v>
      </c>
      <c r="B77" s="509" t="s">
        <v>2416</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2526</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2533</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2535</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2538</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30"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30"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30" s="35" customFormat="1" ht="15.75" thickBot="1">
      <c r="A7" s="387" t="s">
        <v>2347</v>
      </c>
      <c r="B7" s="388"/>
      <c r="C7" s="389">
        <f>'数据-取费表'!B2</f>
        <v>43439</v>
      </c>
      <c r="D7" s="390">
        <v>100</v>
      </c>
      <c r="E7" s="391"/>
      <c r="F7" s="392">
        <f>SUMIF(70:70,YEAR(E7)&amp;"-"&amp;INT((MONTH(E7)+2)/3),71:71)</f>
        <v>0</v>
      </c>
      <c r="G7" s="2463"/>
      <c r="H7" s="390">
        <f>SUMIF(70:70,YEAR(G7)&amp;"-"&amp;INT((MONTH(G7)+2)/3),71:71)</f>
        <v>0</v>
      </c>
      <c r="I7" s="2463"/>
      <c r="J7" s="390">
        <f>SUMIF(70:70,YEAR(I7)&amp;"-"&amp;INT((MONTH(I7)+2)/3),71:71)</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5" si="3">D8/F8</f>
        <v>#DIV/0!</v>
      </c>
      <c r="AB8" s="752" t="e">
        <f t="shared" ref="AB8:AB45" si="4">D8/H8</f>
        <v>#DIV/0!</v>
      </c>
      <c r="AC8" s="752" t="e">
        <f t="shared" ref="AC8:AC45" si="5">D8/J8</f>
        <v>#DIV/0!</v>
      </c>
    </row>
    <row r="9" spans="1:30" s="35" customFormat="1">
      <c r="A9" s="395" t="s">
        <v>2352</v>
      </c>
      <c r="B9" s="28" t="s">
        <v>2353</v>
      </c>
      <c r="C9" s="2481"/>
      <c r="D9" s="51">
        <v>100</v>
      </c>
      <c r="E9" s="2481"/>
      <c r="F9" s="51">
        <f>SUMIF(75:75,E9,76:76)-SUMIF(75:75,C9,76:76)+100</f>
        <v>100</v>
      </c>
      <c r="G9" s="2481"/>
      <c r="H9" s="51">
        <f>SUMIF(75:75,G9,76:76)-SUMIF(75:75,C9,76:76)+100</f>
        <v>100</v>
      </c>
      <c r="I9" s="2481"/>
      <c r="J9" s="51">
        <f>SUMIF(75:75,I9,76:76)-SUMIF(75:75,C9,76:76)+100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30" s="35" customFormat="1" ht="15">
      <c r="A12" s="411"/>
      <c r="B12" s="2396" t="s">
        <v>2541</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04"/>
      <c r="Q12" s="1884" t="str">
        <f t="shared" si="6"/>
        <v>配建</v>
      </c>
      <c r="R12" s="749" t="s">
        <v>25</v>
      </c>
      <c r="S12" s="750">
        <f t="shared" si="0"/>
        <v>100</v>
      </c>
      <c r="T12" s="749" t="s">
        <v>25</v>
      </c>
      <c r="U12" s="750">
        <f t="shared" si="1"/>
        <v>100</v>
      </c>
      <c r="V12" s="749" t="s">
        <v>25</v>
      </c>
      <c r="W12" s="750">
        <f t="shared" si="2"/>
        <v>100</v>
      </c>
      <c r="X12" s="751"/>
      <c r="Y12" s="2830"/>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D14/F14</f>
        <v>1</v>
      </c>
      <c r="AB14" s="752">
        <f>D14/H14</f>
        <v>1</v>
      </c>
      <c r="AC14" s="752">
        <f>D14/J14</f>
        <v>1</v>
      </c>
    </row>
    <row r="15" spans="1:30" ht="28.5">
      <c r="A15" s="380" t="s">
        <v>2358</v>
      </c>
      <c r="B15" s="1486" t="s">
        <v>1736</v>
      </c>
      <c r="C15" s="2464" t="str">
        <f>估价对象房地状况!C15</f>
        <v>周边有等居住社区成熟度较好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07" t="s">
        <v>2359</v>
      </c>
      <c r="Q15" s="1896" t="str">
        <f t="shared" si="6"/>
        <v>居住社区成熟度</v>
      </c>
      <c r="R15" s="753" t="s">
        <v>25</v>
      </c>
      <c r="S15" s="754">
        <f t="shared" si="0"/>
        <v>100</v>
      </c>
      <c r="T15" s="753" t="s">
        <v>25</v>
      </c>
      <c r="U15" s="754">
        <f t="shared" si="1"/>
        <v>100</v>
      </c>
      <c r="V15" s="753" t="s">
        <v>25</v>
      </c>
      <c r="W15" s="754">
        <f t="shared" si="2"/>
        <v>100</v>
      </c>
      <c r="X15" s="1897"/>
      <c r="Y15" s="3007" t="s">
        <v>2359</v>
      </c>
      <c r="Z15" s="1899" t="str">
        <f t="shared" si="7"/>
        <v>居住社区成熟度</v>
      </c>
      <c r="AA15" s="1900">
        <f t="shared" si="3"/>
        <v>1</v>
      </c>
      <c r="AB15" s="1900">
        <f t="shared" si="4"/>
        <v>1</v>
      </c>
      <c r="AC15" s="1900">
        <f t="shared" si="5"/>
        <v>1</v>
      </c>
    </row>
    <row r="16" spans="1:30" ht="15">
      <c r="A16" s="383"/>
      <c r="B16" s="1487"/>
      <c r="C16" s="1471"/>
      <c r="D16" s="427"/>
      <c r="E16" s="428"/>
      <c r="F16" s="427"/>
      <c r="G16" s="428"/>
      <c r="H16" s="430"/>
      <c r="I16" s="2401"/>
      <c r="J16" s="427"/>
      <c r="K16" s="655"/>
      <c r="L16" s="1252"/>
      <c r="M16" s="1243"/>
      <c r="N16" s="1243"/>
      <c r="O16" s="1251"/>
      <c r="P16" s="3008"/>
      <c r="Q16" s="1896"/>
      <c r="R16" s="753"/>
      <c r="S16" s="754"/>
      <c r="T16" s="753"/>
      <c r="U16" s="754"/>
      <c r="V16" s="753"/>
      <c r="W16" s="754"/>
      <c r="X16" s="1897"/>
      <c r="Y16" s="3008"/>
      <c r="Z16" s="1899"/>
      <c r="AA16" s="1900">
        <v>1</v>
      </c>
      <c r="AB16" s="1900">
        <v>1</v>
      </c>
      <c r="AC16" s="1900">
        <v>1</v>
      </c>
    </row>
    <row r="17" spans="1:29" ht="15">
      <c r="A17" s="383"/>
      <c r="B17" s="1488" t="s">
        <v>2444</v>
      </c>
      <c r="C17" s="2482">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8"/>
      <c r="Q17" s="1896" t="str">
        <f>B17</f>
        <v>商业繁华度</v>
      </c>
      <c r="R17" s="753" t="s">
        <v>25</v>
      </c>
      <c r="S17" s="754">
        <f>F17</f>
        <v>100</v>
      </c>
      <c r="T17" s="753" t="s">
        <v>25</v>
      </c>
      <c r="U17" s="754">
        <f>H17</f>
        <v>100</v>
      </c>
      <c r="V17" s="753" t="s">
        <v>25</v>
      </c>
      <c r="W17" s="754">
        <f>J17</f>
        <v>100</v>
      </c>
      <c r="X17" s="1897"/>
      <c r="Y17" s="3008"/>
      <c r="Z17" s="1899" t="str">
        <f>Q17</f>
        <v>商业繁华度</v>
      </c>
      <c r="AA17" s="1900">
        <f t="shared" si="3"/>
        <v>1</v>
      </c>
      <c r="AB17" s="1900">
        <f t="shared" si="4"/>
        <v>1</v>
      </c>
      <c r="AC17" s="1900">
        <f t="shared" si="5"/>
        <v>1</v>
      </c>
    </row>
    <row r="18" spans="1:29" ht="15">
      <c r="A18" s="383"/>
      <c r="B18" s="1489"/>
      <c r="C18" s="2466"/>
      <c r="D18" s="430"/>
      <c r="E18" s="1467"/>
      <c r="F18" s="430"/>
      <c r="G18" s="1467"/>
      <c r="H18" s="427"/>
      <c r="I18" s="2404"/>
      <c r="J18" s="427"/>
      <c r="K18" s="655"/>
      <c r="L18" s="1252"/>
      <c r="M18" s="1243"/>
      <c r="N18" s="1243"/>
      <c r="O18" s="1251"/>
      <c r="P18" s="3008"/>
      <c r="Q18" s="1896"/>
      <c r="R18" s="753"/>
      <c r="S18" s="754"/>
      <c r="T18" s="753"/>
      <c r="U18" s="754"/>
      <c r="V18" s="753"/>
      <c r="W18" s="754"/>
      <c r="X18" s="1897"/>
      <c r="Y18" s="3008"/>
      <c r="Z18" s="1899"/>
      <c r="AA18" s="1900">
        <v>1</v>
      </c>
      <c r="AB18" s="1900">
        <v>1</v>
      </c>
      <c r="AC18" s="1900">
        <v>1</v>
      </c>
    </row>
    <row r="19" spans="1:29" ht="71.25">
      <c r="A19" s="383"/>
      <c r="B19" s="1488" t="s">
        <v>2473</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8"/>
      <c r="Q19" s="1896" t="str">
        <f>B19</f>
        <v>办公集聚程度</v>
      </c>
      <c r="R19" s="753" t="s">
        <v>25</v>
      </c>
      <c r="S19" s="754">
        <f>F19</f>
        <v>100</v>
      </c>
      <c r="T19" s="753" t="s">
        <v>25</v>
      </c>
      <c r="U19" s="754">
        <f>H19</f>
        <v>100</v>
      </c>
      <c r="V19" s="753" t="s">
        <v>25</v>
      </c>
      <c r="W19" s="754">
        <f>J19</f>
        <v>100</v>
      </c>
      <c r="X19" s="1897"/>
      <c r="Y19" s="3008"/>
      <c r="Z19" s="1899" t="str">
        <f>Q19</f>
        <v>办公集聚程度</v>
      </c>
      <c r="AA19" s="1900">
        <f t="shared" si="3"/>
        <v>1</v>
      </c>
      <c r="AB19" s="1900">
        <f t="shared" si="4"/>
        <v>1</v>
      </c>
      <c r="AC19" s="1900">
        <f t="shared" si="5"/>
        <v>1</v>
      </c>
    </row>
    <row r="20" spans="1:29" ht="15">
      <c r="A20" s="383"/>
      <c r="B20" s="1489"/>
      <c r="C20" s="1471"/>
      <c r="D20" s="427"/>
      <c r="E20" s="428"/>
      <c r="F20" s="427"/>
      <c r="G20" s="428"/>
      <c r="H20" s="427"/>
      <c r="I20" s="2401"/>
      <c r="J20" s="427"/>
      <c r="K20" s="655"/>
      <c r="L20" s="1252"/>
      <c r="M20" s="1243"/>
      <c r="N20" s="1243"/>
      <c r="O20" s="1251"/>
      <c r="P20" s="3008"/>
      <c r="Q20" s="1896"/>
      <c r="R20" s="753"/>
      <c r="S20" s="754"/>
      <c r="T20" s="753"/>
      <c r="U20" s="754"/>
      <c r="V20" s="753"/>
      <c r="W20" s="754"/>
      <c r="X20" s="1897"/>
      <c r="Y20" s="3008"/>
      <c r="Z20" s="1899"/>
      <c r="AA20" s="1900">
        <v>1</v>
      </c>
      <c r="AB20" s="1900">
        <v>1</v>
      </c>
      <c r="AC20" s="1900">
        <v>1</v>
      </c>
    </row>
    <row r="21" spans="1:29" ht="128.25">
      <c r="A21" s="383"/>
      <c r="B21" s="1488" t="s">
        <v>2502</v>
      </c>
      <c r="C21" s="2465" t="str">
        <f>估价对象房地状况!C18</f>
        <v>临近城市支路——府右街，紧邻言志胡同，周边有14路、68路等多条公交线路及地铁1、4号线换乘站（西单站），交通状况较好。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8"/>
      <c r="Q21" s="1896" t="str">
        <f>B21</f>
        <v>交通便捷度</v>
      </c>
      <c r="R21" s="753" t="s">
        <v>25</v>
      </c>
      <c r="S21" s="754">
        <f>F21</f>
        <v>100</v>
      </c>
      <c r="T21" s="753" t="s">
        <v>25</v>
      </c>
      <c r="U21" s="754">
        <f>H21</f>
        <v>100</v>
      </c>
      <c r="V21" s="753" t="s">
        <v>25</v>
      </c>
      <c r="W21" s="754">
        <f>J21</f>
        <v>100</v>
      </c>
      <c r="X21" s="1897"/>
      <c r="Y21" s="3008"/>
      <c r="Z21" s="1899" t="str">
        <f>Q21</f>
        <v>交通便捷度</v>
      </c>
      <c r="AA21" s="1900">
        <f t="shared" si="3"/>
        <v>1</v>
      </c>
      <c r="AB21" s="1900">
        <f t="shared" si="4"/>
        <v>1</v>
      </c>
      <c r="AC21" s="1900">
        <f t="shared" si="5"/>
        <v>1</v>
      </c>
    </row>
    <row r="22" spans="1:29" ht="15">
      <c r="A22" s="383"/>
      <c r="B22" s="1490"/>
      <c r="C22" s="1471"/>
      <c r="D22" s="430"/>
      <c r="E22" s="428"/>
      <c r="F22" s="427"/>
      <c r="G22" s="428"/>
      <c r="H22" s="427"/>
      <c r="I22" s="2401"/>
      <c r="J22" s="427"/>
      <c r="K22" s="655"/>
      <c r="L22" s="1252"/>
      <c r="M22" s="1243"/>
      <c r="N22" s="1243"/>
      <c r="O22" s="1251"/>
      <c r="P22" s="3008"/>
      <c r="Q22" s="1896"/>
      <c r="R22" s="753"/>
      <c r="S22" s="754"/>
      <c r="T22" s="753"/>
      <c r="U22" s="754"/>
      <c r="V22" s="753"/>
      <c r="W22" s="754"/>
      <c r="X22" s="1897"/>
      <c r="Y22" s="3008"/>
      <c r="Z22" s="1899"/>
      <c r="AA22" s="1900">
        <v>1</v>
      </c>
      <c r="AB22" s="1900">
        <v>1</v>
      </c>
      <c r="AC22" s="1900">
        <v>1</v>
      </c>
    </row>
    <row r="23" spans="1:29" ht="15">
      <c r="A23" s="383"/>
      <c r="B23" s="1491" t="s">
        <v>2542</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8"/>
      <c r="Q23" s="1896" t="str">
        <f t="shared" ref="Q23:Q37" si="8">B23</f>
        <v>区域土地利用方向</v>
      </c>
      <c r="R23" s="753" t="s">
        <v>25</v>
      </c>
      <c r="S23" s="754">
        <f>F23</f>
        <v>100</v>
      </c>
      <c r="T23" s="753" t="s">
        <v>25</v>
      </c>
      <c r="U23" s="754">
        <f>H23</f>
        <v>100</v>
      </c>
      <c r="V23" s="753" t="s">
        <v>25</v>
      </c>
      <c r="W23" s="754">
        <f>J23</f>
        <v>100</v>
      </c>
      <c r="X23" s="1897"/>
      <c r="Y23" s="3008"/>
      <c r="Z23" s="1899" t="str">
        <f>Q23</f>
        <v>区域土地利用方向</v>
      </c>
      <c r="AA23" s="1900">
        <f t="shared" si="3"/>
        <v>1</v>
      </c>
      <c r="AB23" s="1900">
        <f t="shared" si="4"/>
        <v>1</v>
      </c>
      <c r="AC23" s="1900">
        <f t="shared" si="5"/>
        <v>1</v>
      </c>
    </row>
    <row r="24" spans="1:29" ht="15">
      <c r="A24" s="383"/>
      <c r="B24" s="1492"/>
      <c r="C24" s="618"/>
      <c r="D24" s="427"/>
      <c r="E24" s="428"/>
      <c r="F24" s="427"/>
      <c r="G24" s="2401"/>
      <c r="H24" s="427"/>
      <c r="I24" s="2401"/>
      <c r="J24" s="427"/>
      <c r="K24" s="804"/>
      <c r="L24" s="1252"/>
      <c r="M24" s="1243"/>
      <c r="N24" s="1243"/>
      <c r="O24" s="1251"/>
      <c r="P24" s="3008"/>
      <c r="Q24" s="1896"/>
      <c r="R24" s="753"/>
      <c r="S24" s="754"/>
      <c r="T24" s="753"/>
      <c r="U24" s="754"/>
      <c r="V24" s="753"/>
      <c r="W24" s="754"/>
      <c r="X24" s="1897"/>
      <c r="Y24" s="3008"/>
      <c r="Z24" s="1899"/>
      <c r="AA24" s="1900"/>
      <c r="AB24" s="1900"/>
      <c r="AC24" s="1900"/>
    </row>
    <row r="25" spans="1:29" ht="99.75">
      <c r="A25" s="383"/>
      <c r="B25" s="1490" t="s">
        <v>2543</v>
      </c>
      <c r="C25" s="2482" t="str">
        <f>估价对象房地状况!C20</f>
        <v>区域自然环境：中南海、南海、护城河；人文环境：国家大剧院、北京图书大厦；综合评价环境状况较好。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8"/>
      <c r="Q25" s="1896" t="str">
        <f t="shared" si="8"/>
        <v>自然及人文环境状况</v>
      </c>
      <c r="R25" s="753" t="s">
        <v>25</v>
      </c>
      <c r="S25" s="754">
        <f>F25</f>
        <v>100</v>
      </c>
      <c r="T25" s="753" t="s">
        <v>25</v>
      </c>
      <c r="U25" s="754">
        <f>H25</f>
        <v>100</v>
      </c>
      <c r="V25" s="753" t="s">
        <v>25</v>
      </c>
      <c r="W25" s="754">
        <f>J25</f>
        <v>100</v>
      </c>
      <c r="X25" s="1897"/>
      <c r="Y25" s="3008"/>
      <c r="Z25" s="1899" t="str">
        <f>Q25</f>
        <v>自然及人文环境状况</v>
      </c>
      <c r="AA25" s="1900">
        <f t="shared" si="3"/>
        <v>1</v>
      </c>
      <c r="AB25" s="1900">
        <f t="shared" si="4"/>
        <v>1</v>
      </c>
      <c r="AC25" s="1900">
        <f t="shared" si="5"/>
        <v>1</v>
      </c>
    </row>
    <row r="26" spans="1:29" ht="15">
      <c r="A26" s="383"/>
      <c r="B26" s="1489"/>
      <c r="C26" s="1471"/>
      <c r="D26" s="427"/>
      <c r="E26" s="1471"/>
      <c r="F26" s="427"/>
      <c r="G26" s="1471"/>
      <c r="H26" s="427"/>
      <c r="I26" s="426"/>
      <c r="J26" s="427"/>
      <c r="K26" s="655"/>
      <c r="L26" s="1252"/>
      <c r="M26" s="1243"/>
      <c r="N26" s="1243"/>
      <c r="O26" s="1251"/>
      <c r="P26" s="3008"/>
      <c r="Q26" s="1896"/>
      <c r="R26" s="753"/>
      <c r="S26" s="754"/>
      <c r="T26" s="753"/>
      <c r="U26" s="754"/>
      <c r="V26" s="753"/>
      <c r="W26" s="754"/>
      <c r="X26" s="1897"/>
      <c r="Y26" s="3008"/>
      <c r="Z26" s="1899"/>
      <c r="AA26" s="1900">
        <v>1</v>
      </c>
      <c r="AB26" s="1900">
        <v>1</v>
      </c>
      <c r="AC26" s="1900">
        <v>1</v>
      </c>
    </row>
    <row r="27" spans="1:29" ht="270.75">
      <c r="A27" s="383"/>
      <c r="B27" s="1490" t="s">
        <v>2445</v>
      </c>
      <c r="C27" s="2465"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08"/>
      <c r="Q27" s="1884" t="str">
        <f t="shared" ref="Q27" si="9">B27</f>
        <v>公共配套设施</v>
      </c>
      <c r="R27" s="749" t="s">
        <v>25</v>
      </c>
      <c r="S27" s="750">
        <f>F27</f>
        <v>100</v>
      </c>
      <c r="T27" s="749" t="s">
        <v>25</v>
      </c>
      <c r="U27" s="750">
        <f>H27</f>
        <v>100</v>
      </c>
      <c r="V27" s="749" t="s">
        <v>25</v>
      </c>
      <c r="W27" s="750">
        <f>J27</f>
        <v>100</v>
      </c>
      <c r="X27" s="1897"/>
      <c r="Y27" s="3008"/>
      <c r="Z27" s="23" t="str">
        <f>Q27</f>
        <v>公共配套设施</v>
      </c>
      <c r="AA27" s="1900">
        <f>D27/F27</f>
        <v>1</v>
      </c>
      <c r="AB27" s="1900">
        <f>D27/H27</f>
        <v>1</v>
      </c>
      <c r="AC27" s="1900">
        <f>D27/J27</f>
        <v>1</v>
      </c>
    </row>
    <row r="28" spans="1:29" ht="15">
      <c r="A28" s="383"/>
      <c r="B28" s="1489"/>
      <c r="C28" s="2484"/>
      <c r="D28" s="427"/>
      <c r="E28" s="2484"/>
      <c r="F28" s="427"/>
      <c r="G28" s="2484"/>
      <c r="H28" s="427"/>
      <c r="I28" s="2484"/>
      <c r="J28" s="427"/>
      <c r="K28" s="655"/>
      <c r="L28" s="1252"/>
      <c r="M28" s="1243"/>
      <c r="N28" s="1243"/>
      <c r="O28" s="1251"/>
      <c r="P28" s="3008"/>
      <c r="Q28" s="1896"/>
      <c r="R28" s="753"/>
      <c r="S28" s="754"/>
      <c r="T28" s="753"/>
      <c r="U28" s="754"/>
      <c r="V28" s="753"/>
      <c r="W28" s="754"/>
      <c r="X28" s="1897"/>
      <c r="Y28" s="3008"/>
      <c r="Z28" s="23"/>
      <c r="AA28" s="1900">
        <v>1</v>
      </c>
      <c r="AB28" s="1900">
        <v>1</v>
      </c>
      <c r="AC28" s="1900">
        <v>1</v>
      </c>
    </row>
    <row r="29" spans="1:29" s="35" customFormat="1" ht="15">
      <c r="A29" s="633"/>
      <c r="B29" s="1490" t="s">
        <v>2446</v>
      </c>
      <c r="C29" s="2485" t="str">
        <f>估价对象房地状况!C22</f>
        <v>五通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08"/>
      <c r="Q29" s="1884" t="str">
        <f t="shared" si="8"/>
        <v>基础设施水平</v>
      </c>
      <c r="R29" s="749" t="s">
        <v>25</v>
      </c>
      <c r="S29" s="750">
        <f>F29</f>
        <v>100</v>
      </c>
      <c r="T29" s="749" t="s">
        <v>25</v>
      </c>
      <c r="U29" s="750">
        <f>H29</f>
        <v>100</v>
      </c>
      <c r="V29" s="749" t="s">
        <v>25</v>
      </c>
      <c r="W29" s="750">
        <f>J29</f>
        <v>100</v>
      </c>
      <c r="X29" s="751"/>
      <c r="Y29" s="3008"/>
      <c r="Z29" s="23" t="str">
        <f>Q29</f>
        <v>基础设施水平</v>
      </c>
      <c r="AA29" s="1900">
        <f>D29/F29</f>
        <v>1</v>
      </c>
      <c r="AB29" s="1900">
        <f>D29/H29</f>
        <v>1</v>
      </c>
      <c r="AC29" s="1900">
        <f>D29/J29</f>
        <v>1</v>
      </c>
    </row>
    <row r="30" spans="1:29" s="35" customFormat="1" ht="15">
      <c r="A30" s="633"/>
      <c r="B30" s="1489"/>
      <c r="C30" s="2484"/>
      <c r="D30" s="427"/>
      <c r="E30" s="2484"/>
      <c r="F30" s="427"/>
      <c r="G30" s="2484"/>
      <c r="H30" s="427"/>
      <c r="I30" s="2484"/>
      <c r="J30" s="427"/>
      <c r="K30" s="655"/>
      <c r="L30" s="1244"/>
      <c r="M30" s="1245"/>
      <c r="N30" s="1245"/>
      <c r="O30" s="1246"/>
      <c r="P30" s="3008"/>
      <c r="Q30" s="1884"/>
      <c r="R30" s="749"/>
      <c r="S30" s="750"/>
      <c r="T30" s="749"/>
      <c r="U30" s="750"/>
      <c r="V30" s="749"/>
      <c r="W30" s="750"/>
      <c r="X30" s="751"/>
      <c r="Y30" s="3008"/>
      <c r="Z30" s="23"/>
      <c r="AA30" s="1900">
        <v>1</v>
      </c>
      <c r="AB30" s="1900">
        <v>1</v>
      </c>
      <c r="AC30" s="1900">
        <v>1</v>
      </c>
    </row>
    <row r="31" spans="1:29" ht="15">
      <c r="A31" s="383"/>
      <c r="B31" s="1489"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8"/>
      <c r="Q31" s="1896" t="str">
        <f t="shared" si="8"/>
        <v>临街状况</v>
      </c>
      <c r="R31" s="753" t="s">
        <v>25</v>
      </c>
      <c r="S31" s="754">
        <f t="shared" ref="S31:S45" si="10">F31</f>
        <v>100</v>
      </c>
      <c r="T31" s="753" t="s">
        <v>25</v>
      </c>
      <c r="U31" s="754">
        <f t="shared" ref="U31:U45" si="11">H31</f>
        <v>100</v>
      </c>
      <c r="V31" s="753" t="s">
        <v>25</v>
      </c>
      <c r="W31" s="754">
        <f t="shared" ref="W31:W45" si="12">J31</f>
        <v>100</v>
      </c>
      <c r="X31" s="1897"/>
      <c r="Y31" s="3008"/>
      <c r="Z31" s="1899" t="str">
        <f t="shared" ref="Z31:Z45" si="13">Q31</f>
        <v>临街状况</v>
      </c>
      <c r="AA31" s="1900">
        <f t="shared" si="3"/>
        <v>1</v>
      </c>
      <c r="AB31" s="1900">
        <f t="shared" si="4"/>
        <v>1</v>
      </c>
      <c r="AC31" s="1900">
        <f t="shared" si="5"/>
        <v>1</v>
      </c>
    </row>
    <row r="32" spans="1:29" ht="27">
      <c r="A32" s="383"/>
      <c r="B32" s="1490"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8"/>
      <c r="Q32" s="1896" t="str">
        <f t="shared" si="8"/>
        <v>毗邻道路的类型与等级</v>
      </c>
      <c r="R32" s="753" t="s">
        <v>25</v>
      </c>
      <c r="S32" s="754">
        <f t="shared" si="10"/>
        <v>100</v>
      </c>
      <c r="T32" s="753" t="s">
        <v>25</v>
      </c>
      <c r="U32" s="754">
        <f t="shared" si="11"/>
        <v>100</v>
      </c>
      <c r="V32" s="753" t="s">
        <v>25</v>
      </c>
      <c r="W32" s="754">
        <f t="shared" si="12"/>
        <v>100</v>
      </c>
      <c r="X32" s="1897"/>
      <c r="Y32" s="3008"/>
      <c r="Z32" s="1899" t="str">
        <f t="shared" si="13"/>
        <v>毗邻道路的类型与等级</v>
      </c>
      <c r="AA32" s="1900">
        <f t="shared" si="3"/>
        <v>1</v>
      </c>
      <c r="AB32" s="1900">
        <f t="shared" si="4"/>
        <v>1</v>
      </c>
      <c r="AC32" s="1900">
        <f t="shared" si="5"/>
        <v>1</v>
      </c>
    </row>
    <row r="33" spans="1:29" ht="15">
      <c r="A33" s="383"/>
      <c r="B33" s="1489"/>
      <c r="C33" s="1471"/>
      <c r="D33" s="427"/>
      <c r="E33" s="1471"/>
      <c r="F33" s="427"/>
      <c r="G33" s="1471"/>
      <c r="H33" s="427"/>
      <c r="I33" s="426"/>
      <c r="J33" s="427"/>
      <c r="K33" s="597"/>
      <c r="L33" s="1252"/>
      <c r="M33" s="1243"/>
      <c r="N33" s="1243"/>
      <c r="O33" s="1251"/>
      <c r="P33" s="3008"/>
      <c r="Q33" s="1896"/>
      <c r="R33" s="753"/>
      <c r="S33" s="754"/>
      <c r="T33" s="753"/>
      <c r="U33" s="754"/>
      <c r="V33" s="753"/>
      <c r="W33" s="754"/>
      <c r="X33" s="1897"/>
      <c r="Y33" s="3008"/>
      <c r="Z33" s="1899"/>
      <c r="AA33" s="1900">
        <v>1</v>
      </c>
      <c r="AB33" s="1900">
        <v>1</v>
      </c>
      <c r="AC33" s="1900">
        <v>1</v>
      </c>
    </row>
    <row r="34" spans="1:29" ht="15">
      <c r="A34" s="383"/>
      <c r="B34" s="1493"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8"/>
      <c r="Q34" s="1896" t="str">
        <f t="shared" si="8"/>
        <v>土地级别</v>
      </c>
      <c r="R34" s="753" t="s">
        <v>25</v>
      </c>
      <c r="S34" s="754">
        <f t="shared" si="10"/>
        <v>100</v>
      </c>
      <c r="T34" s="753" t="s">
        <v>25</v>
      </c>
      <c r="U34" s="754">
        <f t="shared" si="11"/>
        <v>100</v>
      </c>
      <c r="V34" s="753" t="s">
        <v>25</v>
      </c>
      <c r="W34" s="754">
        <f t="shared" si="12"/>
        <v>100</v>
      </c>
      <c r="X34" s="1897"/>
      <c r="Y34" s="3008"/>
      <c r="Z34" s="1899" t="str">
        <f t="shared" si="13"/>
        <v>土地级别</v>
      </c>
      <c r="AA34" s="1900">
        <f t="shared" si="3"/>
        <v>1</v>
      </c>
      <c r="AB34" s="1900">
        <f t="shared" si="4"/>
        <v>1</v>
      </c>
      <c r="AC34" s="1900">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8"/>
      <c r="Q35" s="1896">
        <f t="shared" si="8"/>
        <v>111</v>
      </c>
      <c r="R35" s="753" t="s">
        <v>25</v>
      </c>
      <c r="S35" s="754">
        <f t="shared" si="10"/>
        <v>100</v>
      </c>
      <c r="T35" s="753" t="s">
        <v>25</v>
      </c>
      <c r="U35" s="754">
        <f t="shared" si="11"/>
        <v>100</v>
      </c>
      <c r="V35" s="753" t="s">
        <v>25</v>
      </c>
      <c r="W35" s="754">
        <f t="shared" si="12"/>
        <v>100</v>
      </c>
      <c r="X35" s="1897"/>
      <c r="Y35" s="3008"/>
      <c r="Z35" s="1899">
        <f t="shared" si="13"/>
        <v>111</v>
      </c>
      <c r="AA35" s="1900">
        <f t="shared" si="3"/>
        <v>1</v>
      </c>
      <c r="AB35" s="1900">
        <f t="shared" si="4"/>
        <v>1</v>
      </c>
      <c r="AC35" s="1900">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53" t="s">
        <v>2365</v>
      </c>
      <c r="Q36" s="1896">
        <f t="shared" si="8"/>
        <v>111</v>
      </c>
      <c r="R36" s="753" t="s">
        <v>25</v>
      </c>
      <c r="S36" s="754">
        <f t="shared" si="10"/>
        <v>100</v>
      </c>
      <c r="T36" s="753" t="s">
        <v>25</v>
      </c>
      <c r="U36" s="754">
        <f t="shared" si="11"/>
        <v>100</v>
      </c>
      <c r="V36" s="753" t="s">
        <v>25</v>
      </c>
      <c r="W36" s="754">
        <f t="shared" si="12"/>
        <v>100</v>
      </c>
      <c r="X36" s="1897"/>
      <c r="Y36" s="3012" t="s">
        <v>2365</v>
      </c>
      <c r="Z36" s="1899">
        <f t="shared" si="13"/>
        <v>111</v>
      </c>
      <c r="AA36" s="1900">
        <f t="shared" si="3"/>
        <v>1</v>
      </c>
      <c r="AB36" s="1900">
        <f t="shared" si="4"/>
        <v>1</v>
      </c>
      <c r="AC36" s="1900">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12"/>
      <c r="Q37" s="1896">
        <f t="shared" si="8"/>
        <v>111</v>
      </c>
      <c r="R37" s="756" t="s">
        <v>25</v>
      </c>
      <c r="S37" s="757">
        <f t="shared" si="10"/>
        <v>100</v>
      </c>
      <c r="T37" s="756" t="s">
        <v>25</v>
      </c>
      <c r="U37" s="757">
        <f t="shared" si="11"/>
        <v>100</v>
      </c>
      <c r="V37" s="756" t="s">
        <v>25</v>
      </c>
      <c r="W37" s="757">
        <f t="shared" si="12"/>
        <v>100</v>
      </c>
      <c r="X37" s="758"/>
      <c r="Y37" s="3012"/>
      <c r="Z37" s="759">
        <f t="shared" si="13"/>
        <v>111</v>
      </c>
      <c r="AA37" s="1900">
        <f t="shared" si="3"/>
        <v>1</v>
      </c>
      <c r="AB37" s="1900">
        <f t="shared" si="4"/>
        <v>1</v>
      </c>
      <c r="AC37" s="1900">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12"/>
      <c r="Q38" s="1896" t="str">
        <f>B38</f>
        <v>宗地面积</v>
      </c>
      <c r="R38" s="753" t="s">
        <v>25</v>
      </c>
      <c r="S38" s="754" t="e">
        <f t="shared" si="10"/>
        <v>#N/A</v>
      </c>
      <c r="T38" s="753" t="s">
        <v>25</v>
      </c>
      <c r="U38" s="754" t="e">
        <f t="shared" si="11"/>
        <v>#N/A</v>
      </c>
      <c r="V38" s="753" t="s">
        <v>25</v>
      </c>
      <c r="W38" s="754" t="e">
        <f t="shared" si="12"/>
        <v>#N/A</v>
      </c>
      <c r="X38" s="1897"/>
      <c r="Y38" s="3012"/>
      <c r="Z38" s="1899" t="str">
        <f t="shared" si="13"/>
        <v>宗地面积</v>
      </c>
      <c r="AA38" s="1900" t="e">
        <f t="shared" si="3"/>
        <v>#N/A</v>
      </c>
      <c r="AB38" s="1900" t="e">
        <f t="shared" si="4"/>
        <v>#N/A</v>
      </c>
      <c r="AC38" s="1900" t="e">
        <f t="shared" si="5"/>
        <v>#N/A</v>
      </c>
    </row>
    <row r="39" spans="1:29" ht="15">
      <c r="A39" s="453"/>
      <c r="B39" s="402" t="s">
        <v>2546</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2"/>
      <c r="M39" s="1243"/>
      <c r="N39" s="1243"/>
      <c r="O39" s="1251"/>
      <c r="P39" s="3012"/>
      <c r="Q39" s="1896" t="str">
        <f t="shared" ref="Q39:Q45" si="14">B39</f>
        <v>宗地形状</v>
      </c>
      <c r="R39" s="753" t="s">
        <v>25</v>
      </c>
      <c r="S39" s="754">
        <f t="shared" si="10"/>
        <v>100</v>
      </c>
      <c r="T39" s="753" t="s">
        <v>25</v>
      </c>
      <c r="U39" s="754">
        <f t="shared" si="11"/>
        <v>100</v>
      </c>
      <c r="V39" s="753" t="s">
        <v>25</v>
      </c>
      <c r="W39" s="754">
        <f t="shared" si="12"/>
        <v>100</v>
      </c>
      <c r="X39" s="1897"/>
      <c r="Y39" s="3012"/>
      <c r="Z39" s="1899" t="str">
        <f t="shared" si="13"/>
        <v>宗地形状</v>
      </c>
      <c r="AA39" s="1900">
        <f t="shared" si="3"/>
        <v>1</v>
      </c>
      <c r="AB39" s="1900">
        <f t="shared" si="4"/>
        <v>1</v>
      </c>
      <c r="AC39" s="1900">
        <f t="shared" si="5"/>
        <v>1</v>
      </c>
    </row>
    <row r="40" spans="1:29" ht="15">
      <c r="A40" s="453"/>
      <c r="B40" s="402" t="s">
        <v>2547</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2"/>
      <c r="M40" s="1243"/>
      <c r="N40" s="1243"/>
      <c r="O40" s="1251"/>
      <c r="P40" s="3012"/>
      <c r="Q40" s="1896" t="str">
        <f t="shared" si="14"/>
        <v>临街宽度及深度</v>
      </c>
      <c r="R40" s="753" t="s">
        <v>25</v>
      </c>
      <c r="S40" s="754">
        <f t="shared" si="10"/>
        <v>100</v>
      </c>
      <c r="T40" s="753" t="s">
        <v>25</v>
      </c>
      <c r="U40" s="754">
        <f t="shared" si="11"/>
        <v>100</v>
      </c>
      <c r="V40" s="753" t="s">
        <v>25</v>
      </c>
      <c r="W40" s="754">
        <f t="shared" si="12"/>
        <v>100</v>
      </c>
      <c r="X40" s="1897"/>
      <c r="Y40" s="3012"/>
      <c r="Z40" s="1899" t="str">
        <f t="shared" si="13"/>
        <v>临街宽度及深度</v>
      </c>
      <c r="AA40" s="1900">
        <f t="shared" si="3"/>
        <v>1</v>
      </c>
      <c r="AB40" s="1900">
        <f t="shared" si="4"/>
        <v>1</v>
      </c>
      <c r="AC40" s="1900">
        <f t="shared" si="5"/>
        <v>1</v>
      </c>
    </row>
    <row r="41" spans="1:29" s="35" customFormat="1" ht="15">
      <c r="A41" s="454"/>
      <c r="B41" s="402" t="s">
        <v>2548</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4"/>
      <c r="M41" s="1245"/>
      <c r="N41" s="1245"/>
      <c r="O41" s="1246"/>
      <c r="P41" s="3012"/>
      <c r="Q41" s="1896" t="str">
        <f t="shared" si="14"/>
        <v>宗地开发程度</v>
      </c>
      <c r="R41" s="749" t="s">
        <v>25</v>
      </c>
      <c r="S41" s="750">
        <f t="shared" si="10"/>
        <v>100</v>
      </c>
      <c r="T41" s="749" t="s">
        <v>25</v>
      </c>
      <c r="U41" s="750">
        <f t="shared" si="11"/>
        <v>100</v>
      </c>
      <c r="V41" s="749" t="s">
        <v>25</v>
      </c>
      <c r="W41" s="750">
        <f t="shared" si="12"/>
        <v>100</v>
      </c>
      <c r="X41" s="751"/>
      <c r="Y41" s="3012"/>
      <c r="Z41" s="23" t="str">
        <f t="shared" si="13"/>
        <v>宗地开发程度</v>
      </c>
      <c r="AA41" s="752">
        <f t="shared" si="3"/>
        <v>1</v>
      </c>
      <c r="AB41" s="752">
        <f t="shared" si="4"/>
        <v>1</v>
      </c>
      <c r="AC41" s="752">
        <f t="shared" si="5"/>
        <v>1</v>
      </c>
    </row>
    <row r="42" spans="1:29" ht="15">
      <c r="A42" s="453"/>
      <c r="B42" s="402" t="s">
        <v>2549</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2"/>
      <c r="M42" s="1243"/>
      <c r="N42" s="1243"/>
      <c r="O42" s="1251"/>
      <c r="P42" s="3012" t="s">
        <v>2365</v>
      </c>
      <c r="Q42" s="1896" t="str">
        <f t="shared" si="14"/>
        <v>工程地质条件</v>
      </c>
      <c r="R42" s="753" t="s">
        <v>25</v>
      </c>
      <c r="S42" s="754">
        <f t="shared" si="10"/>
        <v>100</v>
      </c>
      <c r="T42" s="753" t="s">
        <v>25</v>
      </c>
      <c r="U42" s="754">
        <f t="shared" si="11"/>
        <v>100</v>
      </c>
      <c r="V42" s="753" t="s">
        <v>25</v>
      </c>
      <c r="W42" s="754">
        <f t="shared" si="12"/>
        <v>100</v>
      </c>
      <c r="X42" s="1897"/>
      <c r="Y42" s="3012" t="s">
        <v>2365</v>
      </c>
      <c r="Z42" s="1899" t="str">
        <f t="shared" si="13"/>
        <v>工程地质条件</v>
      </c>
      <c r="AA42" s="1900">
        <f t="shared" si="3"/>
        <v>1</v>
      </c>
      <c r="AB42" s="1900">
        <f t="shared" si="4"/>
        <v>1</v>
      </c>
      <c r="AC42" s="1900">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12"/>
      <c r="Q43" s="1896">
        <f t="shared" si="14"/>
        <v>111</v>
      </c>
      <c r="R43" s="753" t="s">
        <v>25</v>
      </c>
      <c r="S43" s="754">
        <f t="shared" si="10"/>
        <v>100</v>
      </c>
      <c r="T43" s="753" t="s">
        <v>25</v>
      </c>
      <c r="U43" s="754">
        <f t="shared" si="11"/>
        <v>100</v>
      </c>
      <c r="V43" s="753" t="s">
        <v>25</v>
      </c>
      <c r="W43" s="754">
        <f t="shared" si="12"/>
        <v>100</v>
      </c>
      <c r="X43" s="1897"/>
      <c r="Y43" s="3012"/>
      <c r="Z43" s="1899">
        <f t="shared" si="13"/>
        <v>111</v>
      </c>
      <c r="AA43" s="1900">
        <f t="shared" si="3"/>
        <v>1</v>
      </c>
      <c r="AB43" s="1900">
        <f t="shared" si="4"/>
        <v>1</v>
      </c>
      <c r="AC43" s="1900">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12"/>
      <c r="Q44" s="1896">
        <f t="shared" si="14"/>
        <v>111</v>
      </c>
      <c r="R44" s="753" t="s">
        <v>25</v>
      </c>
      <c r="S44" s="754">
        <f t="shared" si="10"/>
        <v>100</v>
      </c>
      <c r="T44" s="753" t="s">
        <v>25</v>
      </c>
      <c r="U44" s="754">
        <f t="shared" si="11"/>
        <v>100</v>
      </c>
      <c r="V44" s="753" t="s">
        <v>25</v>
      </c>
      <c r="W44" s="754">
        <f t="shared" si="12"/>
        <v>100</v>
      </c>
      <c r="X44" s="1897"/>
      <c r="Y44" s="3012"/>
      <c r="Z44" s="1899">
        <f t="shared" si="13"/>
        <v>111</v>
      </c>
      <c r="AA44" s="1900">
        <f t="shared" si="3"/>
        <v>1</v>
      </c>
      <c r="AB44" s="1900">
        <f t="shared" si="4"/>
        <v>1</v>
      </c>
      <c r="AC44" s="1900">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12"/>
      <c r="Q45" s="1896">
        <f t="shared" si="14"/>
        <v>111</v>
      </c>
      <c r="R45" s="756" t="s">
        <v>25</v>
      </c>
      <c r="S45" s="757">
        <f t="shared" si="10"/>
        <v>100</v>
      </c>
      <c r="T45" s="756" t="s">
        <v>25</v>
      </c>
      <c r="U45" s="757">
        <f t="shared" si="11"/>
        <v>100</v>
      </c>
      <c r="V45" s="756" t="s">
        <v>25</v>
      </c>
      <c r="W45" s="757">
        <f t="shared" si="12"/>
        <v>100</v>
      </c>
      <c r="X45" s="758"/>
      <c r="Y45" s="3012"/>
      <c r="Z45" s="759">
        <f t="shared" si="13"/>
        <v>111</v>
      </c>
      <c r="AA45" s="1900">
        <f t="shared" si="3"/>
        <v>1</v>
      </c>
      <c r="AB45" s="1900">
        <f t="shared" si="4"/>
        <v>1</v>
      </c>
      <c r="AC45" s="1900">
        <f t="shared" si="5"/>
        <v>1</v>
      </c>
    </row>
    <row r="46" spans="1:29" ht="15">
      <c r="A46" s="460" t="s">
        <v>2513</v>
      </c>
      <c r="B46" s="2489" t="s">
        <v>2550</v>
      </c>
      <c r="C46" s="665" t="s">
        <v>1</v>
      </c>
      <c r="D46" s="462"/>
      <c r="E46" s="463"/>
      <c r="F46" s="464"/>
      <c r="G46" s="465"/>
      <c r="H46" s="466"/>
      <c r="I46" s="463"/>
      <c r="J46" s="466"/>
      <c r="K46" s="762"/>
      <c r="L46" s="1255"/>
      <c r="M46" s="1256"/>
      <c r="N46" s="1243"/>
      <c r="O46" s="1256"/>
      <c r="P46" s="3004" t="str">
        <f>A46</f>
        <v>成交单价</v>
      </c>
      <c r="Q46" s="3004"/>
      <c r="R46" s="3041">
        <f>E46</f>
        <v>0</v>
      </c>
      <c r="S46" s="3041"/>
      <c r="T46" s="3041">
        <f>G46</f>
        <v>0</v>
      </c>
      <c r="U46" s="3041"/>
      <c r="V46" s="3041">
        <f>I46</f>
        <v>0</v>
      </c>
      <c r="W46" s="3041"/>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5"/>
      <c r="M47" s="1256"/>
      <c r="N47" s="1256"/>
      <c r="O47" s="1256"/>
      <c r="P47" s="3004" t="str">
        <f>A47</f>
        <v>比较价值（元/平方米）</v>
      </c>
      <c r="Q47" s="3004"/>
      <c r="R47" s="3054" t="e">
        <f>ROUND(PRODUCT(R46,AA7:AA45),0)</f>
        <v>#DIV/0!</v>
      </c>
      <c r="S47" s="3054"/>
      <c r="T47" s="3054" t="e">
        <f>ROUND(PRODUCT(T46,AB7:AB45),0)</f>
        <v>#DIV/0!</v>
      </c>
      <c r="U47" s="3054"/>
      <c r="V47" s="3054" t="e">
        <f>ROUND(PRODUCT(V46,AC7:AC45),0)</f>
        <v>#DIV/0!</v>
      </c>
      <c r="W47" s="3054"/>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5"/>
      <c r="M48" s="1256"/>
      <c r="N48" s="1256"/>
      <c r="O48" s="1256"/>
      <c r="P48" s="3001" t="str">
        <f>A48</f>
        <v>估价对象XX用房的比较价值（楼面单价，元/平方米）</v>
      </c>
      <c r="Q48" s="3002"/>
      <c r="R48" s="3055" t="e">
        <f>ROUND(AVERAGE(R47:V47),0)</f>
        <v>#DIV/0!</v>
      </c>
      <c r="S48" s="3055"/>
      <c r="T48" s="3055"/>
      <c r="U48" s="3055"/>
      <c r="V48" s="3055"/>
      <c r="W48" s="3055"/>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2551</v>
      </c>
      <c r="B55" s="668" t="s">
        <v>2552</v>
      </c>
      <c r="C55" s="2490" t="s">
        <v>2553</v>
      </c>
      <c r="D55" s="2491" t="s">
        <v>2554</v>
      </c>
      <c r="E55" s="669" t="s">
        <v>2555</v>
      </c>
      <c r="F55" s="670" t="s">
        <v>2556</v>
      </c>
      <c r="G55" s="62" t="s">
        <v>2557</v>
      </c>
      <c r="H55" s="62">
        <f>项目基本情况!G8</f>
        <v>0</v>
      </c>
      <c r="I55" s="2492" t="s">
        <v>2558</v>
      </c>
      <c r="J55" s="739"/>
      <c r="K55" s="1257"/>
      <c r="L55" s="1257"/>
      <c r="M55" s="1256"/>
      <c r="N55" s="1256"/>
      <c r="O55" s="1256"/>
    </row>
    <row r="56" spans="1:15" s="675" customFormat="1">
      <c r="A56" s="671" t="s">
        <v>2559</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2560</v>
      </c>
      <c r="B57" s="178" t="e">
        <f>ROUND($C$48*C57*D57,0)</f>
        <v>#DIV/0!</v>
      </c>
      <c r="C57" s="117">
        <f>IF($C$55="北京市系数",G57,H57)</f>
        <v>0.8</v>
      </c>
      <c r="D57" s="1291">
        <v>0.25</v>
      </c>
      <c r="E57" s="677">
        <v>0</v>
      </c>
      <c r="F57" s="674" t="e">
        <f t="shared" si="15"/>
        <v>#DIV/0!</v>
      </c>
      <c r="G57" s="971">
        <f>SUMIF(修正!$A$45:$A$56,项目基本情况!$F$9,修正!B45:B56)</f>
        <v>0.8</v>
      </c>
      <c r="H57" s="972"/>
      <c r="I57" s="1256"/>
      <c r="J57" s="1261"/>
      <c r="K57" s="1257"/>
      <c r="L57" s="1257"/>
      <c r="M57" s="1256"/>
      <c r="N57" s="1256"/>
      <c r="O57" s="970"/>
    </row>
    <row r="58" spans="1:15" s="675" customFormat="1">
      <c r="A58" s="676" t="s">
        <v>2561</v>
      </c>
      <c r="B58" s="178" t="e">
        <f t="shared" ref="B58:B65" si="16">ROUND($C$48*C58*D58,0)</f>
        <v>#DIV/0!</v>
      </c>
      <c r="C58" s="117">
        <f t="shared" ref="C58:C65" si="17">IF($C$55="北京市系数",G58,H58)</f>
        <v>0.5</v>
      </c>
      <c r="D58" s="1291">
        <v>0.25</v>
      </c>
      <c r="E58" s="677">
        <v>0</v>
      </c>
      <c r="F58" s="674" t="e">
        <f t="shared" si="15"/>
        <v>#DIV/0!</v>
      </c>
      <c r="G58" s="971">
        <f>SUMIF(修正!$A$45:$A$56,项目基本情况!$F$9,修正!C45:C56)</f>
        <v>0.5</v>
      </c>
      <c r="H58" s="972"/>
      <c r="I58" s="1258"/>
      <c r="J58" s="1258"/>
      <c r="K58" s="1262"/>
      <c r="L58" s="1263"/>
      <c r="M58" s="1258"/>
      <c r="N58" s="1258"/>
      <c r="O58" s="970"/>
    </row>
    <row r="59" spans="1:15" s="675" customFormat="1">
      <c r="A59" s="676" t="s">
        <v>2562</v>
      </c>
      <c r="B59" s="178" t="e">
        <f t="shared" si="16"/>
        <v>#DIV/0!</v>
      </c>
      <c r="C59" s="117">
        <f t="shared" si="17"/>
        <v>0.36</v>
      </c>
      <c r="D59" s="1291">
        <v>0.25</v>
      </c>
      <c r="E59" s="677">
        <v>0</v>
      </c>
      <c r="F59" s="674" t="e">
        <f t="shared" si="15"/>
        <v>#DIV/0!</v>
      </c>
      <c r="G59" s="971">
        <f>SUMIF(修正!$A$45:$A$56,项目基本情况!$F$9,修正!D45:D56)</f>
        <v>0.36</v>
      </c>
      <c r="H59" s="972"/>
      <c r="I59" s="1256"/>
      <c r="J59" s="1261"/>
      <c r="K59" s="1257"/>
      <c r="L59" s="1257"/>
      <c r="M59" s="1256"/>
      <c r="N59" s="1256"/>
      <c r="O59" s="970"/>
    </row>
    <row r="60" spans="1:15" s="675" customFormat="1">
      <c r="A60" s="676" t="s">
        <v>2563</v>
      </c>
      <c r="B60" s="178" t="e">
        <f t="shared" si="16"/>
        <v>#DIV/0!</v>
      </c>
      <c r="C60" s="117">
        <f t="shared" si="17"/>
        <v>0.3</v>
      </c>
      <c r="D60" s="1291">
        <v>0.25</v>
      </c>
      <c r="E60" s="677">
        <v>0</v>
      </c>
      <c r="F60" s="674" t="e">
        <f t="shared" si="15"/>
        <v>#DIV/0!</v>
      </c>
      <c r="G60" s="971">
        <f>SUMIF(修正!$A$45:$A$56,项目基本情况!$F$9,修正!E45:E56)</f>
        <v>0.3</v>
      </c>
      <c r="H60" s="972"/>
      <c r="I60" s="1258"/>
      <c r="J60" s="1258"/>
      <c r="K60" s="1262"/>
      <c r="L60" s="1263"/>
      <c r="M60" s="1258"/>
      <c r="N60" s="1258"/>
      <c r="O60" s="970"/>
    </row>
    <row r="61" spans="1:15" s="675" customFormat="1">
      <c r="A61" s="676" t="s">
        <v>2564</v>
      </c>
      <c r="B61" s="178" t="e">
        <f t="shared" si="16"/>
        <v>#DIV/0!</v>
      </c>
      <c r="C61" s="117">
        <f t="shared" si="17"/>
        <v>0.3</v>
      </c>
      <c r="D61" s="1291">
        <v>0.25</v>
      </c>
      <c r="E61" s="677">
        <v>0</v>
      </c>
      <c r="F61" s="674" t="e">
        <f t="shared" si="15"/>
        <v>#DIV/0!</v>
      </c>
      <c r="G61" s="971">
        <f>SUMIF(修正!A45:A56,项目基本情况!F9,修正!F45:F56)</f>
        <v>0.3</v>
      </c>
      <c r="H61" s="972"/>
      <c r="I61" s="1256"/>
      <c r="J61" s="1261"/>
      <c r="K61" s="1257"/>
      <c r="L61" s="1257"/>
      <c r="M61" s="1256"/>
      <c r="N61" s="1256"/>
      <c r="O61" s="970"/>
    </row>
    <row r="62" spans="1:15" s="675" customFormat="1">
      <c r="A62" s="676" t="s">
        <v>2565</v>
      </c>
      <c r="B62" s="178" t="e">
        <f t="shared" si="16"/>
        <v>#DIV/0!</v>
      </c>
      <c r="C62" s="117">
        <f t="shared" si="17"/>
        <v>0.3</v>
      </c>
      <c r="D62" s="1291">
        <v>0.25</v>
      </c>
      <c r="E62" s="677">
        <v>0</v>
      </c>
      <c r="F62" s="674" t="e">
        <f t="shared" si="15"/>
        <v>#DIV/0!</v>
      </c>
      <c r="G62" s="971">
        <f>SUMIF(修正!A45:A56,项目基本情况!F9,修正!G45:G56)</f>
        <v>0.3</v>
      </c>
      <c r="H62" s="972"/>
      <c r="I62" s="1258"/>
      <c r="J62" s="1258"/>
      <c r="K62" s="1262"/>
      <c r="L62" s="1263"/>
      <c r="M62" s="1258"/>
      <c r="N62" s="1258"/>
      <c r="O62" s="970"/>
    </row>
    <row r="63" spans="1:15" s="675" customFormat="1">
      <c r="A63" s="676" t="s">
        <v>2566</v>
      </c>
      <c r="B63" s="178" t="e">
        <f t="shared" si="16"/>
        <v>#DIV/0!</v>
      </c>
      <c r="C63" s="117">
        <f>IF($C$55="北京市系数",G63,H63)</f>
        <v>0.25</v>
      </c>
      <c r="D63" s="1291">
        <v>0.25</v>
      </c>
      <c r="E63" s="677">
        <v>0</v>
      </c>
      <c r="F63" s="674" t="e">
        <f t="shared" si="15"/>
        <v>#DIV/0!</v>
      </c>
      <c r="G63" s="971">
        <f>SUMIF(修正!A45:A56,项目基本情况!F9,修正!H45:H56)</f>
        <v>0.25</v>
      </c>
      <c r="H63" s="972"/>
      <c r="I63" s="1256"/>
      <c r="J63" s="1261"/>
      <c r="K63" s="1257"/>
      <c r="L63" s="1257"/>
      <c r="M63" s="1256"/>
      <c r="N63" s="1256"/>
      <c r="O63" s="970"/>
    </row>
    <row r="64" spans="1:15" s="675" customFormat="1">
      <c r="A64" s="676" t="s">
        <v>2567</v>
      </c>
      <c r="B64" s="178" t="e">
        <f t="shared" si="16"/>
        <v>#DIV/0!</v>
      </c>
      <c r="C64" s="117">
        <f t="shared" si="17"/>
        <v>0.25</v>
      </c>
      <c r="D64" s="1291">
        <v>0.25</v>
      </c>
      <c r="E64" s="677">
        <v>0</v>
      </c>
      <c r="F64" s="674" t="e">
        <f t="shared" si="15"/>
        <v>#DIV/0!</v>
      </c>
      <c r="G64" s="971">
        <f>G63</f>
        <v>0.25</v>
      </c>
      <c r="H64" s="972"/>
      <c r="I64" s="1258"/>
      <c r="J64" s="1258"/>
      <c r="K64" s="1262"/>
      <c r="L64" s="1263"/>
      <c r="M64" s="1258"/>
      <c r="N64" s="1258"/>
      <c r="O64" s="970"/>
    </row>
    <row r="65" spans="1:17" s="675" customFormat="1">
      <c r="A65" s="676" t="s">
        <v>2568</v>
      </c>
      <c r="B65" s="178" t="e">
        <f t="shared" si="16"/>
        <v>#DIV/0!</v>
      </c>
      <c r="C65" s="117">
        <f t="shared" si="17"/>
        <v>0.25</v>
      </c>
      <c r="D65" s="1291">
        <v>0.25</v>
      </c>
      <c r="E65" s="677">
        <v>0</v>
      </c>
      <c r="F65" s="674" t="e">
        <f t="shared" si="15"/>
        <v>#DIV/0!</v>
      </c>
      <c r="G65" s="971">
        <f>G63</f>
        <v>0.25</v>
      </c>
      <c r="H65" s="972"/>
      <c r="I65" s="1256"/>
      <c r="J65" s="1261"/>
      <c r="K65" s="1257"/>
      <c r="L65" s="1257"/>
      <c r="M65" s="1256"/>
      <c r="N65" s="1256"/>
      <c r="O65" s="970"/>
    </row>
    <row r="66" spans="1:17" s="675" customFormat="1" ht="13.5" thickBot="1">
      <c r="A66" s="679" t="s">
        <v>2569</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2018-12-1</v>
      </c>
      <c r="D68" s="1669">
        <f>EDATE(C68,-3)</f>
        <v>43344</v>
      </c>
      <c r="E68" s="1669">
        <f t="shared" ref="E68:O68" si="18">EDATE(D68,-3)</f>
        <v>43252</v>
      </c>
      <c r="F68" s="1669">
        <f t="shared" si="18"/>
        <v>43160</v>
      </c>
      <c r="G68" s="1669">
        <f t="shared" si="18"/>
        <v>43070</v>
      </c>
      <c r="H68" s="1669">
        <f t="shared" si="18"/>
        <v>42979</v>
      </c>
      <c r="I68" s="1669">
        <f t="shared" si="18"/>
        <v>42887</v>
      </c>
      <c r="J68" s="1669">
        <f t="shared" si="18"/>
        <v>42795</v>
      </c>
      <c r="K68" s="1669">
        <f t="shared" si="18"/>
        <v>42705</v>
      </c>
      <c r="L68" s="1669">
        <f t="shared" si="18"/>
        <v>42614</v>
      </c>
      <c r="M68" s="1669">
        <f t="shared" si="18"/>
        <v>42522</v>
      </c>
      <c r="N68" s="1669">
        <f t="shared" si="18"/>
        <v>42430</v>
      </c>
      <c r="O68" s="1669">
        <f t="shared" si="18"/>
        <v>42339</v>
      </c>
    </row>
    <row r="69" spans="1:17" ht="21.75" thickBot="1">
      <c r="A69" s="742" t="s">
        <v>2465</v>
      </c>
      <c r="B69" s="738"/>
      <c r="C69" s="743"/>
      <c r="D69" s="743"/>
      <c r="E69" s="743"/>
      <c r="F69" s="744"/>
      <c r="G69" s="744"/>
      <c r="H69" s="743"/>
      <c r="I69" s="1272"/>
      <c r="J69" s="1272"/>
      <c r="K69" s="1270"/>
      <c r="L69" s="1271"/>
      <c r="M69" s="1272"/>
      <c r="N69" s="1272"/>
      <c r="O69" s="1272"/>
      <c r="P69" s="484"/>
      <c r="Q69" s="485"/>
    </row>
    <row r="70" spans="1:17" s="1673" customFormat="1" ht="15">
      <c r="A70" s="2493" t="s">
        <v>2570</v>
      </c>
      <c r="B70" s="1455"/>
      <c r="C70" s="1670" t="str">
        <f>YEAR(C68)&amp;"-"&amp;ROUNDUP(MONTH(C68)/3,0)</f>
        <v>2018-4</v>
      </c>
      <c r="D70" s="1670" t="str">
        <f>YEAR(D68)&amp;"-"&amp;ROUNDUP(MONTH(D68)/3,0)</f>
        <v>2018-3</v>
      </c>
      <c r="E70" s="1670" t="str">
        <f t="shared" ref="E70:O70" si="19">YEAR(E68)&amp;"-"&amp;ROUNDUP(MONTH(E68)/3,0)</f>
        <v>2018-2</v>
      </c>
      <c r="F70" s="1670" t="str">
        <f t="shared" si="19"/>
        <v>2018-1</v>
      </c>
      <c r="G70" s="1670" t="str">
        <f t="shared" si="19"/>
        <v>2017-4</v>
      </c>
      <c r="H70" s="1670" t="str">
        <f t="shared" si="19"/>
        <v>2017-3</v>
      </c>
      <c r="I70" s="1670" t="str">
        <f t="shared" si="19"/>
        <v>2017-2</v>
      </c>
      <c r="J70" s="1670" t="str">
        <f t="shared" si="19"/>
        <v>2017-1</v>
      </c>
      <c r="K70" s="1670" t="str">
        <f t="shared" si="19"/>
        <v>2016-4</v>
      </c>
      <c r="L70" s="1670" t="str">
        <f t="shared" si="19"/>
        <v>2016-3</v>
      </c>
      <c r="M70" s="1670" t="str">
        <f t="shared" si="19"/>
        <v>2016-2</v>
      </c>
      <c r="N70" s="1670" t="str">
        <f t="shared" si="19"/>
        <v>2016-1</v>
      </c>
      <c r="O70" s="1670" t="str">
        <f t="shared" si="19"/>
        <v>2015-4</v>
      </c>
      <c r="P70" s="1672"/>
    </row>
    <row r="71" spans="1:17" s="35" customFormat="1" ht="29.25" customHeight="1">
      <c r="A71" s="2494" t="s">
        <v>2571</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8"/>
      <c r="N71" s="579"/>
      <c r="O71" s="1674"/>
      <c r="P71" s="485"/>
    </row>
    <row r="72" spans="1:17" s="35" customFormat="1" ht="15.75" thickBot="1">
      <c r="A72" s="496" t="s">
        <v>2385</v>
      </c>
      <c r="B72" s="497"/>
      <c r="C72" s="498"/>
      <c r="D72" s="499"/>
      <c r="E72" s="499"/>
      <c r="F72" s="499"/>
      <c r="G72" s="499"/>
      <c r="H72" s="499"/>
      <c r="I72" s="499"/>
      <c r="J72" s="499"/>
      <c r="K72" s="499"/>
      <c r="L72" s="499"/>
      <c r="M72" s="500"/>
      <c r="N72" s="499"/>
      <c r="O72" s="1675"/>
      <c r="P72" s="485"/>
      <c r="Q72" s="485"/>
    </row>
    <row r="73" spans="1:17" s="35" customFormat="1" ht="15">
      <c r="A73" s="502" t="s">
        <v>2349</v>
      </c>
      <c r="B73" s="491"/>
      <c r="C73" s="503" t="s">
        <v>2350</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2388</v>
      </c>
      <c r="B75" s="509" t="s">
        <v>2353</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2356</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2477</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2544</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2363</v>
      </c>
      <c r="B116" s="509" t="s">
        <v>2579</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2580</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2581</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2582</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2583</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2538</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SUMIF(65:65,YEAR(E7)&amp;"-"&amp;INT((MONTH(E7)+2)/3),66:66)</f>
        <v>0</v>
      </c>
      <c r="G7" s="2463"/>
      <c r="H7" s="390">
        <f>SUMIF(65:65,YEAR(G7)&amp;"-"&amp;INT((MONTH(G7)+2)/3),66:66)</f>
        <v>0</v>
      </c>
      <c r="I7" s="2463"/>
      <c r="J7" s="390">
        <f>SUMIF(65:65,YEAR(I7)&amp;"-"&amp;INT((MONTH(I7)+2)/3),66:66)</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0" si="3">D8/F8</f>
        <v>#DIV/0!</v>
      </c>
      <c r="AB8" s="752" t="e">
        <f t="shared" ref="AB8:AB40" si="4">D8/H8</f>
        <v>#DIV/0!</v>
      </c>
      <c r="AC8" s="752" t="e">
        <f t="shared" ref="AC8:AC40" si="5">D8/J8</f>
        <v>#DIV/0!</v>
      </c>
    </row>
    <row r="9" spans="1:29" s="35" customFormat="1">
      <c r="A9" s="395" t="s">
        <v>2352</v>
      </c>
      <c r="B9" s="28" t="s">
        <v>2353</v>
      </c>
      <c r="C9" s="2481" t="s">
        <v>2585</v>
      </c>
      <c r="D9" s="51">
        <v>100</v>
      </c>
      <c r="E9" s="2481"/>
      <c r="F9" s="51">
        <f>SUMIF(70:70,E9,71:71)-SUMIF(70:70,C9,71:71)+100</f>
        <v>100</v>
      </c>
      <c r="G9" s="2481"/>
      <c r="H9" s="51">
        <f>SUMIF(70:70,G9,71:71)-SUMIF(70:70,C9,71:71)+100</f>
        <v>100</v>
      </c>
      <c r="I9" s="2481"/>
      <c r="J9" s="51">
        <f>SUMIF(70:70,I9,71:71)-SUMIF(70:70,C9,71:71)+100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57">
      <c r="A15" s="419" t="s">
        <v>2358</v>
      </c>
      <c r="B15" s="613" t="s">
        <v>2586</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07" t="s">
        <v>2359</v>
      </c>
      <c r="Q15" s="1896" t="str">
        <f t="shared" si="6"/>
        <v>产业集聚程度</v>
      </c>
      <c r="R15" s="753" t="s">
        <v>25</v>
      </c>
      <c r="S15" s="754">
        <f t="shared" si="0"/>
        <v>100</v>
      </c>
      <c r="T15" s="753" t="s">
        <v>25</v>
      </c>
      <c r="U15" s="754">
        <f t="shared" si="1"/>
        <v>100</v>
      </c>
      <c r="V15" s="753" t="s">
        <v>25</v>
      </c>
      <c r="W15" s="754">
        <f t="shared" si="2"/>
        <v>100</v>
      </c>
      <c r="X15" s="1897"/>
      <c r="Y15" s="3007" t="s">
        <v>2359</v>
      </c>
      <c r="Z15" s="1899" t="str">
        <f t="shared" si="7"/>
        <v>产业集聚程度</v>
      </c>
      <c r="AA15" s="1900">
        <f t="shared" si="3"/>
        <v>1</v>
      </c>
      <c r="AB15" s="1900">
        <f t="shared" si="4"/>
        <v>1</v>
      </c>
      <c r="AC15" s="1900">
        <f t="shared" si="5"/>
        <v>1</v>
      </c>
    </row>
    <row r="16" spans="1:29" ht="15">
      <c r="A16" s="408"/>
      <c r="B16" s="614"/>
      <c r="C16" s="426"/>
      <c r="D16" s="427"/>
      <c r="E16" s="1471"/>
      <c r="F16" s="427"/>
      <c r="G16" s="1471"/>
      <c r="H16" s="430"/>
      <c r="I16" s="1471"/>
      <c r="J16" s="427"/>
      <c r="K16" s="655"/>
      <c r="L16" s="1252"/>
      <c r="M16" s="1243"/>
      <c r="N16" s="1243"/>
      <c r="O16" s="1251"/>
      <c r="P16" s="3008"/>
      <c r="Q16" s="1896"/>
      <c r="R16" s="753"/>
      <c r="S16" s="754"/>
      <c r="T16" s="753"/>
      <c r="U16" s="754"/>
      <c r="V16" s="753"/>
      <c r="W16" s="754"/>
      <c r="X16" s="1897"/>
      <c r="Y16" s="3008"/>
      <c r="Z16" s="1899"/>
      <c r="AA16" s="1900">
        <v>1</v>
      </c>
      <c r="AB16" s="1900">
        <v>1</v>
      </c>
      <c r="AC16" s="1900">
        <v>1</v>
      </c>
    </row>
    <row r="17" spans="1:29" ht="85.5">
      <c r="A17" s="408"/>
      <c r="B17" s="615" t="s">
        <v>2502</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616"/>
      <c r="C18" s="426"/>
      <c r="D18" s="427"/>
      <c r="E18" s="428"/>
      <c r="F18" s="427"/>
      <c r="G18" s="428"/>
      <c r="H18" s="427"/>
      <c r="I18" s="2401"/>
      <c r="J18" s="427"/>
      <c r="K18" s="655"/>
      <c r="L18" s="1252"/>
      <c r="M18" s="1243"/>
      <c r="N18" s="1243"/>
      <c r="O18" s="1251"/>
      <c r="P18" s="3008"/>
      <c r="Q18" s="1896"/>
      <c r="R18" s="753"/>
      <c r="S18" s="754"/>
      <c r="T18" s="753"/>
      <c r="U18" s="754"/>
      <c r="V18" s="753"/>
      <c r="W18" s="754"/>
      <c r="X18" s="1897"/>
      <c r="Y18" s="3008"/>
      <c r="Z18" s="1899"/>
      <c r="AA18" s="1900">
        <v>1</v>
      </c>
      <c r="AB18" s="1900">
        <v>1</v>
      </c>
      <c r="AC18" s="1900">
        <v>1</v>
      </c>
    </row>
    <row r="19" spans="1:29" ht="15">
      <c r="A19" s="408"/>
      <c r="B19" s="615" t="s">
        <v>2542</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8"/>
      <c r="Q19" s="1896" t="str">
        <f t="shared" ref="Q19:Q33" si="8">B19</f>
        <v>区域土地利用方向</v>
      </c>
      <c r="R19" s="753" t="s">
        <v>25</v>
      </c>
      <c r="S19" s="754">
        <f>F19</f>
        <v>100</v>
      </c>
      <c r="T19" s="753" t="s">
        <v>25</v>
      </c>
      <c r="U19" s="754">
        <f>H19</f>
        <v>100</v>
      </c>
      <c r="V19" s="753" t="s">
        <v>25</v>
      </c>
      <c r="W19" s="754">
        <f>J19</f>
        <v>100</v>
      </c>
      <c r="X19" s="1897"/>
      <c r="Y19" s="3008"/>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4"/>
      <c r="L20" s="1252"/>
      <c r="M20" s="1243"/>
      <c r="N20" s="1243"/>
      <c r="O20" s="1251"/>
      <c r="P20" s="3008"/>
      <c r="Q20" s="1896"/>
      <c r="R20" s="753"/>
      <c r="S20" s="754"/>
      <c r="T20" s="753"/>
      <c r="U20" s="754"/>
      <c r="V20" s="753"/>
      <c r="W20" s="754"/>
      <c r="X20" s="1897"/>
      <c r="Y20" s="3008"/>
      <c r="Z20" s="1899"/>
      <c r="AA20" s="1900"/>
      <c r="AB20" s="1900"/>
      <c r="AC20" s="1900"/>
    </row>
    <row r="21" spans="1:29" ht="71.25">
      <c r="A21" s="383"/>
      <c r="B21" s="615" t="s">
        <v>2587</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8"/>
      <c r="Q21" s="1896" t="str">
        <f t="shared" si="8"/>
        <v>环境状况</v>
      </c>
      <c r="R21" s="753" t="s">
        <v>25</v>
      </c>
      <c r="S21" s="754">
        <f>F21</f>
        <v>100</v>
      </c>
      <c r="T21" s="753" t="s">
        <v>25</v>
      </c>
      <c r="U21" s="754">
        <f>H21</f>
        <v>100</v>
      </c>
      <c r="V21" s="753" t="s">
        <v>25</v>
      </c>
      <c r="W21" s="754">
        <f>J21</f>
        <v>100</v>
      </c>
      <c r="X21" s="1897"/>
      <c r="Y21" s="3008"/>
      <c r="Z21" s="1899" t="str">
        <f>Q21</f>
        <v>环境状况</v>
      </c>
      <c r="AA21" s="1900">
        <f t="shared" si="3"/>
        <v>1</v>
      </c>
      <c r="AB21" s="1900">
        <f t="shared" si="4"/>
        <v>1</v>
      </c>
      <c r="AC21" s="1900">
        <f t="shared" si="5"/>
        <v>1</v>
      </c>
    </row>
    <row r="22" spans="1:29" ht="15">
      <c r="A22" s="383"/>
      <c r="B22" s="616"/>
      <c r="C22" s="426"/>
      <c r="D22" s="427"/>
      <c r="E22" s="1471"/>
      <c r="F22" s="427"/>
      <c r="G22" s="1471"/>
      <c r="H22" s="427"/>
      <c r="I22" s="426"/>
      <c r="J22" s="427"/>
      <c r="K22" s="655"/>
      <c r="L22" s="1252"/>
      <c r="M22" s="1243"/>
      <c r="N22" s="1243"/>
      <c r="O22" s="1251"/>
      <c r="P22" s="3008"/>
      <c r="Q22" s="1896"/>
      <c r="R22" s="753"/>
      <c r="S22" s="754"/>
      <c r="T22" s="753"/>
      <c r="U22" s="754"/>
      <c r="V22" s="753"/>
      <c r="W22" s="754"/>
      <c r="X22" s="1897"/>
      <c r="Y22" s="3008"/>
      <c r="Z22" s="1899"/>
      <c r="AA22" s="1900">
        <v>1</v>
      </c>
      <c r="AB22" s="1900">
        <v>1</v>
      </c>
      <c r="AC22" s="1900">
        <v>1</v>
      </c>
    </row>
    <row r="23" spans="1:29" s="35" customFormat="1" ht="42.75">
      <c r="A23" s="633"/>
      <c r="B23" s="615" t="s">
        <v>2445</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8"/>
      <c r="Q23" s="1884" t="str">
        <f t="shared" si="8"/>
        <v>公共配套设施</v>
      </c>
      <c r="R23" s="749" t="s">
        <v>25</v>
      </c>
      <c r="S23" s="750">
        <f>F23</f>
        <v>100</v>
      </c>
      <c r="T23" s="749" t="s">
        <v>25</v>
      </c>
      <c r="U23" s="750">
        <f>H23</f>
        <v>100</v>
      </c>
      <c r="V23" s="749" t="s">
        <v>25</v>
      </c>
      <c r="W23" s="750">
        <f>J23</f>
        <v>100</v>
      </c>
      <c r="X23" s="751"/>
      <c r="Y23" s="3008"/>
      <c r="Z23" s="23" t="str">
        <f>Q23</f>
        <v>公共配套设施</v>
      </c>
      <c r="AA23" s="1900">
        <f>D23/F23</f>
        <v>1</v>
      </c>
      <c r="AB23" s="1900">
        <f>D23/H23</f>
        <v>1</v>
      </c>
      <c r="AC23" s="1900">
        <f>D23/J23</f>
        <v>1</v>
      </c>
    </row>
    <row r="24" spans="1:29" s="35" customFormat="1" ht="15">
      <c r="A24" s="633"/>
      <c r="B24" s="616"/>
      <c r="C24" s="2495"/>
      <c r="D24" s="427"/>
      <c r="E24" s="1471"/>
      <c r="F24" s="427"/>
      <c r="G24" s="1471"/>
      <c r="H24" s="427"/>
      <c r="I24" s="426"/>
      <c r="J24" s="427"/>
      <c r="K24" s="655"/>
      <c r="L24" s="1244"/>
      <c r="M24" s="1245"/>
      <c r="N24" s="1245"/>
      <c r="O24" s="1246"/>
      <c r="P24" s="3008"/>
      <c r="Q24" s="1884"/>
      <c r="R24" s="749"/>
      <c r="S24" s="750"/>
      <c r="T24" s="749"/>
      <c r="U24" s="750"/>
      <c r="V24" s="749"/>
      <c r="W24" s="750"/>
      <c r="X24" s="751"/>
      <c r="Y24" s="3008"/>
      <c r="Z24" s="23"/>
      <c r="AA24" s="752">
        <v>1</v>
      </c>
      <c r="AB24" s="752">
        <v>1</v>
      </c>
      <c r="AC24" s="752">
        <v>1</v>
      </c>
    </row>
    <row r="25" spans="1:29" s="35" customFormat="1" ht="28.5">
      <c r="A25" s="633"/>
      <c r="B25" s="617" t="s">
        <v>2446</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8"/>
      <c r="Q25" s="1884" t="str">
        <f t="shared" ref="Q25" si="9">B25</f>
        <v>基础设施水平</v>
      </c>
      <c r="R25" s="749" t="s">
        <v>25</v>
      </c>
      <c r="S25" s="750">
        <f>F25</f>
        <v>100</v>
      </c>
      <c r="T25" s="749" t="s">
        <v>25</v>
      </c>
      <c r="U25" s="750">
        <f>H25</f>
        <v>100</v>
      </c>
      <c r="V25" s="749" t="s">
        <v>25</v>
      </c>
      <c r="W25" s="750">
        <f>J25</f>
        <v>100</v>
      </c>
      <c r="X25" s="751"/>
      <c r="Y25" s="3008"/>
      <c r="Z25" s="23" t="str">
        <f>Q25</f>
        <v>基础设施水平</v>
      </c>
      <c r="AA25" s="1900">
        <f>D25/F25</f>
        <v>1</v>
      </c>
      <c r="AB25" s="1900">
        <f>D25/H25</f>
        <v>1</v>
      </c>
      <c r="AC25" s="1900">
        <f>D25/J25</f>
        <v>1</v>
      </c>
    </row>
    <row r="26" spans="1:29" s="35" customFormat="1" ht="15">
      <c r="A26" s="633"/>
      <c r="B26" s="616"/>
      <c r="C26" s="2495"/>
      <c r="D26" s="427"/>
      <c r="E26" s="2484"/>
      <c r="F26" s="427"/>
      <c r="G26" s="2484"/>
      <c r="H26" s="427"/>
      <c r="I26" s="2484"/>
      <c r="J26" s="427"/>
      <c r="K26" s="655"/>
      <c r="L26" s="1244"/>
      <c r="M26" s="1245"/>
      <c r="N26" s="1245"/>
      <c r="O26" s="1246"/>
      <c r="P26" s="3008"/>
      <c r="Q26" s="1884"/>
      <c r="R26" s="749"/>
      <c r="S26" s="750"/>
      <c r="T26" s="749"/>
      <c r="U26" s="750"/>
      <c r="V26" s="749"/>
      <c r="W26" s="750"/>
      <c r="X26" s="751"/>
      <c r="Y26" s="3008"/>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8"/>
      <c r="Q27" s="1896" t="str">
        <f t="shared" si="8"/>
        <v>临街状况</v>
      </c>
      <c r="R27" s="753" t="s">
        <v>25</v>
      </c>
      <c r="S27" s="754">
        <f t="shared" ref="S27:S40" si="10">F27</f>
        <v>100</v>
      </c>
      <c r="T27" s="753" t="s">
        <v>25</v>
      </c>
      <c r="U27" s="754">
        <f t="shared" ref="U27:U40" si="11">H27</f>
        <v>100</v>
      </c>
      <c r="V27" s="753" t="s">
        <v>25</v>
      </c>
      <c r="W27" s="754">
        <f t="shared" ref="W27:W40" si="12">J27</f>
        <v>100</v>
      </c>
      <c r="X27" s="1897"/>
      <c r="Y27" s="3008"/>
      <c r="Z27" s="1899" t="str">
        <f t="shared" ref="Z27:Z40" si="13">Q27</f>
        <v>临街状况</v>
      </c>
      <c r="AA27" s="1900">
        <f t="shared" si="3"/>
        <v>1</v>
      </c>
      <c r="AB27" s="1900">
        <f t="shared" si="4"/>
        <v>1</v>
      </c>
      <c r="AC27" s="1900">
        <f t="shared" si="5"/>
        <v>1</v>
      </c>
    </row>
    <row r="28" spans="1:29" ht="27">
      <c r="A28" s="408"/>
      <c r="B28" s="617" t="s">
        <v>2477</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8"/>
      <c r="Q28" s="1896" t="str">
        <f t="shared" si="8"/>
        <v>毗邻道路的类型与等级</v>
      </c>
      <c r="R28" s="753" t="s">
        <v>25</v>
      </c>
      <c r="S28" s="754">
        <f t="shared" si="10"/>
        <v>100</v>
      </c>
      <c r="T28" s="753" t="s">
        <v>25</v>
      </c>
      <c r="U28" s="754">
        <f t="shared" si="11"/>
        <v>100</v>
      </c>
      <c r="V28" s="753" t="s">
        <v>25</v>
      </c>
      <c r="W28" s="754">
        <f t="shared" si="12"/>
        <v>100</v>
      </c>
      <c r="X28" s="1897"/>
      <c r="Y28" s="3008"/>
      <c r="Z28" s="1899" t="str">
        <f t="shared" si="13"/>
        <v>毗邻道路的类型与等级</v>
      </c>
      <c r="AA28" s="1900">
        <f t="shared" si="3"/>
        <v>1</v>
      </c>
      <c r="AB28" s="1900">
        <f t="shared" si="4"/>
        <v>1</v>
      </c>
      <c r="AC28" s="1900">
        <f t="shared" si="5"/>
        <v>1</v>
      </c>
    </row>
    <row r="29" spans="1:29" ht="15">
      <c r="A29" s="408"/>
      <c r="B29" s="616"/>
      <c r="C29" s="426"/>
      <c r="D29" s="427"/>
      <c r="E29" s="1471"/>
      <c r="F29" s="427"/>
      <c r="G29" s="1471"/>
      <c r="H29" s="427"/>
      <c r="I29" s="1471"/>
      <c r="J29" s="427"/>
      <c r="K29" s="597"/>
      <c r="L29" s="1252"/>
      <c r="M29" s="1243"/>
      <c r="N29" s="1243"/>
      <c r="O29" s="1251"/>
      <c r="P29" s="3008"/>
      <c r="Q29" s="1896"/>
      <c r="R29" s="753"/>
      <c r="S29" s="754"/>
      <c r="T29" s="753"/>
      <c r="U29" s="754"/>
      <c r="V29" s="753"/>
      <c r="W29" s="754"/>
      <c r="X29" s="1897"/>
      <c r="Y29" s="3008"/>
      <c r="Z29" s="1899"/>
      <c r="AA29" s="1900">
        <v>1</v>
      </c>
      <c r="AB29" s="1900">
        <v>1</v>
      </c>
      <c r="AC29" s="1900">
        <v>1</v>
      </c>
    </row>
    <row r="30" spans="1:29" ht="15">
      <c r="A30" s="408"/>
      <c r="B30" s="637" t="s">
        <v>2544</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8"/>
      <c r="Q30" s="1896" t="str">
        <f t="shared" si="8"/>
        <v>土地级别</v>
      </c>
      <c r="R30" s="753" t="s">
        <v>25</v>
      </c>
      <c r="S30" s="754">
        <f t="shared" si="10"/>
        <v>100</v>
      </c>
      <c r="T30" s="753" t="s">
        <v>25</v>
      </c>
      <c r="U30" s="754">
        <f t="shared" si="11"/>
        <v>100</v>
      </c>
      <c r="V30" s="753" t="s">
        <v>25</v>
      </c>
      <c r="W30" s="754">
        <f t="shared" si="12"/>
        <v>100</v>
      </c>
      <c r="X30" s="1897"/>
      <c r="Y30" s="3008"/>
      <c r="Z30" s="1899" t="str">
        <f t="shared" si="13"/>
        <v>土地级别</v>
      </c>
      <c r="AA30" s="1900">
        <f t="shared" si="3"/>
        <v>1</v>
      </c>
      <c r="AB30" s="1900">
        <f t="shared" si="4"/>
        <v>1</v>
      </c>
      <c r="AC30" s="1900">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8"/>
      <c r="Q31" s="1896">
        <f t="shared" si="8"/>
        <v>111</v>
      </c>
      <c r="R31" s="753" t="s">
        <v>25</v>
      </c>
      <c r="S31" s="754">
        <f t="shared" si="10"/>
        <v>100</v>
      </c>
      <c r="T31" s="753" t="s">
        <v>25</v>
      </c>
      <c r="U31" s="754">
        <f t="shared" si="11"/>
        <v>100</v>
      </c>
      <c r="V31" s="753" t="s">
        <v>25</v>
      </c>
      <c r="W31" s="754">
        <f t="shared" si="12"/>
        <v>100</v>
      </c>
      <c r="X31" s="1897"/>
      <c r="Y31" s="3008"/>
      <c r="Z31" s="1899">
        <f t="shared" si="13"/>
        <v>111</v>
      </c>
      <c r="AA31" s="1900">
        <f t="shared" si="3"/>
        <v>1</v>
      </c>
      <c r="AB31" s="1900">
        <f t="shared" si="4"/>
        <v>1</v>
      </c>
      <c r="AC31" s="1900">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53" t="s">
        <v>2365</v>
      </c>
      <c r="Q32" s="1896">
        <f t="shared" si="8"/>
        <v>111</v>
      </c>
      <c r="R32" s="753" t="s">
        <v>25</v>
      </c>
      <c r="S32" s="754">
        <f t="shared" si="10"/>
        <v>100</v>
      </c>
      <c r="T32" s="753" t="s">
        <v>25</v>
      </c>
      <c r="U32" s="754">
        <f t="shared" si="11"/>
        <v>100</v>
      </c>
      <c r="V32" s="753" t="s">
        <v>25</v>
      </c>
      <c r="W32" s="754">
        <f t="shared" si="12"/>
        <v>100</v>
      </c>
      <c r="X32" s="1897"/>
      <c r="Y32" s="3012" t="s">
        <v>2365</v>
      </c>
      <c r="Z32" s="1899">
        <f t="shared" si="13"/>
        <v>111</v>
      </c>
      <c r="AA32" s="1900">
        <f t="shared" si="3"/>
        <v>1</v>
      </c>
      <c r="AB32" s="1900">
        <f t="shared" si="4"/>
        <v>1</v>
      </c>
      <c r="AC32" s="1900">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12"/>
      <c r="Q33" s="1896">
        <f t="shared" si="8"/>
        <v>111</v>
      </c>
      <c r="R33" s="756" t="s">
        <v>25</v>
      </c>
      <c r="S33" s="757">
        <f t="shared" si="10"/>
        <v>100</v>
      </c>
      <c r="T33" s="756" t="s">
        <v>25</v>
      </c>
      <c r="U33" s="757">
        <f t="shared" si="11"/>
        <v>100</v>
      </c>
      <c r="V33" s="756" t="s">
        <v>25</v>
      </c>
      <c r="W33" s="757">
        <f t="shared" si="12"/>
        <v>100</v>
      </c>
      <c r="X33" s="758"/>
      <c r="Y33" s="3012"/>
      <c r="Z33" s="759">
        <f t="shared" si="13"/>
        <v>111</v>
      </c>
      <c r="AA33" s="1900">
        <f t="shared" si="3"/>
        <v>1</v>
      </c>
      <c r="AB33" s="1900">
        <f t="shared" si="4"/>
        <v>1</v>
      </c>
      <c r="AC33" s="1900">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12"/>
      <c r="Q34" s="1896" t="str">
        <f>B34</f>
        <v>宗地面积</v>
      </c>
      <c r="R34" s="753" t="s">
        <v>25</v>
      </c>
      <c r="S34" s="754" t="e">
        <f t="shared" si="10"/>
        <v>#N/A</v>
      </c>
      <c r="T34" s="753" t="s">
        <v>25</v>
      </c>
      <c r="U34" s="754" t="e">
        <f t="shared" si="11"/>
        <v>#N/A</v>
      </c>
      <c r="V34" s="753" t="s">
        <v>25</v>
      </c>
      <c r="W34" s="754" t="e">
        <f t="shared" si="12"/>
        <v>#N/A</v>
      </c>
      <c r="X34" s="1897"/>
      <c r="Y34" s="3012"/>
      <c r="Z34" s="1899" t="str">
        <f t="shared" si="13"/>
        <v>宗地面积</v>
      </c>
      <c r="AA34" s="1900" t="e">
        <f t="shared" si="3"/>
        <v>#N/A</v>
      </c>
      <c r="AB34" s="1900" t="e">
        <f t="shared" si="4"/>
        <v>#N/A</v>
      </c>
      <c r="AC34" s="1900" t="e">
        <f t="shared" si="5"/>
        <v>#N/A</v>
      </c>
    </row>
    <row r="35" spans="1:29" ht="15">
      <c r="A35" s="453"/>
      <c r="B35" s="402" t="s">
        <v>2546</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2"/>
      <c r="M35" s="1243"/>
      <c r="N35" s="1243"/>
      <c r="O35" s="1251"/>
      <c r="P35" s="3012"/>
      <c r="Q35" s="1896" t="str">
        <f t="shared" ref="Q35:Q40" si="14">B35</f>
        <v>宗地形状</v>
      </c>
      <c r="R35" s="753" t="s">
        <v>25</v>
      </c>
      <c r="S35" s="754">
        <f t="shared" si="10"/>
        <v>100</v>
      </c>
      <c r="T35" s="753" t="s">
        <v>25</v>
      </c>
      <c r="U35" s="754">
        <f t="shared" si="11"/>
        <v>100</v>
      </c>
      <c r="V35" s="753" t="s">
        <v>25</v>
      </c>
      <c r="W35" s="754">
        <f t="shared" si="12"/>
        <v>100</v>
      </c>
      <c r="X35" s="1897"/>
      <c r="Y35" s="3012"/>
      <c r="Z35" s="1899" t="str">
        <f t="shared" si="13"/>
        <v>宗地形状</v>
      </c>
      <c r="AA35" s="1900">
        <f t="shared" si="3"/>
        <v>1</v>
      </c>
      <c r="AB35" s="1900">
        <f t="shared" si="4"/>
        <v>1</v>
      </c>
      <c r="AC35" s="1900">
        <f t="shared" si="5"/>
        <v>1</v>
      </c>
    </row>
    <row r="36" spans="1:29" s="35" customFormat="1" ht="15">
      <c r="A36" s="454"/>
      <c r="B36" s="402" t="s">
        <v>2548</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4"/>
      <c r="M36" s="1245"/>
      <c r="N36" s="1245"/>
      <c r="O36" s="1246"/>
      <c r="P36" s="3012"/>
      <c r="Q36" s="1896" t="str">
        <f t="shared" si="14"/>
        <v>宗地开发程度</v>
      </c>
      <c r="R36" s="749" t="s">
        <v>25</v>
      </c>
      <c r="S36" s="750">
        <f t="shared" si="10"/>
        <v>100</v>
      </c>
      <c r="T36" s="749" t="s">
        <v>25</v>
      </c>
      <c r="U36" s="750">
        <f t="shared" si="11"/>
        <v>100</v>
      </c>
      <c r="V36" s="749" t="s">
        <v>25</v>
      </c>
      <c r="W36" s="750">
        <f t="shared" si="12"/>
        <v>100</v>
      </c>
      <c r="X36" s="751"/>
      <c r="Y36" s="3012"/>
      <c r="Z36" s="23" t="str">
        <f t="shared" si="13"/>
        <v>宗地开发程度</v>
      </c>
      <c r="AA36" s="752">
        <f t="shared" si="3"/>
        <v>1</v>
      </c>
      <c r="AB36" s="752">
        <f t="shared" si="4"/>
        <v>1</v>
      </c>
      <c r="AC36" s="752">
        <f t="shared" si="5"/>
        <v>1</v>
      </c>
    </row>
    <row r="37" spans="1:29" ht="15">
      <c r="A37" s="453"/>
      <c r="B37" s="402" t="s">
        <v>2549</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2"/>
      <c r="M37" s="1243"/>
      <c r="N37" s="1243"/>
      <c r="O37" s="1251"/>
      <c r="P37" s="3012" t="s">
        <v>2365</v>
      </c>
      <c r="Q37" s="1896" t="str">
        <f t="shared" si="14"/>
        <v>工程地质条件</v>
      </c>
      <c r="R37" s="753" t="s">
        <v>25</v>
      </c>
      <c r="S37" s="754">
        <f t="shared" si="10"/>
        <v>100</v>
      </c>
      <c r="T37" s="753" t="s">
        <v>25</v>
      </c>
      <c r="U37" s="754">
        <f t="shared" si="11"/>
        <v>100</v>
      </c>
      <c r="V37" s="753" t="s">
        <v>25</v>
      </c>
      <c r="W37" s="754">
        <f t="shared" si="12"/>
        <v>100</v>
      </c>
      <c r="X37" s="1897"/>
      <c r="Y37" s="3012" t="s">
        <v>2365</v>
      </c>
      <c r="Z37" s="1899" t="str">
        <f t="shared" si="13"/>
        <v>工程地质条件</v>
      </c>
      <c r="AA37" s="1900">
        <f t="shared" si="3"/>
        <v>1</v>
      </c>
      <c r="AB37" s="1900">
        <f t="shared" si="4"/>
        <v>1</v>
      </c>
      <c r="AC37" s="1900">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12"/>
      <c r="Q38" s="1896">
        <f t="shared" si="14"/>
        <v>111</v>
      </c>
      <c r="R38" s="753" t="s">
        <v>25</v>
      </c>
      <c r="S38" s="754">
        <f t="shared" si="10"/>
        <v>100</v>
      </c>
      <c r="T38" s="753" t="s">
        <v>25</v>
      </c>
      <c r="U38" s="754">
        <f t="shared" si="11"/>
        <v>100</v>
      </c>
      <c r="V38" s="753" t="s">
        <v>25</v>
      </c>
      <c r="W38" s="754">
        <f t="shared" si="12"/>
        <v>100</v>
      </c>
      <c r="X38" s="1897"/>
      <c r="Y38" s="3012"/>
      <c r="Z38" s="1899">
        <f t="shared" si="13"/>
        <v>111</v>
      </c>
      <c r="AA38" s="1900">
        <f t="shared" si="3"/>
        <v>1</v>
      </c>
      <c r="AB38" s="1900">
        <f t="shared" si="4"/>
        <v>1</v>
      </c>
      <c r="AC38" s="1900">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12"/>
      <c r="Q39" s="1896">
        <f t="shared" si="14"/>
        <v>111</v>
      </c>
      <c r="R39" s="753" t="s">
        <v>25</v>
      </c>
      <c r="S39" s="754">
        <f t="shared" si="10"/>
        <v>100</v>
      </c>
      <c r="T39" s="753" t="s">
        <v>25</v>
      </c>
      <c r="U39" s="754">
        <f t="shared" si="11"/>
        <v>100</v>
      </c>
      <c r="V39" s="753" t="s">
        <v>25</v>
      </c>
      <c r="W39" s="754">
        <f t="shared" si="12"/>
        <v>100</v>
      </c>
      <c r="X39" s="1897"/>
      <c r="Y39" s="3012"/>
      <c r="Z39" s="1899">
        <f t="shared" si="13"/>
        <v>111</v>
      </c>
      <c r="AA39" s="1900">
        <f t="shared" si="3"/>
        <v>1</v>
      </c>
      <c r="AB39" s="1900">
        <f t="shared" si="4"/>
        <v>1</v>
      </c>
      <c r="AC39" s="1900">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12"/>
      <c r="Q40" s="1896">
        <f t="shared" si="14"/>
        <v>111</v>
      </c>
      <c r="R40" s="756" t="s">
        <v>25</v>
      </c>
      <c r="S40" s="757">
        <f t="shared" si="10"/>
        <v>100</v>
      </c>
      <c r="T40" s="756" t="s">
        <v>25</v>
      </c>
      <c r="U40" s="757">
        <f t="shared" si="11"/>
        <v>100</v>
      </c>
      <c r="V40" s="756" t="s">
        <v>25</v>
      </c>
      <c r="W40" s="757">
        <f t="shared" si="12"/>
        <v>100</v>
      </c>
      <c r="X40" s="758"/>
      <c r="Y40" s="3012"/>
      <c r="Z40" s="759">
        <f t="shared" si="13"/>
        <v>111</v>
      </c>
      <c r="AA40" s="1900">
        <f t="shared" si="3"/>
        <v>1</v>
      </c>
      <c r="AB40" s="1900">
        <f t="shared" si="4"/>
        <v>1</v>
      </c>
      <c r="AC40" s="1900">
        <f t="shared" si="5"/>
        <v>1</v>
      </c>
    </row>
    <row r="41" spans="1:29" ht="15">
      <c r="A41" s="460" t="s">
        <v>2513</v>
      </c>
      <c r="B41" s="2489" t="s">
        <v>2588</v>
      </c>
      <c r="C41" s="665" t="s">
        <v>1</v>
      </c>
      <c r="D41" s="462"/>
      <c r="E41" s="463"/>
      <c r="F41" s="464"/>
      <c r="G41" s="465"/>
      <c r="H41" s="466"/>
      <c r="I41" s="463"/>
      <c r="J41" s="466"/>
      <c r="K41" s="762"/>
      <c r="L41" s="1255"/>
      <c r="M41" s="1243"/>
      <c r="N41" s="1243"/>
      <c r="O41" s="1256"/>
      <c r="P41" s="3004" t="str">
        <f>A41</f>
        <v>成交单价</v>
      </c>
      <c r="Q41" s="3004"/>
      <c r="R41" s="3041">
        <f>E41</f>
        <v>0</v>
      </c>
      <c r="S41" s="3041"/>
      <c r="T41" s="3041">
        <f>G41</f>
        <v>0</v>
      </c>
      <c r="U41" s="3041"/>
      <c r="V41" s="3041">
        <f>I41</f>
        <v>0</v>
      </c>
      <c r="W41" s="3041"/>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5"/>
      <c r="M42" s="1243"/>
      <c r="N42" s="1243"/>
      <c r="O42" s="1256"/>
      <c r="P42" s="3004" t="str">
        <f>A42</f>
        <v>比较价值（元/平方米）</v>
      </c>
      <c r="Q42" s="3004"/>
      <c r="R42" s="3054" t="e">
        <f>ROUND(PRODUCT(R41,AA7:AA40),0)</f>
        <v>#DIV/0!</v>
      </c>
      <c r="S42" s="3054"/>
      <c r="T42" s="3054" t="e">
        <f>ROUND(PRODUCT(T41,AB7:AB40),0)</f>
        <v>#DIV/0!</v>
      </c>
      <c r="U42" s="3054"/>
      <c r="V42" s="3054" t="e">
        <f>ROUND(PRODUCT(V41,AC7:AC40),0)</f>
        <v>#DIV/0!</v>
      </c>
      <c r="W42" s="3054"/>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5"/>
      <c r="M43" s="1243"/>
      <c r="N43" s="1243"/>
      <c r="O43" s="1256"/>
      <c r="P43" s="3001" t="str">
        <f>A43</f>
        <v>估价对象XX用房的比较价值（楼面单价，元/平方米）</v>
      </c>
      <c r="Q43" s="3002"/>
      <c r="R43" s="3055" t="e">
        <f>ROUND(AVERAGE(R42:V42),0)</f>
        <v>#DIV/0!</v>
      </c>
      <c r="S43" s="3055"/>
      <c r="T43" s="3055"/>
      <c r="U43" s="3055"/>
      <c r="V43" s="3055"/>
      <c r="W43" s="3055"/>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2551</v>
      </c>
      <c r="B50" s="668" t="s">
        <v>2552</v>
      </c>
      <c r="C50" s="2490" t="s">
        <v>2553</v>
      </c>
      <c r="D50" s="2491" t="s">
        <v>2554</v>
      </c>
      <c r="E50" s="669" t="s">
        <v>2555</v>
      </c>
      <c r="F50" s="670" t="s">
        <v>2556</v>
      </c>
      <c r="G50" s="1899" t="s">
        <v>2589</v>
      </c>
      <c r="H50" s="1899">
        <f>项目基本情况!G8</f>
        <v>0</v>
      </c>
      <c r="I50" s="1847" t="s">
        <v>2558</v>
      </c>
      <c r="J50" s="1261"/>
      <c r="K50" s="1257"/>
      <c r="L50" s="1257"/>
      <c r="M50" s="1256"/>
      <c r="N50" s="1256"/>
      <c r="O50" s="1256"/>
    </row>
    <row r="51" spans="1:17" s="675" customFormat="1">
      <c r="A51" s="671" t="s">
        <v>2559</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2560</v>
      </c>
      <c r="B52" s="178" t="e">
        <f>ROUND($C$43*C52*D52,0)</f>
        <v>#DIV/0!</v>
      </c>
      <c r="C52" s="117">
        <f>IF($C$50="北京市系数",G52,H52)</f>
        <v>0.8</v>
      </c>
      <c r="D52" s="1291">
        <v>0.25</v>
      </c>
      <c r="E52" s="677">
        <v>0</v>
      </c>
      <c r="F52" s="674" t="e">
        <f t="shared" si="15"/>
        <v>#DIV/0!</v>
      </c>
      <c r="G52" s="971">
        <f>SUMIF(修正!$A$45:$A$56,项目基本情况!$F$9,修正!B45:B56)</f>
        <v>0.8</v>
      </c>
      <c r="H52" s="972"/>
      <c r="I52" s="1256"/>
      <c r="J52" s="1261"/>
      <c r="K52" s="1257"/>
      <c r="L52" s="1257"/>
      <c r="M52" s="1256"/>
      <c r="N52" s="1256"/>
      <c r="O52" s="1256"/>
    </row>
    <row r="53" spans="1:17" s="675" customFormat="1">
      <c r="A53" s="676" t="s">
        <v>2561</v>
      </c>
      <c r="B53" s="178" t="e">
        <f t="shared" ref="B53:B60" si="16">ROUND($C$43*C53*D53,0)</f>
        <v>#DIV/0!</v>
      </c>
      <c r="C53" s="117">
        <f t="shared" ref="C53:C60" si="17">IF($C$50="北京市系数",G53,H53)</f>
        <v>0.5</v>
      </c>
      <c r="D53" s="1291">
        <v>0.25</v>
      </c>
      <c r="E53" s="677">
        <v>0</v>
      </c>
      <c r="F53" s="674" t="e">
        <f t="shared" si="15"/>
        <v>#DIV/0!</v>
      </c>
      <c r="G53" s="971">
        <f>SUMIF(修正!$A$45:$A$56,项目基本情况!$F$9,修正!C45:C56)</f>
        <v>0.5</v>
      </c>
      <c r="H53" s="972"/>
      <c r="I53" s="1258"/>
      <c r="J53" s="1261"/>
      <c r="K53" s="1257"/>
      <c r="L53" s="1257"/>
      <c r="M53" s="1256"/>
      <c r="N53" s="1256"/>
      <c r="O53" s="1256"/>
    </row>
    <row r="54" spans="1:17" s="675" customFormat="1">
      <c r="A54" s="676" t="s">
        <v>2562</v>
      </c>
      <c r="B54" s="178" t="e">
        <f t="shared" si="16"/>
        <v>#DIV/0!</v>
      </c>
      <c r="C54" s="117">
        <f t="shared" si="17"/>
        <v>0.36</v>
      </c>
      <c r="D54" s="1291">
        <v>0.25</v>
      </c>
      <c r="E54" s="677">
        <v>0</v>
      </c>
      <c r="F54" s="674" t="e">
        <f t="shared" si="15"/>
        <v>#DIV/0!</v>
      </c>
      <c r="G54" s="971">
        <f>SUMIF(修正!$A$45:$A$56,项目基本情况!$F$9,修正!D45:D56)</f>
        <v>0.36</v>
      </c>
      <c r="H54" s="972"/>
      <c r="I54" s="1256"/>
      <c r="J54" s="1261"/>
      <c r="K54" s="1257"/>
      <c r="L54" s="1257"/>
      <c r="M54" s="1256"/>
      <c r="N54" s="1256"/>
      <c r="O54" s="1256"/>
    </row>
    <row r="55" spans="1:17" s="675" customFormat="1">
      <c r="A55" s="676" t="s">
        <v>2563</v>
      </c>
      <c r="B55" s="178" t="e">
        <f t="shared" si="16"/>
        <v>#DIV/0!</v>
      </c>
      <c r="C55" s="117">
        <f t="shared" si="17"/>
        <v>0.3</v>
      </c>
      <c r="D55" s="1291">
        <v>0.25</v>
      </c>
      <c r="E55" s="677">
        <v>0</v>
      </c>
      <c r="F55" s="674" t="e">
        <f t="shared" si="15"/>
        <v>#DIV/0!</v>
      </c>
      <c r="G55" s="971">
        <f>SUMIF(修正!$A$45:$A$56,项目基本情况!$F$9,修正!E45:E56)</f>
        <v>0.3</v>
      </c>
      <c r="H55" s="972"/>
      <c r="I55" s="1258"/>
      <c r="J55" s="1261"/>
      <c r="K55" s="1257"/>
      <c r="L55" s="1257"/>
      <c r="M55" s="1256"/>
      <c r="N55" s="1256"/>
      <c r="O55" s="1256"/>
    </row>
    <row r="56" spans="1:17" s="675" customFormat="1">
      <c r="A56" s="676" t="s">
        <v>2564</v>
      </c>
      <c r="B56" s="178" t="e">
        <f t="shared" si="16"/>
        <v>#DIV/0!</v>
      </c>
      <c r="C56" s="117">
        <f t="shared" si="17"/>
        <v>0.25</v>
      </c>
      <c r="D56" s="1291">
        <v>0.25</v>
      </c>
      <c r="E56" s="677">
        <v>0</v>
      </c>
      <c r="F56" s="674" t="e">
        <f t="shared" si="15"/>
        <v>#DIV/0!</v>
      </c>
      <c r="G56" s="971">
        <f>SUMIF(修正!A40:A51,项目基本情况!F9,修正!F45:F56)</f>
        <v>0.25</v>
      </c>
      <c r="H56" s="972"/>
      <c r="I56" s="1256"/>
      <c r="J56" s="1261"/>
      <c r="K56" s="1257"/>
      <c r="L56" s="1257"/>
      <c r="M56" s="1256"/>
      <c r="N56" s="1256"/>
      <c r="O56" s="1256"/>
    </row>
    <row r="57" spans="1:17" s="675" customFormat="1">
      <c r="A57" s="676" t="s">
        <v>2565</v>
      </c>
      <c r="B57" s="178" t="e">
        <f t="shared" si="16"/>
        <v>#DIV/0!</v>
      </c>
      <c r="C57" s="117">
        <f t="shared" si="17"/>
        <v>0.25</v>
      </c>
      <c r="D57" s="1291">
        <v>0.25</v>
      </c>
      <c r="E57" s="677">
        <v>0</v>
      </c>
      <c r="F57" s="674" t="e">
        <f t="shared" si="15"/>
        <v>#DIV/0!</v>
      </c>
      <c r="G57" s="971">
        <f>SUMIF(修正!A40:A51,项目基本情况!F9,修正!G45:G56)</f>
        <v>0.25</v>
      </c>
      <c r="H57" s="972"/>
      <c r="I57" s="1258"/>
      <c r="J57" s="1261"/>
      <c r="K57" s="1257"/>
      <c r="L57" s="1257"/>
      <c r="M57" s="1256"/>
      <c r="N57" s="1256"/>
      <c r="O57" s="1256"/>
    </row>
    <row r="58" spans="1:17" s="675" customFormat="1">
      <c r="A58" s="676" t="s">
        <v>2566</v>
      </c>
      <c r="B58" s="178" t="e">
        <f t="shared" si="16"/>
        <v>#DIV/0!</v>
      </c>
      <c r="C58" s="117">
        <f t="shared" si="17"/>
        <v>0.2</v>
      </c>
      <c r="D58" s="1291">
        <v>0.25</v>
      </c>
      <c r="E58" s="677">
        <v>0</v>
      </c>
      <c r="F58" s="674" t="e">
        <f t="shared" si="15"/>
        <v>#DIV/0!</v>
      </c>
      <c r="G58" s="971">
        <f>SUMIF(修正!A40:A51,项目基本情况!F9,修正!H45:H56)</f>
        <v>0.2</v>
      </c>
      <c r="H58" s="972"/>
      <c r="I58" s="1256"/>
      <c r="J58" s="1261"/>
      <c r="K58" s="1257"/>
      <c r="L58" s="1257"/>
      <c r="M58" s="1256"/>
      <c r="N58" s="1256"/>
      <c r="O58" s="1256"/>
    </row>
    <row r="59" spans="1:17" s="675" customFormat="1">
      <c r="A59" s="676" t="s">
        <v>2567</v>
      </c>
      <c r="B59" s="178" t="e">
        <f t="shared" si="16"/>
        <v>#DIV/0!</v>
      </c>
      <c r="C59" s="117">
        <f t="shared" si="17"/>
        <v>0.2</v>
      </c>
      <c r="D59" s="1291">
        <v>0.25</v>
      </c>
      <c r="E59" s="677">
        <v>0</v>
      </c>
      <c r="F59" s="674" t="e">
        <f t="shared" si="15"/>
        <v>#DIV/0!</v>
      </c>
      <c r="G59" s="971">
        <f>G58</f>
        <v>0.2</v>
      </c>
      <c r="H59" s="972"/>
      <c r="I59" s="1258"/>
      <c r="J59" s="1261"/>
      <c r="K59" s="1257"/>
      <c r="L59" s="1257"/>
      <c r="M59" s="1256"/>
      <c r="N59" s="1256"/>
      <c r="O59" s="1256"/>
    </row>
    <row r="60" spans="1:17" s="675" customFormat="1">
      <c r="A60" s="676" t="s">
        <v>2568</v>
      </c>
      <c r="B60" s="178" t="e">
        <f t="shared" si="16"/>
        <v>#DIV/0!</v>
      </c>
      <c r="C60" s="117">
        <f t="shared" si="17"/>
        <v>0.2</v>
      </c>
      <c r="D60" s="1291">
        <v>0.25</v>
      </c>
      <c r="E60" s="677">
        <v>0</v>
      </c>
      <c r="F60" s="674" t="e">
        <f t="shared" si="15"/>
        <v>#DIV/0!</v>
      </c>
      <c r="G60" s="971">
        <f>G58</f>
        <v>0.2</v>
      </c>
      <c r="H60" s="972"/>
      <c r="I60" s="1256"/>
      <c r="J60" s="1261"/>
      <c r="K60" s="1257"/>
      <c r="L60" s="1257"/>
      <c r="M60" s="1256"/>
      <c r="N60" s="1256"/>
      <c r="O60" s="1256"/>
    </row>
    <row r="61" spans="1:17" s="675" customFormat="1" ht="15" thickBot="1">
      <c r="A61" s="679" t="s">
        <v>2569</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2018-12-1</v>
      </c>
      <c r="D63" s="1669">
        <f>EDATE(C63,-3)</f>
        <v>43344</v>
      </c>
      <c r="E63" s="1669">
        <f t="shared" ref="E63:O63" si="18">EDATE(D63,-3)</f>
        <v>43252</v>
      </c>
      <c r="F63" s="1669">
        <f t="shared" si="18"/>
        <v>43160</v>
      </c>
      <c r="G63" s="1669">
        <f t="shared" si="18"/>
        <v>43070</v>
      </c>
      <c r="H63" s="1669">
        <f t="shared" si="18"/>
        <v>42979</v>
      </c>
      <c r="I63" s="1669">
        <f t="shared" si="18"/>
        <v>42887</v>
      </c>
      <c r="J63" s="1669">
        <f t="shared" si="18"/>
        <v>42795</v>
      </c>
      <c r="K63" s="1669">
        <f t="shared" si="18"/>
        <v>42705</v>
      </c>
      <c r="L63" s="1669">
        <f t="shared" si="18"/>
        <v>42614</v>
      </c>
      <c r="M63" s="1669">
        <f t="shared" si="18"/>
        <v>42522</v>
      </c>
      <c r="N63" s="1669">
        <f t="shared" si="18"/>
        <v>42430</v>
      </c>
      <c r="O63" s="1669">
        <f t="shared" si="18"/>
        <v>42339</v>
      </c>
    </row>
    <row r="64" spans="1:17" ht="21.75" thickBot="1">
      <c r="A64" s="742" t="s">
        <v>2465</v>
      </c>
      <c r="B64" s="738"/>
      <c r="C64" s="743"/>
      <c r="D64" s="743"/>
      <c r="E64" s="743"/>
      <c r="F64" s="744"/>
      <c r="G64" s="744"/>
      <c r="H64" s="743"/>
      <c r="I64" s="1272"/>
      <c r="J64" s="1272"/>
      <c r="K64" s="1270"/>
      <c r="L64" s="1271"/>
      <c r="M64" s="1272"/>
      <c r="N64" s="1272"/>
      <c r="O64" s="1272"/>
      <c r="P64" s="484"/>
      <c r="Q64" s="485"/>
    </row>
    <row r="65" spans="1:17" s="489" customFormat="1" ht="15">
      <c r="A65" s="2493" t="s">
        <v>2570</v>
      </c>
      <c r="B65" s="1455"/>
      <c r="C65" s="1670" t="str">
        <f>YEAR(C63)&amp;"-"&amp;ROUNDUP(MONTH(C63)/3,0)</f>
        <v>2018-4</v>
      </c>
      <c r="D65" s="1670" t="str">
        <f t="shared" ref="D65:O65" si="19">YEAR(D63)&amp;"-"&amp;ROUNDUP(MONTH(D63)/3,0)</f>
        <v>2018-3</v>
      </c>
      <c r="E65" s="1670" t="str">
        <f t="shared" si="19"/>
        <v>2018-2</v>
      </c>
      <c r="F65" s="1670" t="str">
        <f t="shared" si="19"/>
        <v>2018-1</v>
      </c>
      <c r="G65" s="1670" t="str">
        <f t="shared" si="19"/>
        <v>2017-4</v>
      </c>
      <c r="H65" s="1670" t="str">
        <f t="shared" si="19"/>
        <v>2017-3</v>
      </c>
      <c r="I65" s="1670" t="str">
        <f t="shared" si="19"/>
        <v>2017-2</v>
      </c>
      <c r="J65" s="1670" t="str">
        <f t="shared" si="19"/>
        <v>2017-1</v>
      </c>
      <c r="K65" s="1670" t="str">
        <f t="shared" si="19"/>
        <v>2016-4</v>
      </c>
      <c r="L65" s="1670" t="str">
        <f t="shared" si="19"/>
        <v>2016-3</v>
      </c>
      <c r="M65" s="1670" t="str">
        <f t="shared" si="19"/>
        <v>2016-2</v>
      </c>
      <c r="N65" s="1670" t="str">
        <f t="shared" si="19"/>
        <v>2016-1</v>
      </c>
      <c r="O65" s="1670" t="str">
        <f t="shared" si="19"/>
        <v>2015-4</v>
      </c>
      <c r="P65" s="488"/>
    </row>
    <row r="66" spans="1:17" s="35" customFormat="1" ht="33.75" customHeight="1">
      <c r="A66" s="2499" t="s">
        <v>2590</v>
      </c>
      <c r="B66" s="284" t="str">
        <f>"北京市平均增长率"&amp;TEXT(基准地价修正!P24,"0.00%")</f>
        <v>北京市平均增长率1.42%</v>
      </c>
      <c r="C66" s="587">
        <v>100</v>
      </c>
      <c r="D66" s="579"/>
      <c r="E66" s="579"/>
      <c r="F66" s="579"/>
      <c r="G66" s="579"/>
      <c r="H66" s="579"/>
      <c r="I66" s="579"/>
      <c r="J66" s="579"/>
      <c r="K66" s="579"/>
      <c r="L66" s="579"/>
      <c r="M66" s="1668"/>
      <c r="N66" s="579"/>
      <c r="O66" s="1674"/>
      <c r="P66" s="485"/>
    </row>
    <row r="67" spans="1:17" s="35" customFormat="1" ht="15.75" thickBot="1">
      <c r="A67" s="496" t="s">
        <v>2385</v>
      </c>
      <c r="B67" s="497"/>
      <c r="C67" s="498"/>
      <c r="D67" s="499"/>
      <c r="E67" s="499"/>
      <c r="F67" s="499"/>
      <c r="G67" s="499"/>
      <c r="H67" s="499"/>
      <c r="I67" s="499"/>
      <c r="J67" s="499"/>
      <c r="K67" s="499"/>
      <c r="L67" s="499"/>
      <c r="M67" s="500"/>
      <c r="N67" s="499"/>
      <c r="O67" s="1675"/>
      <c r="P67" s="485"/>
      <c r="Q67" s="485"/>
    </row>
    <row r="68" spans="1:17" s="35" customFormat="1" ht="15">
      <c r="A68" s="502" t="s">
        <v>2349</v>
      </c>
      <c r="B68" s="491"/>
      <c r="C68" s="503" t="s">
        <v>2350</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2388</v>
      </c>
      <c r="B70" s="509" t="s">
        <v>2353</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2356</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2477</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2544</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2363</v>
      </c>
      <c r="B107" s="509" t="s">
        <v>2579</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2580</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2582</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2583</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0"/>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 zoomScale="90" zoomScaleNormal="90" zoomScaleSheetLayoutView="90" workbookViewId="0">
      <selection activeCell="C14" sqref="C14"/>
    </sheetView>
  </sheetViews>
  <sheetFormatPr defaultColWidth="9" defaultRowHeight="12.75"/>
  <cols>
    <col min="1" max="1" width="9.75" style="2580" customWidth="1"/>
    <col min="2" max="2" width="21.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1"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2591</v>
      </c>
      <c r="B1" s="2501"/>
      <c r="C1" s="162" t="s">
        <v>2592</v>
      </c>
      <c r="D1" s="2502">
        <f>SUM(D29:D30,D33:D39)</f>
        <v>11.66</v>
      </c>
      <c r="E1" s="2502"/>
      <c r="F1" s="2502"/>
      <c r="G1" s="2502"/>
      <c r="H1" s="2502"/>
      <c r="I1" s="2502"/>
      <c r="J1" s="2502"/>
      <c r="L1" s="2503" t="s">
        <v>2593</v>
      </c>
      <c r="M1" s="1118">
        <f>SUMPRODUCT((区片价!B5:B9=I2)*(区片价!C3:F3=E2)*(区片价!C5:F9))</f>
        <v>27930</v>
      </c>
      <c r="N1" s="1121">
        <f>SUMPRODUCT((因素修正幅度!B5:B9=I2)*(因素修正幅度!C3:F3=E2)*(因素修正幅度!C5:F9))</f>
        <v>7.4999999999999997E-2</v>
      </c>
      <c r="O1" s="1461"/>
      <c r="P1" s="1461"/>
      <c r="Q1" s="1461"/>
      <c r="R1" s="1708" t="s">
        <v>2594</v>
      </c>
      <c r="S1" s="1708" t="s">
        <v>2595</v>
      </c>
      <c r="T1" s="1708" t="s">
        <v>2596</v>
      </c>
      <c r="U1" s="1708" t="s">
        <v>2597</v>
      </c>
      <c r="V1" s="1708" t="s">
        <v>2598</v>
      </c>
      <c r="W1" s="1712"/>
      <c r="X1" s="1712"/>
      <c r="Y1" s="1712"/>
      <c r="Z1" s="1712"/>
      <c r="AA1" s="1712"/>
      <c r="AB1" s="1712"/>
      <c r="AC1" s="1713"/>
      <c r="AD1" s="1714"/>
      <c r="AE1" s="1714"/>
      <c r="AF1" s="1714"/>
      <c r="AG1" s="1714"/>
      <c r="AH1" s="1714"/>
      <c r="AI1" s="1714"/>
      <c r="AJ1" s="1715"/>
    </row>
    <row r="2" spans="1:36" ht="24.75">
      <c r="A2" s="165" t="s">
        <v>2599</v>
      </c>
      <c r="B2" s="168">
        <f ca="1">C26</f>
        <v>944670</v>
      </c>
      <c r="C2" s="2505" t="s">
        <v>2600</v>
      </c>
      <c r="D2" s="2506" t="s">
        <v>2601</v>
      </c>
      <c r="E2" s="2507" t="s">
        <v>2823</v>
      </c>
      <c r="F2" s="2506" t="s">
        <v>2602</v>
      </c>
      <c r="G2" s="2508" t="str">
        <f>项目基本情况!F9</f>
        <v>一级</v>
      </c>
      <c r="H2" s="2509" t="s">
        <v>2603</v>
      </c>
      <c r="I2" s="2508" t="str">
        <f>项目基本情况!F10</f>
        <v>Ⅰ—01</v>
      </c>
      <c r="J2" s="2510"/>
      <c r="L2" s="2511" t="s">
        <v>2604</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1.9361999999999999</v>
      </c>
      <c r="T2" s="1708">
        <f ca="1">ROUND($C$5*$C$18*$C$19*$C$20*S2*$C$24,0)</f>
        <v>156867</v>
      </c>
      <c r="U2" s="1709"/>
      <c r="V2" s="1708">
        <f ca="1">ROUND(T2*U2/10000,0)</f>
        <v>0</v>
      </c>
      <c r="W2" s="1712"/>
      <c r="X2" s="1712"/>
      <c r="Y2" s="1712"/>
      <c r="Z2" s="1712"/>
      <c r="AA2" s="1712"/>
      <c r="AB2" s="1712"/>
      <c r="AC2" s="1713"/>
      <c r="AD2" s="1714"/>
      <c r="AE2" s="1714"/>
      <c r="AF2" s="1714"/>
      <c r="AG2" s="1714"/>
      <c r="AH2" s="1714"/>
      <c r="AI2" s="1714"/>
      <c r="AJ2" s="1715"/>
    </row>
    <row r="3" spans="1:36" ht="25.5">
      <c r="A3" s="167" t="s">
        <v>2605</v>
      </c>
      <c r="B3" s="168">
        <f ca="1">ROUND(B2/D1,0)</f>
        <v>81018</v>
      </c>
      <c r="C3" s="2505" t="s">
        <v>2606</v>
      </c>
      <c r="D3" s="2506" t="s">
        <v>2607</v>
      </c>
      <c r="E3" s="2512" t="s">
        <v>2835</v>
      </c>
      <c r="F3" s="2513" t="s">
        <v>2608</v>
      </c>
      <c r="G3" s="941">
        <f>项目基本情况!C15</f>
        <v>2.5</v>
      </c>
      <c r="H3" s="115" t="s">
        <v>2609</v>
      </c>
      <c r="I3" s="973">
        <v>7</v>
      </c>
      <c r="J3" s="2510" t="s">
        <v>2610</v>
      </c>
      <c r="L3" s="2511" t="s">
        <v>2611</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1.4198</v>
      </c>
      <c r="T3" s="1708">
        <f t="shared" ref="T3:T16" ca="1" si="0">ROUND($C$5*$C$18*$C$19*$C$20*S3*$C$24,0)</f>
        <v>115029</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59"/>
      <c r="B4" s="3060"/>
      <c r="C4" s="3060"/>
      <c r="D4" s="3061"/>
      <c r="E4" s="3061"/>
      <c r="F4" s="3061"/>
      <c r="G4" s="3061"/>
      <c r="H4" s="3061"/>
      <c r="I4" s="3061"/>
      <c r="J4" s="3062"/>
      <c r="L4" s="2511" t="s">
        <v>2612</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1.1594</v>
      </c>
      <c r="T4" s="1708">
        <f t="shared" ca="1" si="0"/>
        <v>93932</v>
      </c>
      <c r="U4" s="1709"/>
      <c r="V4" s="1708">
        <f t="shared" ca="1" si="1"/>
        <v>0</v>
      </c>
      <c r="W4" s="1712"/>
      <c r="X4" s="1712"/>
      <c r="Y4" s="1712"/>
      <c r="Z4" s="1712"/>
      <c r="AA4" s="1712"/>
      <c r="AB4" s="1712"/>
      <c r="AC4" s="1713"/>
      <c r="AD4" s="1714"/>
      <c r="AE4" s="1714"/>
      <c r="AF4" s="1714"/>
      <c r="AG4" s="1714"/>
      <c r="AH4" s="1714"/>
      <c r="AI4" s="1714"/>
      <c r="AJ4" s="1715"/>
    </row>
    <row r="5" spans="1:36" s="2522" customFormat="1" ht="15.75" thickBot="1">
      <c r="A5" s="2514" t="s">
        <v>2613</v>
      </c>
      <c r="B5" s="2515" t="s">
        <v>2614</v>
      </c>
      <c r="C5" s="2730">
        <f>ROUND(IF(E2="商业",IF(F16="增加",C6*C7+C16,C6*C7-C16),IF(E2="住宅",IF(F16="增加",C6*C12+C16,C6*C12-C16),IF(F16="增加",C6+C16,C6-C16))),0)</f>
        <v>33751</v>
      </c>
      <c r="D5" s="2731">
        <f>ROUND(IF(F16="增加",C6+C16,C6-C16),0)</f>
        <v>27886</v>
      </c>
      <c r="E5" s="2731"/>
      <c r="F5" s="2732"/>
      <c r="G5" s="2516"/>
      <c r="H5" s="2516"/>
      <c r="I5" s="2516"/>
      <c r="J5" s="2517"/>
      <c r="K5" s="2518"/>
      <c r="L5" s="2511" t="s">
        <v>2615</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0.96220000000000006</v>
      </c>
      <c r="T5" s="1708">
        <f t="shared" ca="1" si="0"/>
        <v>77956</v>
      </c>
      <c r="U5" s="1709"/>
      <c r="V5" s="1708">
        <f t="shared" ca="1" si="1"/>
        <v>0</v>
      </c>
      <c r="W5" s="1712"/>
      <c r="X5" s="1712"/>
      <c r="Y5" s="1712"/>
      <c r="Z5" s="1712"/>
      <c r="AA5" s="1712"/>
      <c r="AB5" s="1712"/>
      <c r="AC5" s="2519"/>
      <c r="AD5" s="2520"/>
      <c r="AE5" s="2520"/>
      <c r="AF5" s="2520"/>
      <c r="AG5" s="2520"/>
      <c r="AH5" s="2520"/>
      <c r="AI5" s="2520"/>
      <c r="AJ5" s="2521"/>
    </row>
    <row r="6" spans="1:36" ht="15.75" thickBot="1">
      <c r="A6" s="2523">
        <v>1</v>
      </c>
      <c r="B6" s="2524" t="s">
        <v>2616</v>
      </c>
      <c r="C6" s="942">
        <f>SUMIF(L1:L12,G2,M1:M12)</f>
        <v>27930</v>
      </c>
      <c r="D6" s="2525" t="s">
        <v>2617</v>
      </c>
      <c r="E6" s="2526"/>
      <c r="F6" s="2526"/>
      <c r="G6" s="2527"/>
      <c r="H6" s="2527"/>
      <c r="I6" s="2527"/>
      <c r="J6" s="2528"/>
      <c r="K6" s="2529"/>
      <c r="L6" s="2511" t="s">
        <v>2618</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0.8417</v>
      </c>
      <c r="T6" s="1708">
        <f t="shared" ca="1" si="0"/>
        <v>68193</v>
      </c>
      <c r="U6" s="1709"/>
      <c r="V6" s="1708">
        <f t="shared" ca="1" si="1"/>
        <v>0</v>
      </c>
      <c r="W6" s="1712"/>
      <c r="X6" s="1712"/>
      <c r="Y6" s="1712"/>
      <c r="Z6" s="1712"/>
      <c r="AA6" s="1712"/>
      <c r="AB6" s="1712"/>
      <c r="AC6" s="2519"/>
      <c r="AD6" s="2520"/>
      <c r="AE6" s="2520"/>
      <c r="AF6" s="2520"/>
      <c r="AG6" s="2520"/>
      <c r="AH6" s="2520"/>
      <c r="AI6" s="2520"/>
      <c r="AJ6" s="2521"/>
    </row>
    <row r="7" spans="1:36" ht="24">
      <c r="A7" s="3063" t="str">
        <f>IF(E2="商业",IF(C8="不临58条商业街","",2),"")</f>
        <v/>
      </c>
      <c r="B7" s="2530" t="s">
        <v>2619</v>
      </c>
      <c r="C7" s="943">
        <f>IF(C8="不临58条商业街",1,ROUND(1+(1.6*E8+1.2*E9+0.8*E10+0.4*E11)*C9,4))</f>
        <v>1</v>
      </c>
      <c r="D7" s="2531" t="s">
        <v>2620</v>
      </c>
      <c r="E7" s="974">
        <v>60</v>
      </c>
      <c r="F7" s="2532"/>
      <c r="G7" s="2533"/>
      <c r="H7" s="2533"/>
      <c r="I7" s="2533"/>
      <c r="J7" s="2534"/>
      <c r="K7" s="2529"/>
      <c r="L7" s="2511" t="s">
        <v>2621</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0.76080000000000003</v>
      </c>
      <c r="T7" s="1708">
        <f t="shared" ca="1" si="0"/>
        <v>61639</v>
      </c>
      <c r="U7" s="1709"/>
      <c r="V7" s="1708">
        <f t="shared" ca="1" si="1"/>
        <v>0</v>
      </c>
      <c r="W7" s="1902" t="s">
        <v>2622</v>
      </c>
      <c r="X7" s="1710" t="str">
        <f>G2</f>
        <v>一级</v>
      </c>
      <c r="Y7" s="1710" t="s">
        <v>2623</v>
      </c>
      <c r="Z7" s="1711">
        <f>G3</f>
        <v>2.5</v>
      </c>
      <c r="AA7" s="1712"/>
      <c r="AB7" s="1712"/>
      <c r="AC7" s="1713"/>
      <c r="AD7" s="1714"/>
      <c r="AE7" s="1714"/>
      <c r="AF7" s="1714"/>
      <c r="AG7" s="1714"/>
      <c r="AH7" s="1714"/>
      <c r="AI7" s="1714"/>
      <c r="AJ7" s="1715"/>
    </row>
    <row r="8" spans="1:36" ht="15">
      <c r="A8" s="3064"/>
      <c r="B8" s="115" t="s">
        <v>2624</v>
      </c>
      <c r="C8" s="2535"/>
      <c r="D8" s="944" t="s">
        <v>89</v>
      </c>
      <c r="E8" s="945">
        <f>ROUND(C11/E7,4)</f>
        <v>0</v>
      </c>
      <c r="F8" s="2536" t="s">
        <v>2625</v>
      </c>
      <c r="G8" s="2537"/>
      <c r="H8" s="2537"/>
      <c r="I8" s="2537"/>
      <c r="J8" s="2538"/>
      <c r="L8" s="2511" t="s">
        <v>2626</v>
      </c>
      <c r="M8" s="1119">
        <f>SUMPRODUCT((区片价!B206:B244=I2)*(区片价!C3:F3=E2)*(区片价!C206:F244))</f>
        <v>0</v>
      </c>
      <c r="N8" s="1122">
        <f>SUMPRODUCT((因素修正幅度!B206:B244=I2)*(因素修正幅度!C3:F3=E2)*(因素修正幅度!C206:F244))</f>
        <v>0</v>
      </c>
      <c r="O8" s="1461"/>
      <c r="P8" s="1461"/>
      <c r="Q8" s="1461"/>
      <c r="R8" s="1708">
        <v>7</v>
      </c>
      <c r="S8" s="1709"/>
      <c r="T8" s="1708">
        <f t="shared" ca="1" si="0"/>
        <v>0</v>
      </c>
      <c r="U8" s="1709"/>
      <c r="V8" s="1708">
        <f t="shared" ca="1" si="1"/>
        <v>0</v>
      </c>
      <c r="W8" s="3056" t="s">
        <v>2627</v>
      </c>
      <c r="X8" s="3057"/>
      <c r="Y8" s="1716" t="s">
        <v>2628</v>
      </c>
      <c r="Z8" s="1716" t="s">
        <v>2629</v>
      </c>
      <c r="AA8" s="1716" t="s">
        <v>2630</v>
      </c>
      <c r="AB8" s="1716" t="s">
        <v>2631</v>
      </c>
      <c r="AC8" s="1716" t="s">
        <v>2632</v>
      </c>
      <c r="AD8" s="1716" t="s">
        <v>2633</v>
      </c>
      <c r="AE8" s="1716" t="s">
        <v>2634</v>
      </c>
      <c r="AF8" s="1716" t="s">
        <v>2635</v>
      </c>
      <c r="AG8" s="1716" t="s">
        <v>2636</v>
      </c>
      <c r="AH8" s="1716" t="s">
        <v>2637</v>
      </c>
      <c r="AI8" s="1716" t="s">
        <v>2638</v>
      </c>
      <c r="AJ8" s="1716" t="s">
        <v>2639</v>
      </c>
    </row>
    <row r="9" spans="1:36" ht="15">
      <c r="A9" s="3064"/>
      <c r="B9" s="115" t="s">
        <v>2640</v>
      </c>
      <c r="C9" s="946">
        <f>SUMIF(修正!C59:C119,C8,修正!E59:E119)</f>
        <v>0</v>
      </c>
      <c r="D9" s="117" t="s">
        <v>90</v>
      </c>
      <c r="E9" s="117">
        <f>ROUND(C11/E7,4)</f>
        <v>0</v>
      </c>
      <c r="F9" s="2536" t="s">
        <v>2641</v>
      </c>
      <c r="G9" s="2537"/>
      <c r="H9" s="2537"/>
      <c r="I9" s="2537"/>
      <c r="J9" s="2538"/>
      <c r="L9" s="2511" t="s">
        <v>2642</v>
      </c>
      <c r="M9" s="1119">
        <f>SUMPRODUCT((区片价!B245:B289=I2)*(区片价!C3:F3=E2)*(区片价!C245:F289))</f>
        <v>0</v>
      </c>
      <c r="N9" s="1122">
        <f>SUMPRODUCT((因素修正幅度!B245:B289=I2)*(因素修正幅度!C3:F3=E2)*(因素修正幅度!C245:F289))</f>
        <v>0</v>
      </c>
      <c r="O9" s="1461"/>
      <c r="P9" s="1461"/>
      <c r="Q9" s="1461"/>
      <c r="R9" s="1708">
        <v>8</v>
      </c>
      <c r="S9" s="1709"/>
      <c r="T9" s="1708">
        <f t="shared" ca="1" si="0"/>
        <v>0</v>
      </c>
      <c r="U9" s="1709"/>
      <c r="V9" s="1708">
        <f t="shared" ca="1" si="1"/>
        <v>0</v>
      </c>
      <c r="W9" s="3058" t="s">
        <v>2643</v>
      </c>
      <c r="X9" s="1717" t="s">
        <v>2644</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64"/>
      <c r="B10" s="115" t="s">
        <v>2645</v>
      </c>
      <c r="C10" s="117">
        <f>SUMIF(修正!C59:C119,C8,修正!F59:F119)</f>
        <v>0</v>
      </c>
      <c r="D10" s="117" t="s">
        <v>91</v>
      </c>
      <c r="E10" s="117">
        <f>ROUND(C11/E7,4)</f>
        <v>0</v>
      </c>
      <c r="F10" s="2536" t="s">
        <v>2646</v>
      </c>
      <c r="G10" s="2537"/>
      <c r="H10" s="2537"/>
      <c r="I10" s="2537"/>
      <c r="J10" s="2538"/>
      <c r="L10" s="2511" t="s">
        <v>2647</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f t="shared" ca="1" si="0"/>
        <v>0</v>
      </c>
      <c r="U10" s="1709"/>
      <c r="V10" s="1708">
        <f t="shared" ca="1" si="1"/>
        <v>0</v>
      </c>
      <c r="W10" s="3058"/>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64"/>
      <c r="B11" s="2539" t="s">
        <v>2648</v>
      </c>
      <c r="C11" s="947">
        <f>C10/4</f>
        <v>0</v>
      </c>
      <c r="D11" s="947" t="s">
        <v>92</v>
      </c>
      <c r="E11" s="947">
        <f>ROUND(C11/E7,4)</f>
        <v>0</v>
      </c>
      <c r="F11" s="2540" t="s">
        <v>2649</v>
      </c>
      <c r="G11" s="2541"/>
      <c r="H11" s="2541"/>
      <c r="I11" s="2541"/>
      <c r="J11" s="2542"/>
      <c r="L11" s="2511" t="s">
        <v>2650</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f t="shared" ca="1" si="0"/>
        <v>0</v>
      </c>
      <c r="U11" s="1709"/>
      <c r="V11" s="1708">
        <f t="shared" ca="1" si="1"/>
        <v>0</v>
      </c>
      <c r="W11" s="3058" t="s">
        <v>2651</v>
      </c>
      <c r="X11" s="1721" t="s">
        <v>2652</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63">
        <f>IF(E2="住宅",2,"")</f>
        <v>2</v>
      </c>
      <c r="B12" s="2543" t="s">
        <v>2653</v>
      </c>
      <c r="C12" s="943">
        <f>ROUND(C15*D15*E15*F15*G15*H15*I15*J15,4)</f>
        <v>1.21</v>
      </c>
      <c r="D12" s="2544" t="s">
        <v>2654</v>
      </c>
      <c r="E12" s="2545"/>
      <c r="F12" s="2545"/>
      <c r="G12" s="2546"/>
      <c r="H12" s="2546"/>
      <c r="I12" s="2546"/>
      <c r="J12" s="2547"/>
      <c r="L12" s="2548" t="s">
        <v>2655</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f t="shared" ca="1" si="0"/>
        <v>0</v>
      </c>
      <c r="U12" s="1709"/>
      <c r="V12" s="1708">
        <f t="shared" ca="1" si="1"/>
        <v>0</v>
      </c>
      <c r="W12" s="3058"/>
      <c r="X12" s="1723" t="s">
        <v>2656</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65"/>
      <c r="B13" s="2549" t="s">
        <v>2657</v>
      </c>
      <c r="C13" s="2550" t="s">
        <v>2658</v>
      </c>
      <c r="D13" s="2551" t="s">
        <v>2659</v>
      </c>
      <c r="E13" s="2551" t="s">
        <v>2660</v>
      </c>
      <c r="F13" s="20" t="s">
        <v>2661</v>
      </c>
      <c r="G13" s="2552" t="s">
        <v>2662</v>
      </c>
      <c r="H13" s="2552" t="s">
        <v>2662</v>
      </c>
      <c r="I13" s="2552" t="s">
        <v>2662</v>
      </c>
      <c r="J13" s="2553" t="s">
        <v>2662</v>
      </c>
      <c r="L13" s="1461"/>
      <c r="M13" s="1461"/>
      <c r="N13" s="1461"/>
      <c r="O13" s="1461"/>
      <c r="P13" s="1461"/>
      <c r="Q13" s="1461"/>
      <c r="R13" s="1708">
        <v>12</v>
      </c>
      <c r="S13" s="1709"/>
      <c r="T13" s="1708">
        <f t="shared" ca="1" si="0"/>
        <v>0</v>
      </c>
      <c r="U13" s="1709"/>
      <c r="V13" s="1708">
        <f t="shared" ca="1" si="1"/>
        <v>0</v>
      </c>
      <c r="W13" s="3058"/>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065"/>
      <c r="B14" s="2554"/>
      <c r="C14" s="2555" t="s">
        <v>2850</v>
      </c>
      <c r="D14" s="2556" t="s">
        <v>2836</v>
      </c>
      <c r="E14" s="2556" t="s">
        <v>2850</v>
      </c>
      <c r="F14" s="2557" t="s">
        <v>2837</v>
      </c>
      <c r="G14" s="2558" t="s">
        <v>2663</v>
      </c>
      <c r="H14" s="2559"/>
      <c r="I14" s="2560"/>
      <c r="J14" s="2561"/>
      <c r="L14" s="1461"/>
      <c r="M14" s="1461"/>
      <c r="N14" s="1461"/>
      <c r="O14" s="1461"/>
      <c r="P14" s="1461"/>
      <c r="Q14" s="1461"/>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66"/>
      <c r="B15" s="2562" t="s">
        <v>2664</v>
      </c>
      <c r="C15" s="150">
        <f>IF(C14="有",1.1,1)</f>
        <v>1</v>
      </c>
      <c r="D15" s="150">
        <f>IF(D14="有",1.1,1)</f>
        <v>1.1000000000000001</v>
      </c>
      <c r="E15" s="150">
        <f>IF(E14="有",1.1,1)</f>
        <v>1</v>
      </c>
      <c r="F15" s="150">
        <f>IF(F14="500米范围内",1.2,IF(F14="500-1000米",1.1,1))</f>
        <v>1.1000000000000001</v>
      </c>
      <c r="G15" s="975">
        <v>1</v>
      </c>
      <c r="H15" s="975">
        <v>1</v>
      </c>
      <c r="I15" s="975">
        <v>1</v>
      </c>
      <c r="J15" s="976">
        <v>1</v>
      </c>
      <c r="L15" s="2563" t="s">
        <v>2665</v>
      </c>
      <c r="M15" s="944" t="s">
        <v>2666</v>
      </c>
      <c r="N15" s="944" t="s">
        <v>2667</v>
      </c>
      <c r="O15" s="944" t="s">
        <v>2668</v>
      </c>
      <c r="P15" s="2564" t="s">
        <v>2669</v>
      </c>
      <c r="Q15" s="1461"/>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63">
        <f>IF(E2="办公",2,IF(E2="工业",2,IF(E2="住宅",3,IF(E2="商业",IF(C8="不临58条商业街",2,3)))))</f>
        <v>3</v>
      </c>
      <c r="B16" s="2530" t="s">
        <v>2670</v>
      </c>
      <c r="C16" s="1882">
        <f>ROUND(SUM(G17:J17)/C17,0)</f>
        <v>44</v>
      </c>
      <c r="D16" s="2565" t="s">
        <v>2671</v>
      </c>
      <c r="E16" s="2566" t="s">
        <v>2846</v>
      </c>
      <c r="F16" s="2567" t="s">
        <v>2838</v>
      </c>
      <c r="G16" s="2568" t="s">
        <v>2839</v>
      </c>
      <c r="H16" s="2568" t="s">
        <v>2840</v>
      </c>
      <c r="I16" s="2568"/>
      <c r="J16" s="2569"/>
      <c r="L16" s="1459" t="s">
        <v>2672</v>
      </c>
      <c r="M16" s="946">
        <v>0.25</v>
      </c>
      <c r="N16" s="946">
        <v>0.2</v>
      </c>
      <c r="O16" s="946">
        <v>0.15</v>
      </c>
      <c r="P16" s="1460">
        <v>0.1</v>
      </c>
      <c r="Q16" s="1461"/>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64"/>
      <c r="B17" s="2570" t="s">
        <v>2673</v>
      </c>
      <c r="C17" s="948">
        <f>SUMPRODUCT((修正!A2:A5=E2)*(修正!B1:M1=G2)*(修正!B2:M5))</f>
        <v>2.5</v>
      </c>
      <c r="D17" s="2571" t="s">
        <v>2674</v>
      </c>
      <c r="E17" s="947" t="str">
        <f>IF(OR(G2="八级",G2="九级",G2="十级",G2="十一级",G2="十二级"),"五通一平","七通一平")</f>
        <v>七通一平</v>
      </c>
      <c r="F17" s="948" t="s">
        <v>2675</v>
      </c>
      <c r="G17" s="948">
        <f>SUMPRODUCT((七通一平=G16)*(修正!B1:M1=G2)*(修正!B6:M14))</f>
        <v>60</v>
      </c>
      <c r="H17" s="948">
        <f>SUMPRODUCT((七通一平=H16)*(修正!B1:M1=G2)*(修正!B6:M14))</f>
        <v>50</v>
      </c>
      <c r="I17" s="948">
        <f>SUMPRODUCT((七通一平=I16)*(修正!B1:M1=G2)*(修正!B6:M14))</f>
        <v>0</v>
      </c>
      <c r="J17" s="949">
        <f>SUMPRODUCT((七通一平=J16)*(修正!B1:M1=G2)*(修正!B6:M14))</f>
        <v>0</v>
      </c>
      <c r="L17" s="1463" t="s">
        <v>2676</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4"/>
      <c r="AH17" s="2504"/>
      <c r="AI17" s="2504"/>
      <c r="AJ17" s="2504"/>
    </row>
    <row r="18" spans="1:37" s="2522" customFormat="1" ht="15.75" thickBot="1">
      <c r="A18" s="2572" t="s">
        <v>2677</v>
      </c>
      <c r="B18" s="2573" t="s">
        <v>2678</v>
      </c>
      <c r="C18" s="950">
        <f>SUMIF(修正!C18:C39,E3,修正!E18:E39)</f>
        <v>1.5</v>
      </c>
      <c r="D18" s="2574"/>
      <c r="E18" s="2575"/>
      <c r="F18" s="2576"/>
      <c r="G18" s="2577"/>
      <c r="H18" s="2577"/>
      <c r="I18" s="2577"/>
      <c r="J18" s="2578"/>
      <c r="K18" s="2579"/>
      <c r="O18" s="1461"/>
      <c r="P18" s="1461"/>
      <c r="Q18" s="1461"/>
      <c r="R18" s="1461"/>
      <c r="S18" s="1461"/>
      <c r="T18" s="1461"/>
      <c r="U18" s="1461"/>
      <c r="V18" s="1461"/>
      <c r="W18" s="1461"/>
      <c r="X18" s="1461"/>
      <c r="Y18" s="1461"/>
      <c r="Z18" s="1461"/>
      <c r="AA18" s="1461"/>
      <c r="AB18" s="1461"/>
      <c r="AC18" s="1461"/>
      <c r="AD18" s="1461"/>
      <c r="AE18" s="1462"/>
      <c r="AF18" s="1462"/>
      <c r="AG18" s="2580"/>
      <c r="AH18" s="2580"/>
      <c r="AI18" s="2580"/>
    </row>
    <row r="19" spans="1:37" s="2522" customFormat="1" ht="29.25" thickBot="1">
      <c r="A19" s="2572" t="s">
        <v>2679</v>
      </c>
      <c r="B19" s="2573" t="s">
        <v>2680</v>
      </c>
      <c r="C19" s="951">
        <f>ROUND(IF(H19="按公示增长率计算",SUMPRODUCT((地价!A3:A25=YEAR(G19)&amp;"-"&amp;ROUNDUP(MONTH(G19)/3,0))*(地价!X2:AB2=E2)*(地价!X3:AB25)),IF(H19="地价指数",M20/M19,(1+I19)^O19)),4)</f>
        <v>1.554</v>
      </c>
      <c r="D19" s="2581" t="s">
        <v>2681</v>
      </c>
      <c r="E19" s="952">
        <v>41640</v>
      </c>
      <c r="F19" s="2581" t="s">
        <v>2682</v>
      </c>
      <c r="G19" s="953">
        <f>'数据-取费表'!B2</f>
        <v>43439</v>
      </c>
      <c r="H19" s="2582" t="s">
        <v>2841</v>
      </c>
      <c r="I19" s="954" t="str">
        <f>IF(H19="季度增幅（自定义）",SUMIF(N21:N24,E2,O21:O24),"")</f>
        <v/>
      </c>
      <c r="J19" s="2578"/>
      <c r="K19" s="2579"/>
      <c r="L19" s="2583" t="s">
        <v>2683</v>
      </c>
      <c r="M19" s="1824">
        <f>ROUND(SUMIF(地价!B2:F2,E2,地价!B25:F25),0)</f>
        <v>423</v>
      </c>
      <c r="N19" s="1465" t="s">
        <v>2684</v>
      </c>
      <c r="O19" s="955">
        <f>ROUNDDOWN(DATEDIF(E19,G19,"M")/3,0)</f>
        <v>19</v>
      </c>
      <c r="P19" s="1462"/>
      <c r="R19" s="1461"/>
      <c r="S19" s="1461"/>
      <c r="T19" s="1461"/>
      <c r="U19" s="1461"/>
      <c r="V19" s="1461"/>
      <c r="W19" s="1461"/>
      <c r="X19" s="1461"/>
      <c r="Y19" s="1461"/>
      <c r="Z19" s="1461"/>
      <c r="AA19" s="1461"/>
      <c r="AB19" s="1461"/>
      <c r="AC19" s="1461"/>
      <c r="AD19" s="1461"/>
      <c r="AE19" s="2579"/>
      <c r="AF19" s="2584"/>
      <c r="AG19" s="2585"/>
      <c r="AH19" s="2580"/>
      <c r="AI19" s="2586"/>
      <c r="AJ19" s="2586"/>
      <c r="AK19" s="2586"/>
    </row>
    <row r="20" spans="1:37" s="2522" customFormat="1" ht="27.75" thickBot="1">
      <c r="A20" s="2587" t="s">
        <v>2685</v>
      </c>
      <c r="B20" s="2588" t="s">
        <v>2686</v>
      </c>
      <c r="C20" s="956">
        <f ca="1">ROUND(POWER(1+G20,J20-I20)*(POWER(1+G20,I20)-1)/(POWER(1+G20,J20)-1),4)</f>
        <v>1</v>
      </c>
      <c r="D20" s="2589" t="s">
        <v>2687</v>
      </c>
      <c r="E20" s="1854">
        <f ca="1">存贷款利率!D4/100</f>
        <v>4.3499999999999997E-2</v>
      </c>
      <c r="F20" s="2589" t="s">
        <v>2676</v>
      </c>
      <c r="G20" s="962">
        <f ca="1">SUMIF(M15:P15,E2,M17:P17)</f>
        <v>0.05</v>
      </c>
      <c r="H20" s="2589" t="s">
        <v>2688</v>
      </c>
      <c r="I20" s="963">
        <f>'数据-取费表'!B13</f>
        <v>70</v>
      </c>
      <c r="J20" s="964">
        <f>IF(E2="住宅",70,IF(E2="商业",40,50))</f>
        <v>70</v>
      </c>
      <c r="K20" s="2579"/>
      <c r="L20" s="2590" t="s">
        <v>2689</v>
      </c>
      <c r="M20" s="1825">
        <f>ROUND(SUMPRODUCT((地价!A4:A25=YEAR(G19)&amp;"-"&amp;ROUNDUP(MONTH(G19)/3,0))*(地价!B2:F2=E2)*(地价!B4:F25)),0)</f>
        <v>657</v>
      </c>
      <c r="N20" s="2591" t="s">
        <v>2690</v>
      </c>
      <c r="O20" s="2592" t="s">
        <v>2691</v>
      </c>
      <c r="P20" s="2593" t="s">
        <v>2692</v>
      </c>
      <c r="R20" s="1461"/>
      <c r="S20" s="1461"/>
      <c r="T20" s="1461"/>
      <c r="U20" s="1461"/>
      <c r="V20" s="1461"/>
      <c r="W20" s="1461"/>
      <c r="X20" s="1461"/>
      <c r="Y20" s="1461"/>
      <c r="Z20" s="1461"/>
      <c r="AA20" s="1461"/>
      <c r="AB20" s="1461"/>
      <c r="AC20" s="1461"/>
      <c r="AD20" s="1461"/>
      <c r="AE20" s="2579"/>
      <c r="AF20" s="2579"/>
    </row>
    <row r="21" spans="1:37" s="2522" customFormat="1" ht="15">
      <c r="A21" s="2594" t="s">
        <v>2693</v>
      </c>
      <c r="B21" s="2595" t="s">
        <v>2844</v>
      </c>
      <c r="C21" s="965">
        <f>IF(B21="容积率修正",IF(G3&lt;=10,D22,J22),C23)</f>
        <v>1</v>
      </c>
      <c r="D21" s="2596"/>
      <c r="E21" s="2596"/>
      <c r="F21" s="2596"/>
      <c r="G21" s="2596"/>
      <c r="H21" s="2596"/>
      <c r="I21" s="2596"/>
      <c r="J21" s="2597"/>
      <c r="K21" s="2579"/>
      <c r="N21" s="2598" t="s">
        <v>2694</v>
      </c>
      <c r="O21" s="1663"/>
      <c r="P21" s="1664">
        <f>SUMPRODUCT((地价!A3:A25=YEAR(G19)&amp;"-"&amp;ROUNDUP(MONTH(G19)/3,0))*(地价!AD2:AH2=N21)*(地价!AD3:AH25))</f>
        <v>1.5299999999999999E-2</v>
      </c>
      <c r="R21" s="1461"/>
      <c r="S21" s="1461"/>
      <c r="T21" s="1461"/>
      <c r="U21" s="1461"/>
      <c r="V21" s="1461"/>
      <c r="W21" s="1461"/>
      <c r="X21" s="1461"/>
      <c r="Y21" s="1461"/>
      <c r="Z21" s="1461"/>
      <c r="AA21" s="1461"/>
      <c r="AB21" s="1461"/>
      <c r="AC21" s="1461"/>
      <c r="AD21" s="1461"/>
      <c r="AE21" s="2579"/>
      <c r="AF21" s="2579"/>
    </row>
    <row r="22" spans="1:37" s="2522" customFormat="1" ht="14.25">
      <c r="A22" s="2599">
        <v>1</v>
      </c>
      <c r="B22" s="2600" t="s">
        <v>2695</v>
      </c>
      <c r="C22" s="1896" t="s">
        <v>2696</v>
      </c>
      <c r="D22" s="1896">
        <f>IF(E22=G22,F22,IF(G3&lt;=10,ROUND(F22+(H22-F22)*(G3-E22)/(G22-E22),4),"——"))</f>
        <v>1</v>
      </c>
      <c r="E22" s="941">
        <f>ROUNDDOWN(G3,1)</f>
        <v>2.5</v>
      </c>
      <c r="F22" s="18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6" t="s">
        <v>104</v>
      </c>
      <c r="J22" s="966" t="str">
        <f>IF(G3&gt;10,D113,"——")</f>
        <v>——</v>
      </c>
      <c r="K22" s="2579"/>
      <c r="N22" s="2598" t="s">
        <v>2697</v>
      </c>
      <c r="O22" s="1663"/>
      <c r="P22" s="1664">
        <f>SUMPRODUCT((地价!A3:A25=YEAR(G19)&amp;"-"&amp;ROUNDUP(MONTH(G19)/3,0))*(地价!AD2:AH2=N22)*(地价!AD3:AH25))</f>
        <v>1.5299999999999999E-2</v>
      </c>
      <c r="R22" s="1461"/>
      <c r="S22" s="1461"/>
      <c r="T22" s="1461"/>
      <c r="U22" s="1461"/>
      <c r="V22" s="1461"/>
      <c r="W22" s="1461"/>
      <c r="X22" s="1461"/>
      <c r="Y22" s="1461"/>
      <c r="Z22" s="1461"/>
      <c r="AA22" s="1461"/>
      <c r="AB22" s="1461"/>
      <c r="AC22" s="1461"/>
      <c r="AD22" s="1461"/>
      <c r="AE22" s="2579"/>
      <c r="AF22" s="2579"/>
    </row>
    <row r="23" spans="1:37" ht="15">
      <c r="A23" s="2599">
        <v>2</v>
      </c>
      <c r="B23" s="2600" t="s">
        <v>2698</v>
      </c>
      <c r="C23" s="957">
        <f>ROUND(IF(G3&gt;1,IF(I3&lt;7,SUMPRODUCT((B93:B98=I3)*(C92:N92=G2)*(C93:N98)),SUMIF(C92:N92,G2,C100:N100)),IF(I3&lt;7,SUMPRODUCT((B102:B107=I3)*(C92:N92=G2)*(C102:N107)),SUMIF(C92:N92,G2,C109:N109))),4)</f>
        <v>0.76049999999999995</v>
      </c>
      <c r="D23" s="2559"/>
      <c r="E23" s="2559"/>
      <c r="F23" s="2601"/>
      <c r="G23" s="2602"/>
      <c r="H23" s="2603"/>
      <c r="I23" s="2604"/>
      <c r="J23" s="2605"/>
      <c r="N23" s="2598" t="s">
        <v>2699</v>
      </c>
      <c r="O23" s="1663"/>
      <c r="P23" s="1664">
        <f>SUMPRODUCT((地价!A3:A25=YEAR(G19)&amp;"-"&amp;ROUNDUP(MONTH(G19)/3,0))*(地价!AD2:AH2=N23)*(地价!AD3:AH25))</f>
        <v>2.41E-2</v>
      </c>
      <c r="R23" s="1461"/>
      <c r="S23" s="1461"/>
      <c r="T23" s="1461"/>
      <c r="U23" s="1461"/>
      <c r="V23" s="1461"/>
      <c r="W23" s="1461"/>
      <c r="X23" s="1461"/>
      <c r="Y23" s="1461"/>
      <c r="Z23" s="1461"/>
      <c r="AA23" s="1461"/>
      <c r="AB23" s="1461"/>
      <c r="AC23" s="1461"/>
      <c r="AD23" s="1461"/>
      <c r="AE23" s="1462"/>
      <c r="AF23" s="1462"/>
      <c r="AK23" s="2580"/>
    </row>
    <row r="24" spans="1:37" s="2522" customFormat="1" ht="15.75" thickBot="1">
      <c r="A24" s="2606" t="s">
        <v>2700</v>
      </c>
      <c r="B24" s="2607" t="s">
        <v>2701</v>
      </c>
      <c r="C24" s="967">
        <f>SUMIF(A46:A88,E2,B46:B88)</f>
        <v>1.0298</v>
      </c>
      <c r="D24" s="2608"/>
      <c r="E24" s="2609"/>
      <c r="F24" s="2609"/>
      <c r="G24" s="2609"/>
      <c r="H24" s="2609"/>
      <c r="I24" s="2609"/>
      <c r="J24" s="2610"/>
      <c r="K24" s="2579"/>
      <c r="N24" s="2611" t="s">
        <v>2702</v>
      </c>
      <c r="O24" s="1665"/>
      <c r="P24" s="1666">
        <f>SUMPRODUCT((地价!A3:A25=YEAR(G19)&amp;"-"&amp;ROUNDUP(MONTH(G19)/3,0))*(地价!AD2:AH2=N24)*(地价!AD3:AH25))</f>
        <v>1.4200000000000001E-2</v>
      </c>
      <c r="R24" s="1461"/>
      <c r="S24" s="1461"/>
      <c r="T24" s="1461"/>
      <c r="U24" s="1461"/>
      <c r="V24" s="1461"/>
      <c r="W24" s="1461"/>
      <c r="X24" s="1461"/>
      <c r="Y24" s="1461"/>
      <c r="Z24" s="1461"/>
      <c r="AA24" s="1461"/>
      <c r="AB24" s="1461"/>
      <c r="AC24" s="1461"/>
      <c r="AD24" s="1461"/>
      <c r="AE24" s="2579"/>
      <c r="AF24" s="2579"/>
    </row>
    <row r="25" spans="1:37" ht="15" thickBot="1">
      <c r="A25" s="2587" t="s">
        <v>2703</v>
      </c>
      <c r="B25" s="2612" t="s">
        <v>2704</v>
      </c>
      <c r="C25" s="958"/>
      <c r="D25" s="2533"/>
      <c r="E25" s="2533"/>
      <c r="F25" s="2613"/>
      <c r="G25" s="2533"/>
      <c r="H25" s="2533"/>
      <c r="I25" s="2533"/>
      <c r="J25" s="2534"/>
      <c r="L25" s="1461"/>
      <c r="M25" s="1461"/>
      <c r="N25" s="2614" t="s">
        <v>2705</v>
      </c>
      <c r="O25" s="1667"/>
      <c r="P25" s="1666">
        <f>SUMPRODUCT((地价!A3:A25=YEAR(G19)&amp;"-"&amp;ROUNDUP(MONTH(G19)/3,0))*(地价!AD2:AH2=N25)*(地价!AD3:AH25))</f>
        <v>2.1899999999999999E-2</v>
      </c>
      <c r="R25" s="1461"/>
      <c r="S25" s="1461"/>
      <c r="T25" s="1461"/>
      <c r="U25" s="1461"/>
      <c r="V25" s="1461"/>
      <c r="W25" s="1461"/>
      <c r="X25" s="1461"/>
      <c r="Y25" s="1461"/>
      <c r="Z25" s="1461"/>
      <c r="AA25" s="1461"/>
      <c r="AB25" s="1461"/>
      <c r="AC25" s="1461"/>
      <c r="AD25" s="1461"/>
      <c r="AE25" s="1462"/>
      <c r="AF25" s="1462"/>
    </row>
    <row r="26" spans="1:37" ht="15">
      <c r="A26" s="2615"/>
      <c r="B26" s="2600" t="s">
        <v>2706</v>
      </c>
      <c r="C26" s="123">
        <f ca="1">E29+SUM(E33:E39)</f>
        <v>944670</v>
      </c>
      <c r="D26" s="2616"/>
      <c r="E26" s="2559"/>
      <c r="F26" s="2617"/>
      <c r="G26" s="2559"/>
      <c r="H26" s="2559"/>
      <c r="I26" s="2559"/>
      <c r="J26" s="2618"/>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5"/>
      <c r="B27" s="2619" t="s">
        <v>2707</v>
      </c>
      <c r="C27" s="959">
        <f ca="1">E30+SUM(I33:I39)</f>
        <v>0</v>
      </c>
      <c r="D27" s="2620"/>
      <c r="E27" s="2621"/>
      <c r="F27" s="2622"/>
      <c r="G27" s="2621"/>
      <c r="H27" s="2621"/>
      <c r="I27" s="2621"/>
      <c r="J27" s="2623"/>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7"/>
      <c r="B28" s="2624" t="s">
        <v>2708</v>
      </c>
      <c r="C28" s="2625" t="s">
        <v>2709</v>
      </c>
      <c r="D28" s="2625" t="s">
        <v>2710</v>
      </c>
      <c r="E28" s="2626" t="s">
        <v>2711</v>
      </c>
      <c r="F28" s="2627"/>
      <c r="G28" s="2546"/>
      <c r="H28" s="2546"/>
      <c r="I28" s="2546"/>
      <c r="J28" s="2547"/>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8"/>
      <c r="B29" s="2629" t="s">
        <v>2712</v>
      </c>
      <c r="C29" s="123">
        <f ca="1">ROUND(C5*C18*C19*C20*C21*C24,0)</f>
        <v>81018</v>
      </c>
      <c r="D29" s="2630">
        <f>项目基本情况!C12</f>
        <v>11.66</v>
      </c>
      <c r="E29" s="971">
        <f ca="1">ROUND(C29*D29,0)</f>
        <v>944670</v>
      </c>
      <c r="F29" s="2631" t="s">
        <v>2713</v>
      </c>
      <c r="G29" s="2632"/>
      <c r="H29" s="2632"/>
      <c r="I29" s="2632"/>
      <c r="J29" s="2633"/>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4"/>
      <c r="AH29" s="2504"/>
      <c r="AI29" s="2504"/>
      <c r="AJ29" s="2504"/>
    </row>
    <row r="30" spans="1:37" ht="25.5" thickBot="1">
      <c r="A30" s="2634"/>
      <c r="B30" s="2635" t="s">
        <v>2714</v>
      </c>
      <c r="C30" s="150">
        <f ca="1">ROUND(IF(E2="工业",C29*M39,C29*M38),0)</f>
        <v>20255</v>
      </c>
      <c r="D30" s="2636"/>
      <c r="E30" s="971">
        <f ca="1">ROUND(C30*D30,0)</f>
        <v>0</v>
      </c>
      <c r="F30" s="2637" t="s">
        <v>2715</v>
      </c>
      <c r="G30" s="2638"/>
      <c r="H30" s="2638"/>
      <c r="I30" s="2638"/>
      <c r="J30" s="2639"/>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4"/>
      <c r="AH30" s="2504"/>
      <c r="AI30" s="2504"/>
      <c r="AJ30" s="2504"/>
    </row>
    <row r="31" spans="1:37">
      <c r="A31" s="2640"/>
      <c r="B31" s="2641" t="s">
        <v>2716</v>
      </c>
      <c r="C31" s="2642" t="s">
        <v>2717</v>
      </c>
      <c r="D31" s="2546"/>
      <c r="E31" s="2642"/>
      <c r="F31" s="2642"/>
      <c r="G31" s="2544" t="s">
        <v>2718</v>
      </c>
      <c r="H31" s="2546"/>
      <c r="I31" s="2643"/>
      <c r="J31" s="2547"/>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4"/>
      <c r="AH31" s="2504"/>
      <c r="AI31" s="2504"/>
      <c r="AJ31" s="2504"/>
    </row>
    <row r="32" spans="1:37" ht="24">
      <c r="A32" s="2628"/>
      <c r="B32" s="2644"/>
      <c r="C32" s="482" t="s">
        <v>2709</v>
      </c>
      <c r="D32" s="479" t="s">
        <v>2710</v>
      </c>
      <c r="E32" s="479" t="s">
        <v>2711</v>
      </c>
      <c r="F32" s="367" t="s">
        <v>2719</v>
      </c>
      <c r="G32" s="957" t="s">
        <v>2709</v>
      </c>
      <c r="H32" s="957" t="s">
        <v>2710</v>
      </c>
      <c r="I32" s="957" t="s">
        <v>2711</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4"/>
      <c r="AH32" s="2504"/>
      <c r="AI32" s="2504"/>
      <c r="AJ32" s="2504"/>
    </row>
    <row r="33" spans="1:37">
      <c r="A33" s="3075" t="s">
        <v>2720</v>
      </c>
      <c r="B33" s="2645" t="s">
        <v>2721</v>
      </c>
      <c r="C33" s="123">
        <f ca="1">ROUND(D5*C19*C20*C24*F33,0)</f>
        <v>35701</v>
      </c>
      <c r="D33" s="2630"/>
      <c r="E33" s="117">
        <f t="shared" ref="E33:E39" ca="1" si="6">ROUND(C33*D33,0)</f>
        <v>0</v>
      </c>
      <c r="F33" s="117">
        <f>SUMIF(修正!A45:A56,G2,修正!B45:B56)</f>
        <v>0.8</v>
      </c>
      <c r="G33" s="117">
        <f t="shared" ref="G33" ca="1" si="7">ROUND(IF(E2="工业",C33*$M$39,C33*$M$38),0)</f>
        <v>8925</v>
      </c>
      <c r="H33" s="117">
        <f>D33</f>
        <v>0</v>
      </c>
      <c r="I33" s="117">
        <f t="shared" ref="I33:I39" ca="1" si="8">ROUND(G33*H33,0)</f>
        <v>0</v>
      </c>
      <c r="J33" s="2646"/>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76"/>
      <c r="B34" s="2550" t="s">
        <v>2722</v>
      </c>
      <c r="C34" s="123">
        <f ca="1">ROUND(D5*C19*C20*C24*F34,0)</f>
        <v>22313</v>
      </c>
      <c r="D34" s="2630"/>
      <c r="E34" s="117">
        <f t="shared" ca="1" si="6"/>
        <v>0</v>
      </c>
      <c r="F34" s="117">
        <f>SUMIF(修正!A45:A56,G2,修正!C45:C56)</f>
        <v>0.5</v>
      </c>
      <c r="G34" s="117">
        <f ca="1">ROUND(IF(E2="工业",C34*$M$39,C34*$M$38),0)</f>
        <v>5578</v>
      </c>
      <c r="H34" s="117">
        <f t="shared" ref="H34:H39" si="9">D34</f>
        <v>0</v>
      </c>
      <c r="I34" s="117">
        <f t="shared" ca="1" si="8"/>
        <v>0</v>
      </c>
      <c r="J34" s="2646"/>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76"/>
      <c r="B35" s="2550" t="s">
        <v>2723</v>
      </c>
      <c r="C35" s="123">
        <f ca="1">ROUND(D5*C19*C20*C24*F35,0)</f>
        <v>16065</v>
      </c>
      <c r="D35" s="2630"/>
      <c r="E35" s="117">
        <f t="shared" ca="1" si="6"/>
        <v>0</v>
      </c>
      <c r="F35" s="117">
        <f>SUMIF(修正!A45:A56,G2,修正!D45:D56)</f>
        <v>0.36</v>
      </c>
      <c r="G35" s="117">
        <f ca="1">ROUND(IF(E2="工业",C35*$M$39,C35*$M$38),0)</f>
        <v>4016</v>
      </c>
      <c r="H35" s="117">
        <f t="shared" si="9"/>
        <v>0</v>
      </c>
      <c r="I35" s="117">
        <f t="shared" ca="1" si="8"/>
        <v>0</v>
      </c>
      <c r="J35" s="2646"/>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77"/>
      <c r="B36" s="2550" t="s">
        <v>2724</v>
      </c>
      <c r="C36" s="123">
        <f ca="1">ROUND(D5*C19*C20*C24*F36,0)</f>
        <v>13388</v>
      </c>
      <c r="D36" s="2630"/>
      <c r="E36" s="117">
        <f t="shared" ca="1" si="6"/>
        <v>0</v>
      </c>
      <c r="F36" s="117">
        <f>SUMIF(修正!A45:A56,G2,修正!E45:E56)</f>
        <v>0.3</v>
      </c>
      <c r="G36" s="117">
        <f ca="1">ROUND(IF(E2="工业",C36*$M$39,C36*$M$38),0)</f>
        <v>3347</v>
      </c>
      <c r="H36" s="117">
        <f t="shared" si="9"/>
        <v>0</v>
      </c>
      <c r="I36" s="117">
        <f t="shared" ca="1" si="8"/>
        <v>0</v>
      </c>
      <c r="J36" s="2646"/>
      <c r="L36" s="2647"/>
      <c r="M36" s="2647"/>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8"/>
      <c r="B37" s="2550" t="s">
        <v>2725</v>
      </c>
      <c r="C37" s="117">
        <f ca="1">ROUND(D5*C19*C20*C24*F37,0)</f>
        <v>13388</v>
      </c>
      <c r="D37" s="2630"/>
      <c r="E37" s="117">
        <f t="shared" ca="1" si="6"/>
        <v>0</v>
      </c>
      <c r="F37" s="123">
        <f>SUMIF(修正!A45:A56,G2,修正!F45:F56)</f>
        <v>0.3</v>
      </c>
      <c r="G37" s="117">
        <f ca="1">ROUND(IF(E2="工业",C37*$M$39,C37*$M$38),0)</f>
        <v>3347</v>
      </c>
      <c r="H37" s="117">
        <f t="shared" si="9"/>
        <v>0</v>
      </c>
      <c r="I37" s="117">
        <f t="shared" ca="1" si="8"/>
        <v>0</v>
      </c>
      <c r="J37" s="2646"/>
      <c r="L37" s="2649" t="s">
        <v>2726</v>
      </c>
      <c r="M37" s="2534"/>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8"/>
      <c r="B38" s="2550" t="s">
        <v>2727</v>
      </c>
      <c r="C38" s="117">
        <f ca="1">ROUND(D5*C19*C41*C24*F38,0)</f>
        <v>0</v>
      </c>
      <c r="D38" s="2630"/>
      <c r="E38" s="117">
        <f t="shared" ca="1" si="6"/>
        <v>0</v>
      </c>
      <c r="F38" s="123">
        <f>SUMIF(修正!A45:A56,G2,修正!G45:G56)</f>
        <v>0.3</v>
      </c>
      <c r="G38" s="117">
        <f ca="1">ROUND(IF(E2="工业",C38*$M$39,C38*$M$38),0)</f>
        <v>0</v>
      </c>
      <c r="H38" s="117">
        <f t="shared" si="9"/>
        <v>0</v>
      </c>
      <c r="I38" s="117">
        <f t="shared" ca="1" si="8"/>
        <v>0</v>
      </c>
      <c r="J38" s="2646"/>
      <c r="L38" s="2650" t="s">
        <v>2728</v>
      </c>
      <c r="M38" s="2651">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4"/>
      <c r="B39" s="2652" t="s">
        <v>2729</v>
      </c>
      <c r="C39" s="150">
        <f ca="1">ROUND(D5*C19*C41*C24*F39,0)</f>
        <v>0</v>
      </c>
      <c r="D39" s="2636"/>
      <c r="E39" s="150">
        <f t="shared" ca="1" si="6"/>
        <v>0</v>
      </c>
      <c r="F39" s="960">
        <f>SUMIF(修正!A45:A56,G2,修正!H45:H56)</f>
        <v>0.25</v>
      </c>
      <c r="G39" s="150">
        <f ca="1">ROUND(IF(E2="工业",C39*$M$39,C39*$M$38),0)</f>
        <v>0</v>
      </c>
      <c r="H39" s="150">
        <f t="shared" si="9"/>
        <v>0</v>
      </c>
      <c r="I39" s="150">
        <f t="shared" ca="1" si="8"/>
        <v>0</v>
      </c>
      <c r="J39" s="2653"/>
      <c r="L39" s="2654" t="s">
        <v>2669</v>
      </c>
      <c r="M39" s="2655">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7"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6"/>
      <c r="AH40" s="2656"/>
      <c r="AI40" s="2656"/>
      <c r="AJ40" s="2656"/>
    </row>
    <row r="41" spans="1:37" s="2657" customFormat="1">
      <c r="A41" s="1462"/>
      <c r="B41" s="2728" t="s">
        <v>2812</v>
      </c>
      <c r="C41" s="367">
        <f ca="1">ROUND(POWER(1+E41,H41-G41)*(POWER(1+E41,G41)-1)/(POWER(1+E41,H41)-1),4)</f>
        <v>0</v>
      </c>
      <c r="D41" s="117" t="s">
        <v>2810</v>
      </c>
      <c r="E41" s="827">
        <f ca="1">G20</f>
        <v>0.05</v>
      </c>
      <c r="F41" s="117" t="s">
        <v>2811</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6"/>
      <c r="AH41" s="2656"/>
      <c r="AI41" s="2656"/>
      <c r="AJ41" s="2656"/>
    </row>
    <row r="42" spans="1:37" s="2657" customFormat="1">
      <c r="A42" s="1462"/>
      <c r="B42" s="2658"/>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6"/>
      <c r="AH42" s="2656"/>
      <c r="AI42" s="2656"/>
      <c r="AJ42" s="2656"/>
    </row>
    <row r="43" spans="1:37" s="2657" customFormat="1">
      <c r="A43" s="1462"/>
      <c r="B43" s="2658"/>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6"/>
      <c r="AH43" s="2656"/>
      <c r="AI43" s="2656"/>
      <c r="AJ43" s="2656"/>
    </row>
    <row r="44" spans="1:37" s="2657" customFormat="1">
      <c r="A44" s="1462"/>
      <c r="B44" s="2658"/>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6"/>
      <c r="AH44" s="2656"/>
      <c r="AI44" s="2656"/>
      <c r="AJ44" s="2656"/>
    </row>
    <row r="45" spans="1:37" s="2657" customFormat="1" ht="15.75" thickBot="1">
      <c r="A45" s="2659" t="s">
        <v>2730</v>
      </c>
      <c r="B45" s="2660"/>
      <c r="C45" s="9"/>
      <c r="D45" s="9"/>
      <c r="E45" s="9"/>
      <c r="F45" s="7"/>
      <c r="G45" s="9"/>
      <c r="H45" s="7"/>
      <c r="I45" s="9"/>
      <c r="J45" s="9"/>
      <c r="K45" s="9"/>
      <c r="L45" s="9"/>
      <c r="M45" s="9"/>
      <c r="N45" s="2502"/>
      <c r="O45" s="1461"/>
      <c r="P45" s="1461"/>
      <c r="Q45" s="1461"/>
      <c r="R45" s="1461"/>
      <c r="S45" s="1461"/>
      <c r="T45" s="1461"/>
      <c r="U45" s="1461"/>
      <c r="V45" s="1461"/>
      <c r="W45" s="1461"/>
      <c r="X45" s="1461"/>
      <c r="Y45" s="1461"/>
      <c r="Z45" s="1462"/>
      <c r="AA45" s="1462"/>
      <c r="AB45" s="1462"/>
      <c r="AC45" s="1462"/>
      <c r="AD45" s="1462"/>
      <c r="AE45" s="1462"/>
      <c r="AF45" s="1462"/>
      <c r="AG45" s="2656"/>
      <c r="AH45" s="2656"/>
      <c r="AI45" s="2656"/>
      <c r="AJ45" s="2656"/>
    </row>
    <row r="46" spans="1:37" s="2657" customFormat="1" ht="15" hidden="1">
      <c r="A46" s="2661" t="s">
        <v>2731</v>
      </c>
      <c r="B46" s="2662">
        <f>1+E48</f>
        <v>1</v>
      </c>
      <c r="C46" s="2663"/>
      <c r="D46" s="817"/>
      <c r="E46" s="818"/>
      <c r="F46" s="2664"/>
      <c r="G46" s="7"/>
      <c r="H46" s="9"/>
      <c r="I46" s="9"/>
      <c r="J46" s="9"/>
      <c r="K46" s="9"/>
      <c r="L46" s="9"/>
      <c r="M46" s="2502"/>
      <c r="N46" s="2665"/>
      <c r="O46" s="1461"/>
      <c r="P46" s="1461"/>
      <c r="Q46" s="1461"/>
      <c r="R46" s="1461"/>
      <c r="S46" s="1461"/>
      <c r="T46" s="1461"/>
      <c r="U46" s="1461"/>
      <c r="V46" s="1461"/>
      <c r="W46" s="1461"/>
      <c r="X46" s="1461"/>
      <c r="Y46" s="1462"/>
      <c r="Z46" s="1462"/>
      <c r="AA46" s="1462"/>
      <c r="AB46" s="1462"/>
      <c r="AC46" s="1462"/>
      <c r="AD46" s="1462"/>
      <c r="AE46" s="1462"/>
      <c r="AF46" s="2656"/>
      <c r="AG46" s="2656"/>
      <c r="AH46" s="2656"/>
      <c r="AI46" s="2656"/>
    </row>
    <row r="47" spans="1:37" s="2657" customFormat="1" ht="24.75" hidden="1">
      <c r="A47" s="2666" t="s">
        <v>2732</v>
      </c>
      <c r="B47" s="823" t="s">
        <v>2733</v>
      </c>
      <c r="C47" s="823" t="s">
        <v>2734</v>
      </c>
      <c r="D47" s="823" t="s">
        <v>2735</v>
      </c>
      <c r="E47" s="824" t="s">
        <v>2736</v>
      </c>
      <c r="F47" s="2667" t="s">
        <v>2737</v>
      </c>
      <c r="G47" s="823" t="s">
        <v>2738</v>
      </c>
      <c r="H47" s="2668" t="s">
        <v>2739</v>
      </c>
      <c r="I47" s="823" t="s">
        <v>2740</v>
      </c>
      <c r="J47" s="587" t="s">
        <v>2741</v>
      </c>
      <c r="K47" s="587" t="s">
        <v>2742</v>
      </c>
      <c r="L47" s="587" t="s">
        <v>2743</v>
      </c>
      <c r="M47" s="587" t="s">
        <v>2744</v>
      </c>
      <c r="N47" s="587" t="s">
        <v>2745</v>
      </c>
      <c r="O47" s="1461"/>
      <c r="P47" s="1461"/>
      <c r="Q47" s="1461"/>
      <c r="R47" s="1461"/>
      <c r="S47" s="1461"/>
      <c r="T47" s="1461"/>
      <c r="U47" s="1461"/>
      <c r="V47" s="1461"/>
      <c r="W47" s="1461"/>
      <c r="X47" s="1461"/>
      <c r="Y47" s="1461"/>
      <c r="Z47" s="1461"/>
      <c r="AA47" s="1462"/>
      <c r="AB47" s="1462"/>
      <c r="AC47" s="1462"/>
      <c r="AD47" s="1462"/>
      <c r="AE47" s="1462"/>
      <c r="AF47" s="1462"/>
      <c r="AG47" s="1462"/>
      <c r="AH47" s="2656"/>
      <c r="AI47" s="2656"/>
      <c r="AJ47" s="2656"/>
      <c r="AK47" s="2656"/>
    </row>
    <row r="48" spans="1:37" s="2657" customFormat="1" ht="24.75" hidden="1">
      <c r="A48" s="2666" t="s">
        <v>2746</v>
      </c>
      <c r="B48" s="2669">
        <f>估价对象房地状况!C16</f>
        <v>0</v>
      </c>
      <c r="C48" s="2556"/>
      <c r="D48" s="1375">
        <f t="shared" ref="D48:D56" si="10">SUMIF($J$47:$N$47,C48,J48:N48)</f>
        <v>0</v>
      </c>
      <c r="E48" s="829">
        <f>ROUND(SUM(D48:D56),4)</f>
        <v>0</v>
      </c>
      <c r="F48" s="2274"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6"/>
      <c r="AI48" s="2656"/>
      <c r="AJ48" s="2656"/>
      <c r="AK48" s="2656"/>
    </row>
    <row r="49" spans="1:37" s="2657" customFormat="1" ht="63.75" hidden="1">
      <c r="A49" s="2666" t="s">
        <v>2747</v>
      </c>
      <c r="B49" s="2670" t="str">
        <f>估价对象房地状况!C18</f>
        <v>临近城市支路——府右街，紧邻言志胡同，周边有14路、68路等多条公交线路及地铁1、4号线换乘站（西单站），交通状况较好。</v>
      </c>
      <c r="C49" s="2556"/>
      <c r="D49" s="1375">
        <f t="shared" si="10"/>
        <v>0</v>
      </c>
      <c r="E49" s="832"/>
      <c r="F49" s="2274"/>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6"/>
      <c r="AI49" s="2656"/>
      <c r="AJ49" s="2656"/>
      <c r="AK49" s="2656"/>
    </row>
    <row r="50" spans="1:37" s="2657" customFormat="1" ht="24" hidden="1">
      <c r="A50" s="2666" t="s">
        <v>2748</v>
      </c>
      <c r="B50" s="2670">
        <f>估价对象房地状况!C19</f>
        <v>0</v>
      </c>
      <c r="C50" s="2556"/>
      <c r="D50" s="1375">
        <f t="shared" si="10"/>
        <v>0</v>
      </c>
      <c r="E50" s="832"/>
      <c r="F50" s="2274"/>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6"/>
      <c r="AI50" s="2656"/>
      <c r="AJ50" s="2656"/>
      <c r="AK50" s="2656"/>
    </row>
    <row r="51" spans="1:37" s="2657" customFormat="1" ht="36.75" hidden="1">
      <c r="A51" s="2666" t="s">
        <v>2749</v>
      </c>
      <c r="B51" s="2671" t="s">
        <v>2750</v>
      </c>
      <c r="C51" s="2556"/>
      <c r="D51" s="1375">
        <f t="shared" si="10"/>
        <v>0</v>
      </c>
      <c r="E51" s="832"/>
      <c r="F51" s="2274"/>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6"/>
      <c r="AI51" s="2656"/>
      <c r="AJ51" s="2656"/>
      <c r="AK51" s="2656"/>
    </row>
    <row r="52" spans="1:37" s="2657" customFormat="1" ht="24" hidden="1">
      <c r="A52" s="2666" t="s">
        <v>2751</v>
      </c>
      <c r="B52" s="2670">
        <f>估价对象房地状况!C24</f>
        <v>0</v>
      </c>
      <c r="C52" s="2556"/>
      <c r="D52" s="1375">
        <f t="shared" si="10"/>
        <v>0</v>
      </c>
      <c r="E52" s="832"/>
      <c r="F52" s="2274"/>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6"/>
      <c r="AI52" s="2656"/>
      <c r="AJ52" s="2656"/>
      <c r="AK52" s="2656"/>
    </row>
    <row r="53" spans="1:37" s="2657" customFormat="1" ht="24" hidden="1">
      <c r="A53" s="2666" t="s">
        <v>2752</v>
      </c>
      <c r="B53" s="2672" t="s">
        <v>2753</v>
      </c>
      <c r="C53" s="2556"/>
      <c r="D53" s="1375">
        <f t="shared" si="10"/>
        <v>0</v>
      </c>
      <c r="E53" s="832"/>
      <c r="F53" s="2274"/>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6"/>
      <c r="AI53" s="2656"/>
      <c r="AJ53" s="2656"/>
      <c r="AK53" s="2656"/>
    </row>
    <row r="54" spans="1:37" s="2657" customFormat="1" ht="165.75" hidden="1">
      <c r="A54" s="2673" t="s">
        <v>2754</v>
      </c>
      <c r="B54"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54" s="2556"/>
      <c r="D54" s="1375">
        <f t="shared" si="10"/>
        <v>0</v>
      </c>
      <c r="E54" s="832"/>
      <c r="F54" s="2274"/>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6"/>
      <c r="AI54" s="2656"/>
      <c r="AJ54" s="2656"/>
      <c r="AK54" s="2656"/>
    </row>
    <row r="55" spans="1:37" s="2657" customFormat="1" ht="24" hidden="1">
      <c r="A55" s="2673" t="s">
        <v>2755</v>
      </c>
      <c r="B55" s="2670" t="str">
        <f>估价对象房地状况!C22</f>
        <v>五通</v>
      </c>
      <c r="C55" s="2556"/>
      <c r="D55" s="1375">
        <f t="shared" si="10"/>
        <v>0</v>
      </c>
      <c r="E55" s="832"/>
      <c r="F55" s="2274"/>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6"/>
      <c r="AI55" s="2656"/>
      <c r="AJ55" s="2656"/>
      <c r="AK55" s="2656"/>
    </row>
    <row r="56" spans="1:37" s="2657" customFormat="1" ht="51.75" hidden="1" thickBot="1">
      <c r="A56" s="2675" t="s">
        <v>2756</v>
      </c>
      <c r="B56" s="2676" t="str">
        <f>估价对象房地状况!C20</f>
        <v>区域自然环境：中南海、南海、护城河；人文环境：国家大剧院、北京图书大厦；综合评价环境状况较好。</v>
      </c>
      <c r="C56" s="2556"/>
      <c r="D56" s="1375">
        <f t="shared" si="10"/>
        <v>0</v>
      </c>
      <c r="E56" s="838"/>
      <c r="F56" s="2274"/>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6"/>
      <c r="AI56" s="2656"/>
      <c r="AJ56" s="2656"/>
      <c r="AK56" s="2656"/>
    </row>
    <row r="57" spans="1:37" s="2657" customFormat="1" ht="15" hidden="1">
      <c r="A57" s="2661" t="s">
        <v>2757</v>
      </c>
      <c r="B57" s="2677">
        <f>1+E59</f>
        <v>1</v>
      </c>
      <c r="C57" s="817"/>
      <c r="D57" s="817"/>
      <c r="E57" s="818"/>
      <c r="F57" s="2664"/>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6"/>
      <c r="AI57" s="2656"/>
      <c r="AJ57" s="2656"/>
      <c r="AK57" s="2656"/>
    </row>
    <row r="58" spans="1:37" s="2657" customFormat="1" ht="24.75" hidden="1">
      <c r="A58" s="2666" t="s">
        <v>2732</v>
      </c>
      <c r="B58" s="2670"/>
      <c r="C58" s="823" t="s">
        <v>2734</v>
      </c>
      <c r="D58" s="823" t="s">
        <v>2735</v>
      </c>
      <c r="E58" s="824" t="s">
        <v>2736</v>
      </c>
      <c r="F58" s="2667" t="s">
        <v>2737</v>
      </c>
      <c r="G58" s="823" t="s">
        <v>2758</v>
      </c>
      <c r="H58" s="2668" t="s">
        <v>2759</v>
      </c>
      <c r="I58" s="823" t="s">
        <v>2760</v>
      </c>
      <c r="J58" s="587" t="s">
        <v>2397</v>
      </c>
      <c r="K58" s="587" t="s">
        <v>2398</v>
      </c>
      <c r="L58" s="587" t="s">
        <v>2399</v>
      </c>
      <c r="M58" s="587" t="s">
        <v>2400</v>
      </c>
      <c r="N58" s="587" t="s">
        <v>2401</v>
      </c>
      <c r="O58" s="1461"/>
      <c r="P58" s="1461"/>
      <c r="Q58" s="1461"/>
      <c r="R58" s="1461"/>
      <c r="S58" s="1461"/>
      <c r="T58" s="1461"/>
      <c r="U58" s="1461"/>
      <c r="V58" s="1461"/>
      <c r="W58" s="1461"/>
      <c r="X58" s="1461"/>
      <c r="Y58" s="1461"/>
      <c r="Z58" s="1461"/>
      <c r="AA58" s="1462"/>
      <c r="AB58" s="1462"/>
      <c r="AC58" s="1462"/>
      <c r="AD58" s="1462"/>
      <c r="AE58" s="1462"/>
      <c r="AF58" s="1462"/>
      <c r="AG58" s="1462"/>
      <c r="AH58" s="2656"/>
      <c r="AI58" s="2656"/>
      <c r="AJ58" s="2656"/>
      <c r="AK58" s="2656"/>
    </row>
    <row r="59" spans="1:37" s="2657" customFormat="1" ht="38.25" hidden="1">
      <c r="A59" s="2666" t="s">
        <v>2761</v>
      </c>
      <c r="B59" s="2669" t="str">
        <f>估价对象房地状况!C17</f>
        <v>估价对象位于XX商圈，周边办公楼项目较多，入驻率高，办公集聚程度较好</v>
      </c>
      <c r="C59" s="2556"/>
      <c r="D59" s="1375">
        <f t="shared" ref="D59:D67" si="15">SUMIF($J$58:$N$58,C59,J59:N59)</f>
        <v>0</v>
      </c>
      <c r="E59" s="829">
        <f>ROUND(SUM(D59:D67),4)</f>
        <v>0</v>
      </c>
      <c r="F59" s="2274"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6"/>
      <c r="AI59" s="2656"/>
      <c r="AJ59" s="2656"/>
      <c r="AK59" s="2656"/>
    </row>
    <row r="60" spans="1:37" s="2657" customFormat="1" ht="63.75" hidden="1">
      <c r="A60" s="2666" t="s">
        <v>2747</v>
      </c>
      <c r="B60" s="2670" t="str">
        <f>估价对象房地状况!C18</f>
        <v>临近城市支路——府右街，紧邻言志胡同，周边有14路、68路等多条公交线路及地铁1、4号线换乘站（西单站），交通状况较好。</v>
      </c>
      <c r="C60" s="2556"/>
      <c r="D60" s="1375">
        <f t="shared" si="15"/>
        <v>0</v>
      </c>
      <c r="E60" s="832"/>
      <c r="F60" s="2274"/>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6"/>
      <c r="AI60" s="2656"/>
      <c r="AJ60" s="2656"/>
      <c r="AK60" s="2656"/>
    </row>
    <row r="61" spans="1:37" s="2657" customFormat="1" ht="24" hidden="1">
      <c r="A61" s="2666" t="s">
        <v>2748</v>
      </c>
      <c r="B61" s="2670">
        <f>估价对象房地状况!C19</f>
        <v>0</v>
      </c>
      <c r="C61" s="2556"/>
      <c r="D61" s="1375">
        <f t="shared" si="15"/>
        <v>0</v>
      </c>
      <c r="E61" s="832"/>
      <c r="F61" s="2274"/>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6"/>
      <c r="AI61" s="2656"/>
      <c r="AJ61" s="2656"/>
      <c r="AK61" s="2656"/>
    </row>
    <row r="62" spans="1:37" s="2657" customFormat="1" ht="36.75" hidden="1">
      <c r="A62" s="2666" t="s">
        <v>2749</v>
      </c>
      <c r="B62" s="2671" t="s">
        <v>2750</v>
      </c>
      <c r="C62" s="2556"/>
      <c r="D62" s="1375">
        <f t="shared" si="15"/>
        <v>0</v>
      </c>
      <c r="E62" s="832"/>
      <c r="F62" s="2274"/>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6"/>
      <c r="AI62" s="2656"/>
      <c r="AJ62" s="2656"/>
      <c r="AK62" s="2656"/>
    </row>
    <row r="63" spans="1:37" s="2657" customFormat="1" ht="24" hidden="1">
      <c r="A63" s="2666" t="s">
        <v>2751</v>
      </c>
      <c r="B63" s="2670">
        <f>估价对象房地状况!C24</f>
        <v>0</v>
      </c>
      <c r="C63" s="2556"/>
      <c r="D63" s="1375">
        <f t="shared" si="15"/>
        <v>0</v>
      </c>
      <c r="E63" s="832"/>
      <c r="F63" s="2274"/>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6"/>
      <c r="AI63" s="2656"/>
      <c r="AJ63" s="2656"/>
      <c r="AK63" s="2656"/>
    </row>
    <row r="64" spans="1:37" s="2657" customFormat="1" ht="24" hidden="1">
      <c r="A64" s="2666" t="s">
        <v>2752</v>
      </c>
      <c r="B64" s="2672" t="s">
        <v>2753</v>
      </c>
      <c r="C64" s="2556"/>
      <c r="D64" s="1375">
        <f t="shared" si="15"/>
        <v>0</v>
      </c>
      <c r="E64" s="832"/>
      <c r="F64" s="2274"/>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6"/>
      <c r="AI64" s="2656"/>
      <c r="AJ64" s="2656"/>
      <c r="AK64" s="2656"/>
    </row>
    <row r="65" spans="1:37" s="2657" customFormat="1" ht="165.75" hidden="1">
      <c r="A65" s="2666" t="s">
        <v>2754</v>
      </c>
      <c r="B65"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65" s="2556"/>
      <c r="D65" s="1375">
        <f t="shared" si="15"/>
        <v>0</v>
      </c>
      <c r="E65" s="832"/>
      <c r="F65" s="2274"/>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6"/>
      <c r="AI65" s="2656"/>
      <c r="AJ65" s="2656"/>
      <c r="AK65" s="2656"/>
    </row>
    <row r="66" spans="1:37" s="2657" customFormat="1" ht="24" hidden="1">
      <c r="A66" s="2666" t="s">
        <v>2755</v>
      </c>
      <c r="B66" s="2674" t="str">
        <f>估价对象房地状况!C22</f>
        <v>五通</v>
      </c>
      <c r="C66" s="2556"/>
      <c r="D66" s="1375">
        <f t="shared" si="15"/>
        <v>0</v>
      </c>
      <c r="E66" s="832"/>
      <c r="F66" s="2274"/>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6"/>
      <c r="AI66" s="2656"/>
      <c r="AJ66" s="2656"/>
      <c r="AK66" s="2656"/>
    </row>
    <row r="67" spans="1:37" s="2657" customFormat="1" ht="51.75" hidden="1" thickBot="1">
      <c r="A67" s="2675" t="s">
        <v>2756</v>
      </c>
      <c r="B67" s="2678" t="str">
        <f>估价对象房地状况!C20</f>
        <v>区域自然环境：中南海、南海、护城河；人文环境：国家大剧院、北京图书大厦；综合评价环境状况较好。</v>
      </c>
      <c r="C67" s="2556"/>
      <c r="D67" s="1375">
        <f t="shared" si="15"/>
        <v>0</v>
      </c>
      <c r="E67" s="838"/>
      <c r="F67" s="2274"/>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6"/>
      <c r="AI67" s="2656"/>
      <c r="AJ67" s="2656"/>
      <c r="AK67" s="2656"/>
    </row>
    <row r="68" spans="1:37" s="2657" customFormat="1" ht="15">
      <c r="A68" s="2661" t="s">
        <v>2762</v>
      </c>
      <c r="B68" s="2677">
        <f>1+E70</f>
        <v>1.0298</v>
      </c>
      <c r="C68" s="817"/>
      <c r="D68" s="817"/>
      <c r="E68" s="818"/>
      <c r="F68" s="2664"/>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6"/>
      <c r="AI68" s="2656"/>
      <c r="AJ68" s="2656"/>
      <c r="AK68" s="2656"/>
    </row>
    <row r="69" spans="1:37" s="2657" customFormat="1" ht="24.75">
      <c r="A69" s="2666" t="s">
        <v>2732</v>
      </c>
      <c r="B69" s="2670"/>
      <c r="C69" s="823" t="s">
        <v>2734</v>
      </c>
      <c r="D69" s="823" t="s">
        <v>2735</v>
      </c>
      <c r="E69" s="824" t="s">
        <v>2736</v>
      </c>
      <c r="F69" s="2667" t="s">
        <v>2737</v>
      </c>
      <c r="G69" s="823" t="s">
        <v>2758</v>
      </c>
      <c r="H69" s="2668" t="s">
        <v>2759</v>
      </c>
      <c r="I69" s="823" t="s">
        <v>2760</v>
      </c>
      <c r="J69" s="587" t="s">
        <v>2397</v>
      </c>
      <c r="K69" s="587" t="s">
        <v>2398</v>
      </c>
      <c r="L69" s="587" t="s">
        <v>2399</v>
      </c>
      <c r="M69" s="587" t="s">
        <v>2400</v>
      </c>
      <c r="N69" s="587" t="s">
        <v>2401</v>
      </c>
      <c r="O69" s="1461"/>
      <c r="P69" s="1461"/>
      <c r="Q69" s="1461"/>
      <c r="R69" s="1461"/>
      <c r="S69" s="1461"/>
      <c r="T69" s="1461"/>
      <c r="U69" s="1461"/>
      <c r="V69" s="1461"/>
      <c r="W69" s="1461"/>
      <c r="X69" s="1461"/>
      <c r="Y69" s="1461"/>
      <c r="Z69" s="1461"/>
      <c r="AA69" s="1462"/>
      <c r="AB69" s="1462"/>
      <c r="AC69" s="1462"/>
      <c r="AD69" s="1462"/>
      <c r="AE69" s="1462"/>
      <c r="AF69" s="1462"/>
      <c r="AG69" s="1462"/>
      <c r="AH69" s="2656"/>
      <c r="AI69" s="2656"/>
      <c r="AJ69" s="2656"/>
      <c r="AK69" s="2656"/>
    </row>
    <row r="70" spans="1:37" s="2657" customFormat="1" ht="25.5">
      <c r="A70" s="2666" t="s">
        <v>2763</v>
      </c>
      <c r="B70" s="2669" t="str">
        <f>估价对象房地状况!C15</f>
        <v>周边有等居住社区成熟度较好</v>
      </c>
      <c r="C70" s="2556" t="s">
        <v>30</v>
      </c>
      <c r="D70" s="1375">
        <f t="shared" ref="D70:D78" si="20">SUMIF($J$69:$N$69,C70,J70:N70)</f>
        <v>5.1999999999999998E-3</v>
      </c>
      <c r="E70" s="829">
        <f>ROUND(SUM(D70:D78),4)</f>
        <v>2.98E-2</v>
      </c>
      <c r="F70" s="2274">
        <f>IF(E2="住宅",SUMIF(L1:L12,G2,N1:N12),"——")</f>
        <v>7.4999999999999997E-2</v>
      </c>
      <c r="G70" s="1376">
        <v>5.1999999999999998E-3</v>
      </c>
      <c r="H70" s="1380">
        <f t="shared" ref="H70:H78" si="21">IFERROR(ROUNDDOWN($F$70*I70/2,4),"——")</f>
        <v>5.1999999999999998E-3</v>
      </c>
      <c r="I70" s="828">
        <v>0.14000000000000001</v>
      </c>
      <c r="J70" s="1377">
        <f t="shared" ref="J70:J78" si="22">K70+$G70</f>
        <v>1.04E-2</v>
      </c>
      <c r="K70" s="1377">
        <f t="shared" ref="K70:K78" si="23">$L70+$G70</f>
        <v>5.1999999999999998E-3</v>
      </c>
      <c r="L70" s="1377">
        <v>0</v>
      </c>
      <c r="M70" s="1377">
        <f t="shared" ref="M70:N78" si="24">L70-$G70</f>
        <v>-5.1999999999999998E-3</v>
      </c>
      <c r="N70" s="1377">
        <f t="shared" si="24"/>
        <v>-1.04E-2</v>
      </c>
      <c r="O70" s="1461"/>
      <c r="P70" s="1461"/>
      <c r="Q70" s="1461"/>
      <c r="R70" s="1461"/>
      <c r="S70" s="1461"/>
      <c r="T70" s="1461"/>
      <c r="U70" s="1461"/>
      <c r="V70" s="1461"/>
      <c r="W70" s="1461"/>
      <c r="X70" s="1461"/>
      <c r="Y70" s="1461"/>
      <c r="Z70" s="1461"/>
      <c r="AA70" s="1462"/>
      <c r="AB70" s="1462"/>
      <c r="AC70" s="1462"/>
      <c r="AD70" s="1462"/>
      <c r="AE70" s="1462"/>
      <c r="AF70" s="1462"/>
      <c r="AG70" s="1462"/>
      <c r="AH70" s="2656"/>
      <c r="AI70" s="2656"/>
      <c r="AJ70" s="2656"/>
      <c r="AK70" s="2656"/>
    </row>
    <row r="71" spans="1:37" s="2657" customFormat="1" ht="67.5" customHeight="1">
      <c r="A71" s="2666" t="s">
        <v>2747</v>
      </c>
      <c r="B71" s="2670" t="str">
        <f>估价对象房地状况!C18</f>
        <v>临近城市支路——府右街，紧邻言志胡同，周边有14路、68路等多条公交线路及地铁1、4号线换乘站（西单站），交通状况较好。</v>
      </c>
      <c r="C71" s="2556" t="s">
        <v>30</v>
      </c>
      <c r="D71" s="1375">
        <f t="shared" si="20"/>
        <v>1.12E-2</v>
      </c>
      <c r="E71" s="840"/>
      <c r="F71" s="2679"/>
      <c r="G71" s="1376">
        <v>1.12E-2</v>
      </c>
      <c r="H71" s="1380">
        <f t="shared" si="21"/>
        <v>1.12E-2</v>
      </c>
      <c r="I71" s="828">
        <v>0.3</v>
      </c>
      <c r="J71" s="1377">
        <f t="shared" si="22"/>
        <v>2.24E-2</v>
      </c>
      <c r="K71" s="1377">
        <f t="shared" si="23"/>
        <v>1.12E-2</v>
      </c>
      <c r="L71" s="1377">
        <v>0</v>
      </c>
      <c r="M71" s="1377">
        <f t="shared" si="24"/>
        <v>-1.12E-2</v>
      </c>
      <c r="N71" s="1377">
        <f t="shared" si="24"/>
        <v>-2.24E-2</v>
      </c>
      <c r="O71" s="1461"/>
      <c r="P71" s="1461"/>
      <c r="Q71" s="1461"/>
      <c r="R71" s="1461"/>
      <c r="S71" s="1461"/>
      <c r="T71" s="1461"/>
      <c r="U71" s="1461"/>
      <c r="V71" s="1461"/>
      <c r="W71" s="1461"/>
      <c r="X71" s="1461"/>
      <c r="Y71" s="1461"/>
      <c r="Z71" s="1461"/>
      <c r="AA71" s="1462"/>
      <c r="AB71" s="1462"/>
      <c r="AC71" s="1462"/>
      <c r="AD71" s="1462"/>
      <c r="AE71" s="1462"/>
      <c r="AF71" s="1462"/>
      <c r="AG71" s="1462"/>
      <c r="AH71" s="2656"/>
      <c r="AI71" s="2656"/>
      <c r="AJ71" s="2656"/>
      <c r="AK71" s="2656"/>
    </row>
    <row r="72" spans="1:37" s="2657" customFormat="1" ht="24">
      <c r="A72" s="2666" t="s">
        <v>2748</v>
      </c>
      <c r="B72" s="2670">
        <f>估价对象房地状况!C19</f>
        <v>0</v>
      </c>
      <c r="C72" s="2556" t="s">
        <v>30</v>
      </c>
      <c r="D72" s="1375">
        <f t="shared" si="20"/>
        <v>3.0000000000000001E-3</v>
      </c>
      <c r="E72" s="840"/>
      <c r="F72" s="2679"/>
      <c r="G72" s="1376">
        <v>3.0000000000000001E-3</v>
      </c>
      <c r="H72" s="1380">
        <f t="shared" si="21"/>
        <v>3.0000000000000001E-3</v>
      </c>
      <c r="I72" s="828">
        <v>0.08</v>
      </c>
      <c r="J72" s="1377">
        <f t="shared" si="22"/>
        <v>6.0000000000000001E-3</v>
      </c>
      <c r="K72" s="1377">
        <f t="shared" si="23"/>
        <v>3.0000000000000001E-3</v>
      </c>
      <c r="L72" s="1377">
        <v>0</v>
      </c>
      <c r="M72" s="1377">
        <f t="shared" si="24"/>
        <v>-3.0000000000000001E-3</v>
      </c>
      <c r="N72" s="1377">
        <f t="shared" si="24"/>
        <v>-6.0000000000000001E-3</v>
      </c>
      <c r="O72" s="1461"/>
      <c r="P72" s="1461"/>
      <c r="Q72" s="1461"/>
      <c r="R72" s="1461"/>
      <c r="S72" s="1461"/>
      <c r="T72" s="1461"/>
      <c r="U72" s="1461"/>
      <c r="V72" s="1461"/>
      <c r="W72" s="1461"/>
      <c r="X72" s="1461"/>
      <c r="Y72" s="1461"/>
      <c r="Z72" s="1461"/>
      <c r="AA72" s="1462"/>
      <c r="AB72" s="1462"/>
      <c r="AC72" s="1462"/>
      <c r="AD72" s="1462"/>
      <c r="AE72" s="1462"/>
      <c r="AF72" s="1462"/>
      <c r="AG72" s="1462"/>
      <c r="AH72" s="2656"/>
      <c r="AI72" s="2656"/>
      <c r="AJ72" s="2656"/>
      <c r="AK72" s="2656"/>
    </row>
    <row r="73" spans="1:37" s="2657" customFormat="1" ht="14.25">
      <c r="A73" s="2666" t="s">
        <v>2764</v>
      </c>
      <c r="B73" s="2670">
        <f>估价对象房地状况!C24</f>
        <v>0</v>
      </c>
      <c r="C73" s="2556" t="s">
        <v>32</v>
      </c>
      <c r="D73" s="1375">
        <f t="shared" si="20"/>
        <v>-1.5E-3</v>
      </c>
      <c r="E73" s="840"/>
      <c r="F73" s="2679"/>
      <c r="G73" s="1376">
        <v>1.5E-3</v>
      </c>
      <c r="H73" s="1380">
        <f t="shared" si="21"/>
        <v>1.5E-3</v>
      </c>
      <c r="I73" s="828">
        <v>0.04</v>
      </c>
      <c r="J73" s="1377">
        <f t="shared" si="22"/>
        <v>3.0000000000000001E-3</v>
      </c>
      <c r="K73" s="1377">
        <f t="shared" si="23"/>
        <v>1.5E-3</v>
      </c>
      <c r="L73" s="1377">
        <v>0</v>
      </c>
      <c r="M73" s="1377">
        <f t="shared" si="24"/>
        <v>-1.5E-3</v>
      </c>
      <c r="N73" s="1377">
        <f t="shared" si="24"/>
        <v>-3.0000000000000001E-3</v>
      </c>
      <c r="O73" s="1461"/>
      <c r="P73" s="1461"/>
      <c r="Q73" s="1461"/>
      <c r="R73" s="1461"/>
      <c r="S73" s="1461"/>
      <c r="T73" s="1461"/>
      <c r="U73" s="1461"/>
      <c r="V73" s="1461"/>
      <c r="W73" s="1461"/>
      <c r="X73" s="1461"/>
      <c r="Y73" s="1461"/>
      <c r="Z73" s="1461"/>
      <c r="AA73" s="1462"/>
      <c r="AB73" s="1462"/>
      <c r="AC73" s="1462"/>
      <c r="AD73" s="1462"/>
      <c r="AE73" s="1462"/>
      <c r="AF73" s="1462"/>
      <c r="AG73" s="1462"/>
      <c r="AH73" s="2656"/>
      <c r="AI73" s="2656"/>
      <c r="AJ73" s="2656"/>
      <c r="AK73" s="2656"/>
    </row>
    <row r="74" spans="1:37" s="2657" customFormat="1" ht="99.75" customHeight="1">
      <c r="A74" s="2666" t="s">
        <v>2754</v>
      </c>
      <c r="B74"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74" s="2556" t="s">
        <v>30</v>
      </c>
      <c r="D74" s="1375">
        <f t="shared" si="20"/>
        <v>3.0000000000000001E-3</v>
      </c>
      <c r="E74" s="840"/>
      <c r="F74" s="2679"/>
      <c r="G74" s="1376">
        <v>3.0000000000000001E-3</v>
      </c>
      <c r="H74" s="1380">
        <f t="shared" si="21"/>
        <v>3.0000000000000001E-3</v>
      </c>
      <c r="I74" s="828">
        <v>0.08</v>
      </c>
      <c r="J74" s="1377">
        <f t="shared" si="22"/>
        <v>6.0000000000000001E-3</v>
      </c>
      <c r="K74" s="1377">
        <f t="shared" si="23"/>
        <v>3.0000000000000001E-3</v>
      </c>
      <c r="L74" s="1377">
        <v>0</v>
      </c>
      <c r="M74" s="1377">
        <f t="shared" si="24"/>
        <v>-3.0000000000000001E-3</v>
      </c>
      <c r="N74" s="1377">
        <f t="shared" si="24"/>
        <v>-6.0000000000000001E-3</v>
      </c>
      <c r="O74" s="1461"/>
      <c r="P74" s="1461"/>
      <c r="Q74" s="1461"/>
      <c r="R74" s="1461"/>
      <c r="S74" s="1461"/>
      <c r="T74" s="1461"/>
      <c r="U74" s="1461"/>
      <c r="V74" s="1461"/>
      <c r="W74" s="1461"/>
      <c r="X74" s="1461"/>
      <c r="Y74" s="1461"/>
      <c r="Z74" s="1461"/>
      <c r="AA74" s="1462"/>
      <c r="AB74" s="1462"/>
      <c r="AC74" s="1462"/>
      <c r="AD74" s="1462"/>
      <c r="AE74" s="1462"/>
      <c r="AF74" s="1462"/>
      <c r="AG74" s="1462"/>
      <c r="AH74" s="2656"/>
      <c r="AI74" s="2656"/>
      <c r="AJ74" s="2656"/>
      <c r="AK74" s="2656"/>
    </row>
    <row r="75" spans="1:37" s="2657" customFormat="1" ht="24">
      <c r="A75" s="2666" t="s">
        <v>2755</v>
      </c>
      <c r="B75" s="2674" t="str">
        <f>估价对象房地状况!C22</f>
        <v>五通</v>
      </c>
      <c r="C75" s="2556" t="s">
        <v>31</v>
      </c>
      <c r="D75" s="1375">
        <f t="shared" si="20"/>
        <v>0</v>
      </c>
      <c r="E75" s="840"/>
      <c r="F75" s="2679"/>
      <c r="G75" s="1376">
        <v>4.4999999999999997E-3</v>
      </c>
      <c r="H75" s="1380">
        <f t="shared" si="21"/>
        <v>4.4999999999999997E-3</v>
      </c>
      <c r="I75" s="828">
        <v>0.12</v>
      </c>
      <c r="J75" s="1377">
        <f t="shared" si="22"/>
        <v>8.9999999999999993E-3</v>
      </c>
      <c r="K75" s="1377">
        <f t="shared" si="23"/>
        <v>4.4999999999999997E-3</v>
      </c>
      <c r="L75" s="1377">
        <v>0</v>
      </c>
      <c r="M75" s="1377">
        <f t="shared" si="24"/>
        <v>-4.4999999999999997E-3</v>
      </c>
      <c r="N75" s="1377">
        <f t="shared" si="24"/>
        <v>-8.9999999999999993E-3</v>
      </c>
      <c r="O75" s="1461"/>
      <c r="P75" s="1461"/>
      <c r="Q75" s="1461"/>
      <c r="R75" s="1461"/>
      <c r="S75" s="1461"/>
      <c r="T75" s="1461"/>
      <c r="U75" s="1461"/>
      <c r="V75" s="1461"/>
      <c r="W75" s="1461"/>
      <c r="X75" s="1461"/>
      <c r="Y75" s="1461"/>
      <c r="Z75" s="1461"/>
      <c r="AA75" s="1462"/>
      <c r="AB75" s="1462"/>
      <c r="AC75" s="1462"/>
      <c r="AD75" s="1462"/>
      <c r="AE75" s="1462"/>
      <c r="AF75" s="1462"/>
      <c r="AG75" s="1462"/>
      <c r="AH75" s="2656"/>
      <c r="AI75" s="2656"/>
      <c r="AJ75" s="2656"/>
      <c r="AK75" s="2656"/>
    </row>
    <row r="76" spans="1:37" ht="24">
      <c r="A76" s="2666" t="s">
        <v>2752</v>
      </c>
      <c r="B76" s="2672" t="s">
        <v>2753</v>
      </c>
      <c r="C76" s="2556" t="s">
        <v>30</v>
      </c>
      <c r="D76" s="1375">
        <f t="shared" si="20"/>
        <v>1.8E-3</v>
      </c>
      <c r="E76" s="840"/>
      <c r="F76" s="2679"/>
      <c r="G76" s="1376">
        <v>1.8E-3</v>
      </c>
      <c r="H76" s="1380">
        <f t="shared" si="21"/>
        <v>1.8E-3</v>
      </c>
      <c r="I76" s="828">
        <v>0.05</v>
      </c>
      <c r="J76" s="1377">
        <f t="shared" si="22"/>
        <v>3.5999999999999999E-3</v>
      </c>
      <c r="K76" s="1377">
        <f t="shared" si="23"/>
        <v>1.8E-3</v>
      </c>
      <c r="L76" s="1377">
        <v>0</v>
      </c>
      <c r="M76" s="1377">
        <f t="shared" si="24"/>
        <v>-1.8E-3</v>
      </c>
      <c r="N76" s="1377">
        <f t="shared" si="24"/>
        <v>-3.5999999999999999E-3</v>
      </c>
      <c r="Z76" s="2504"/>
      <c r="AA76" s="2580"/>
      <c r="AG76" s="2656"/>
      <c r="AK76" s="2580"/>
    </row>
    <row r="77" spans="1:37" ht="51.75" customHeight="1">
      <c r="A77" s="2666" t="s">
        <v>2756</v>
      </c>
      <c r="B77" s="2669" t="str">
        <f>估价对象房地状况!C20</f>
        <v>区域自然环境：中南海、南海、护城河；人文环境：国家大剧院、北京图书大厦；综合评价环境状况较好。</v>
      </c>
      <c r="C77" s="2556" t="s">
        <v>30</v>
      </c>
      <c r="D77" s="1375">
        <f t="shared" si="20"/>
        <v>5.5999999999999999E-3</v>
      </c>
      <c r="E77" s="840"/>
      <c r="F77" s="2679"/>
      <c r="G77" s="1376">
        <v>5.5999999999999999E-3</v>
      </c>
      <c r="H77" s="1380">
        <f t="shared" si="21"/>
        <v>5.5999999999999999E-3</v>
      </c>
      <c r="I77" s="828">
        <v>0.15</v>
      </c>
      <c r="J77" s="1377">
        <f t="shared" si="22"/>
        <v>1.12E-2</v>
      </c>
      <c r="K77" s="1377">
        <f t="shared" si="23"/>
        <v>5.5999999999999999E-3</v>
      </c>
      <c r="L77" s="1377">
        <v>0</v>
      </c>
      <c r="M77" s="1377">
        <f t="shared" si="24"/>
        <v>-5.5999999999999999E-3</v>
      </c>
      <c r="N77" s="1377">
        <f t="shared" si="24"/>
        <v>-1.12E-2</v>
      </c>
      <c r="Z77" s="2504"/>
      <c r="AA77" s="2580"/>
      <c r="AG77" s="2656"/>
      <c r="AK77" s="2580"/>
    </row>
    <row r="78" spans="1:37" ht="24.75" thickBot="1">
      <c r="A78" s="2675" t="s">
        <v>2765</v>
      </c>
      <c r="B78" s="2680"/>
      <c r="C78" s="2556" t="s">
        <v>30</v>
      </c>
      <c r="D78" s="1375">
        <f t="shared" si="20"/>
        <v>1.5E-3</v>
      </c>
      <c r="E78" s="841"/>
      <c r="F78" s="2679"/>
      <c r="G78" s="1376">
        <v>1.5E-3</v>
      </c>
      <c r="H78" s="1380">
        <f t="shared" si="21"/>
        <v>1.5E-3</v>
      </c>
      <c r="I78" s="837">
        <v>0.04</v>
      </c>
      <c r="J78" s="1377">
        <f t="shared" si="22"/>
        <v>3.0000000000000001E-3</v>
      </c>
      <c r="K78" s="1377">
        <f t="shared" si="23"/>
        <v>1.5E-3</v>
      </c>
      <c r="L78" s="1377">
        <v>0</v>
      </c>
      <c r="M78" s="1377">
        <f t="shared" si="24"/>
        <v>-1.5E-3</v>
      </c>
      <c r="N78" s="1377">
        <f t="shared" si="24"/>
        <v>-3.0000000000000001E-3</v>
      </c>
      <c r="Z78" s="2504"/>
      <c r="AA78" s="2580"/>
      <c r="AG78" s="2656"/>
      <c r="AK78" s="2580"/>
    </row>
    <row r="79" spans="1:37" ht="15" hidden="1">
      <c r="A79" s="2661" t="s">
        <v>2766</v>
      </c>
      <c r="B79" s="2677">
        <f>1+E81</f>
        <v>1</v>
      </c>
      <c r="C79" s="817"/>
      <c r="D79" s="817"/>
      <c r="E79" s="818"/>
      <c r="F79" s="2664"/>
      <c r="G79" s="7"/>
      <c r="H79" s="7"/>
      <c r="I79" s="7"/>
      <c r="J79" s="9"/>
      <c r="K79" s="9"/>
      <c r="L79" s="9"/>
      <c r="M79" s="9"/>
      <c r="N79" s="9"/>
      <c r="Z79" s="2504"/>
      <c r="AA79" s="2580"/>
      <c r="AG79" s="2656"/>
      <c r="AK79" s="2580"/>
    </row>
    <row r="80" spans="1:37" ht="24.75" hidden="1">
      <c r="A80" s="2666" t="s">
        <v>2732</v>
      </c>
      <c r="B80" s="2670"/>
      <c r="C80" s="823" t="s">
        <v>2734</v>
      </c>
      <c r="D80" s="823" t="s">
        <v>2735</v>
      </c>
      <c r="E80" s="824" t="s">
        <v>2736</v>
      </c>
      <c r="F80" s="2667" t="s">
        <v>2737</v>
      </c>
      <c r="G80" s="823" t="s">
        <v>2758</v>
      </c>
      <c r="H80" s="2668" t="s">
        <v>2759</v>
      </c>
      <c r="I80" s="823" t="s">
        <v>2760</v>
      </c>
      <c r="J80" s="587" t="s">
        <v>2397</v>
      </c>
      <c r="K80" s="587" t="s">
        <v>2398</v>
      </c>
      <c r="L80" s="587" t="s">
        <v>2399</v>
      </c>
      <c r="M80" s="587" t="s">
        <v>2400</v>
      </c>
      <c r="N80" s="587" t="s">
        <v>2401</v>
      </c>
      <c r="Z80" s="2504"/>
      <c r="AA80" s="2580"/>
      <c r="AG80" s="2656"/>
      <c r="AK80" s="2580"/>
    </row>
    <row r="81" spans="1:37" ht="38.25" hidden="1">
      <c r="A81" s="2666" t="s">
        <v>2767</v>
      </c>
      <c r="B81" s="2670" t="str">
        <f>估价对象房地状况!G15</f>
        <v>估价对象位于XX开发区，园区建设成熟度XX，产业集聚程度XX</v>
      </c>
      <c r="C81" s="2556"/>
      <c r="D81" s="1375">
        <f t="shared" ref="D81:D88" si="25">SUMIF($J$80:$N$80,C81,J81:N81)</f>
        <v>0</v>
      </c>
      <c r="E81" s="829">
        <f>ROUND(SUM(D81:D88),4)</f>
        <v>0</v>
      </c>
      <c r="F81" s="2274"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4"/>
      <c r="AA81" s="2580"/>
      <c r="AG81" s="2656"/>
      <c r="AK81" s="2580"/>
    </row>
    <row r="82" spans="1:37" ht="51" hidden="1">
      <c r="A82" s="2666" t="s">
        <v>2747</v>
      </c>
      <c r="B82" s="2670" t="str">
        <f>估价对象房地状况!G16</f>
        <v>估价对象周边道路状况、公共交通通达情况、停车便捷程度，综合评价交通便捷度较好</v>
      </c>
      <c r="C82" s="2556"/>
      <c r="D82" s="1375">
        <f t="shared" si="25"/>
        <v>0</v>
      </c>
      <c r="E82" s="840"/>
      <c r="F82" s="2679"/>
      <c r="G82" s="1376"/>
      <c r="H82" s="1380" t="str">
        <f t="shared" si="26"/>
        <v>——</v>
      </c>
      <c r="I82" s="828">
        <v>0.33</v>
      </c>
      <c r="J82" s="1377">
        <f t="shared" si="27"/>
        <v>0</v>
      </c>
      <c r="K82" s="1377">
        <f t="shared" si="28"/>
        <v>0</v>
      </c>
      <c r="L82" s="1377">
        <v>0</v>
      </c>
      <c r="M82" s="1377">
        <f t="shared" si="29"/>
        <v>0</v>
      </c>
      <c r="N82" s="1377">
        <f t="shared" si="29"/>
        <v>0</v>
      </c>
      <c r="Z82" s="2504"/>
      <c r="AA82" s="2580"/>
      <c r="AG82" s="2656"/>
      <c r="AK82" s="2580"/>
    </row>
    <row r="83" spans="1:37" ht="24" hidden="1">
      <c r="A83" s="2666" t="s">
        <v>2748</v>
      </c>
      <c r="B83" s="2670">
        <f>估价对象房地状况!G17</f>
        <v>0</v>
      </c>
      <c r="C83" s="2556"/>
      <c r="D83" s="1375">
        <f t="shared" si="25"/>
        <v>0</v>
      </c>
      <c r="E83" s="840"/>
      <c r="F83" s="2679"/>
      <c r="G83" s="1376"/>
      <c r="H83" s="1380" t="str">
        <f t="shared" si="26"/>
        <v>——</v>
      </c>
      <c r="I83" s="828">
        <v>0.05</v>
      </c>
      <c r="J83" s="1377">
        <f t="shared" si="27"/>
        <v>0</v>
      </c>
      <c r="K83" s="1377">
        <f t="shared" si="28"/>
        <v>0</v>
      </c>
      <c r="L83" s="1377">
        <v>0</v>
      </c>
      <c r="M83" s="1377">
        <f t="shared" si="29"/>
        <v>0</v>
      </c>
      <c r="N83" s="1377">
        <f t="shared" si="29"/>
        <v>0</v>
      </c>
      <c r="Z83" s="2504"/>
      <c r="AA83" s="2580"/>
      <c r="AG83" s="2656"/>
      <c r="AK83" s="2580"/>
    </row>
    <row r="84" spans="1:37" ht="14.25" hidden="1">
      <c r="A84" s="2666" t="s">
        <v>2764</v>
      </c>
      <c r="B84" s="2670">
        <f>估价对象房地状况!G22</f>
        <v>0</v>
      </c>
      <c r="C84" s="2556"/>
      <c r="D84" s="1375">
        <f t="shared" si="25"/>
        <v>0</v>
      </c>
      <c r="E84" s="840"/>
      <c r="F84" s="2679"/>
      <c r="G84" s="1376"/>
      <c r="H84" s="1380" t="str">
        <f t="shared" si="26"/>
        <v>——</v>
      </c>
      <c r="I84" s="828">
        <v>0.04</v>
      </c>
      <c r="J84" s="1377">
        <f t="shared" si="27"/>
        <v>0</v>
      </c>
      <c r="K84" s="1377">
        <f t="shared" si="28"/>
        <v>0</v>
      </c>
      <c r="L84" s="1377">
        <v>0</v>
      </c>
      <c r="M84" s="1377">
        <f t="shared" si="29"/>
        <v>0</v>
      </c>
      <c r="N84" s="1377">
        <f t="shared" si="29"/>
        <v>0</v>
      </c>
      <c r="Z84" s="2504"/>
      <c r="AA84" s="2580"/>
      <c r="AG84" s="2656"/>
      <c r="AK84" s="2580"/>
    </row>
    <row r="85" spans="1:37" ht="25.5" hidden="1">
      <c r="A85" s="2666" t="s">
        <v>2754</v>
      </c>
      <c r="B85" s="2674" t="str">
        <f>估价对象房地状况!G19</f>
        <v>估价对象所在区域公共配套设施齐备情况</v>
      </c>
      <c r="C85" s="2556"/>
      <c r="D85" s="1375">
        <f t="shared" si="25"/>
        <v>0</v>
      </c>
      <c r="E85" s="840"/>
      <c r="F85" s="2679"/>
      <c r="G85" s="1376"/>
      <c r="H85" s="1380" t="str">
        <f t="shared" si="26"/>
        <v>——</v>
      </c>
      <c r="I85" s="828">
        <v>0.06</v>
      </c>
      <c r="J85" s="1377">
        <f t="shared" si="27"/>
        <v>0</v>
      </c>
      <c r="K85" s="1377">
        <f t="shared" si="28"/>
        <v>0</v>
      </c>
      <c r="L85" s="1377">
        <v>0</v>
      </c>
      <c r="M85" s="1377">
        <f t="shared" si="29"/>
        <v>0</v>
      </c>
      <c r="N85" s="1377">
        <f t="shared" si="29"/>
        <v>0</v>
      </c>
      <c r="Z85" s="2504"/>
      <c r="AA85" s="2580"/>
      <c r="AG85" s="2656"/>
      <c r="AK85" s="2580"/>
    </row>
    <row r="86" spans="1:37" ht="25.5" hidden="1">
      <c r="A86" s="2666" t="s">
        <v>2755</v>
      </c>
      <c r="B86" s="2674" t="str">
        <f>估价对象房地状况!G20</f>
        <v>估价对象所在区域基础设施水平</v>
      </c>
      <c r="C86" s="2556"/>
      <c r="D86" s="1375">
        <f t="shared" si="25"/>
        <v>0</v>
      </c>
      <c r="E86" s="840"/>
      <c r="F86" s="2679"/>
      <c r="G86" s="1376"/>
      <c r="H86" s="1380" t="str">
        <f t="shared" si="26"/>
        <v>——</v>
      </c>
      <c r="I86" s="828">
        <v>0.15</v>
      </c>
      <c r="J86" s="1377">
        <f t="shared" si="27"/>
        <v>0</v>
      </c>
      <c r="K86" s="1377">
        <f t="shared" si="28"/>
        <v>0</v>
      </c>
      <c r="L86" s="1377">
        <v>0</v>
      </c>
      <c r="M86" s="1377">
        <f t="shared" si="29"/>
        <v>0</v>
      </c>
      <c r="N86" s="1377">
        <f t="shared" si="29"/>
        <v>0</v>
      </c>
      <c r="Z86" s="2504"/>
      <c r="AA86" s="2580"/>
      <c r="AG86" s="2656"/>
      <c r="AK86" s="2580"/>
    </row>
    <row r="87" spans="1:37" ht="24" hidden="1">
      <c r="A87" s="2666" t="s">
        <v>2752</v>
      </c>
      <c r="B87" s="2672" t="s">
        <v>2753</v>
      </c>
      <c r="C87" s="2556"/>
      <c r="D87" s="1375">
        <f t="shared" si="25"/>
        <v>0</v>
      </c>
      <c r="E87" s="840"/>
      <c r="F87" s="2679"/>
      <c r="G87" s="1376"/>
      <c r="H87" s="1380" t="str">
        <f t="shared" si="26"/>
        <v>——</v>
      </c>
      <c r="I87" s="828">
        <v>0.05</v>
      </c>
      <c r="J87" s="1377">
        <f t="shared" si="27"/>
        <v>0</v>
      </c>
      <c r="K87" s="1377">
        <f t="shared" si="28"/>
        <v>0</v>
      </c>
      <c r="L87" s="1377">
        <v>0</v>
      </c>
      <c r="M87" s="1377">
        <f t="shared" si="29"/>
        <v>0</v>
      </c>
      <c r="N87" s="1377">
        <f t="shared" si="29"/>
        <v>0</v>
      </c>
      <c r="Z87" s="2504"/>
      <c r="AA87" s="2580"/>
      <c r="AG87" s="2656"/>
      <c r="AK87" s="2580"/>
    </row>
    <row r="88" spans="1:37" ht="39" hidden="1" thickBot="1">
      <c r="A88" s="2675" t="s">
        <v>2768</v>
      </c>
      <c r="B88" s="2681" t="str">
        <f>估价对象房地状况!G18</f>
        <v>该园区内是否有污染型企业，绿化情况，卫生条件，整体环境状况判断</v>
      </c>
      <c r="C88" s="2682"/>
      <c r="D88" s="1381">
        <f t="shared" si="25"/>
        <v>0</v>
      </c>
      <c r="E88" s="841"/>
      <c r="F88" s="2679"/>
      <c r="G88" s="1376"/>
      <c r="H88" s="1380" t="str">
        <f t="shared" si="26"/>
        <v>——</v>
      </c>
      <c r="I88" s="837">
        <v>0.06</v>
      </c>
      <c r="J88" s="1377">
        <f t="shared" si="27"/>
        <v>0</v>
      </c>
      <c r="K88" s="1377">
        <f t="shared" si="28"/>
        <v>0</v>
      </c>
      <c r="L88" s="1377">
        <v>0</v>
      </c>
      <c r="M88" s="1377">
        <f t="shared" si="29"/>
        <v>0</v>
      </c>
      <c r="N88" s="1377">
        <f t="shared" si="29"/>
        <v>0</v>
      </c>
      <c r="Z88" s="2504"/>
      <c r="AA88" s="2580"/>
      <c r="AG88" s="2656"/>
      <c r="AK88" s="2580"/>
    </row>
    <row r="90" spans="1:37">
      <c r="A90" s="3067" t="s">
        <v>2769</v>
      </c>
      <c r="B90" s="3067"/>
      <c r="C90" s="3067"/>
      <c r="D90" s="3067"/>
      <c r="E90" s="3067"/>
      <c r="F90" s="3067"/>
      <c r="G90" s="3067"/>
      <c r="H90" s="3067"/>
      <c r="I90" s="3067"/>
      <c r="J90" s="3067"/>
      <c r="K90" s="2683"/>
      <c r="L90" s="2683"/>
      <c r="M90" s="2683"/>
      <c r="N90" s="2683"/>
    </row>
    <row r="91" spans="1:37">
      <c r="A91" s="3069" t="s">
        <v>2770</v>
      </c>
      <c r="B91" s="3069" t="s">
        <v>2771</v>
      </c>
      <c r="C91" s="2631" t="s">
        <v>2772</v>
      </c>
      <c r="D91" s="2632"/>
      <c r="E91" s="2632"/>
      <c r="F91" s="2632"/>
      <c r="G91" s="2632"/>
      <c r="H91" s="2632"/>
      <c r="I91" s="2632"/>
      <c r="J91" s="2684"/>
      <c r="K91" s="2685"/>
      <c r="L91" s="2685"/>
      <c r="M91" s="2685"/>
      <c r="N91" s="2685"/>
    </row>
    <row r="92" spans="1:37">
      <c r="A92" s="3069"/>
      <c r="B92" s="3069"/>
      <c r="C92" s="971" t="s">
        <v>2628</v>
      </c>
      <c r="D92" s="971" t="s">
        <v>2629</v>
      </c>
      <c r="E92" s="971" t="s">
        <v>2630</v>
      </c>
      <c r="F92" s="971" t="s">
        <v>2631</v>
      </c>
      <c r="G92" s="971" t="s">
        <v>2632</v>
      </c>
      <c r="H92" s="971" t="s">
        <v>2633</v>
      </c>
      <c r="I92" s="971" t="s">
        <v>2634</v>
      </c>
      <c r="J92" s="971" t="s">
        <v>2635</v>
      </c>
      <c r="K92" s="971" t="s">
        <v>2636</v>
      </c>
      <c r="L92" s="971" t="s">
        <v>2637</v>
      </c>
      <c r="M92" s="971" t="s">
        <v>2638</v>
      </c>
      <c r="N92" s="971" t="s">
        <v>2639</v>
      </c>
    </row>
    <row r="93" spans="1:37">
      <c r="A93" s="3070" t="s">
        <v>2773</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71"/>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71"/>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71"/>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71"/>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71"/>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71"/>
      <c r="B99" s="2686" t="s">
        <v>2644</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72"/>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70" t="s">
        <v>2774</v>
      </c>
      <c r="B101" s="2690" t="s">
        <v>2775</v>
      </c>
      <c r="C101" s="2691">
        <f>$G$3</f>
        <v>2.5</v>
      </c>
      <c r="D101" s="2691">
        <f t="shared" ref="D101:N101" si="31">$G$3</f>
        <v>2.5</v>
      </c>
      <c r="E101" s="2691">
        <f t="shared" si="31"/>
        <v>2.5</v>
      </c>
      <c r="F101" s="2691">
        <f t="shared" si="31"/>
        <v>2.5</v>
      </c>
      <c r="G101" s="2691">
        <f t="shared" si="31"/>
        <v>2.5</v>
      </c>
      <c r="H101" s="2691">
        <f t="shared" si="31"/>
        <v>2.5</v>
      </c>
      <c r="I101" s="2691">
        <f t="shared" si="31"/>
        <v>2.5</v>
      </c>
      <c r="J101" s="2691">
        <f t="shared" si="31"/>
        <v>2.5</v>
      </c>
      <c r="K101" s="2691">
        <f t="shared" si="31"/>
        <v>2.5</v>
      </c>
      <c r="L101" s="2691">
        <f t="shared" si="31"/>
        <v>2.5</v>
      </c>
      <c r="M101" s="2691">
        <f t="shared" si="31"/>
        <v>2.5</v>
      </c>
      <c r="N101" s="2691">
        <f t="shared" si="31"/>
        <v>2.5</v>
      </c>
    </row>
    <row r="102" spans="1:14">
      <c r="A102" s="3071"/>
      <c r="B102" s="2686">
        <v>1</v>
      </c>
      <c r="C102" s="2687">
        <f>1.9362/C101</f>
        <v>0.77447999999999995</v>
      </c>
      <c r="D102" s="2687">
        <f>1.9362/D101</f>
        <v>0.77447999999999995</v>
      </c>
      <c r="E102" s="2687">
        <f>1.8629/E101</f>
        <v>0.74516000000000004</v>
      </c>
      <c r="F102" s="2687">
        <f>1.8629/F101</f>
        <v>0.74516000000000004</v>
      </c>
      <c r="G102" s="2687">
        <f>1.8629/G101</f>
        <v>0.74516000000000004</v>
      </c>
      <c r="H102" s="2687">
        <f>1.8629/H101</f>
        <v>0.74516000000000004</v>
      </c>
      <c r="I102" s="2687">
        <f>1.8629/I101</f>
        <v>0.74516000000000004</v>
      </c>
      <c r="J102" s="2687">
        <f>1.942/J101</f>
        <v>0.77679999999999993</v>
      </c>
      <c r="K102" s="2687">
        <f>1.942/K101</f>
        <v>0.77679999999999993</v>
      </c>
      <c r="L102" s="2687">
        <f>1.942/L101</f>
        <v>0.77679999999999993</v>
      </c>
      <c r="M102" s="2687">
        <f>1.942/M101</f>
        <v>0.77679999999999993</v>
      </c>
      <c r="N102" s="2687">
        <f>1.942/N101</f>
        <v>0.77679999999999993</v>
      </c>
    </row>
    <row r="103" spans="1:14">
      <c r="A103" s="3071"/>
      <c r="B103" s="2686">
        <v>2</v>
      </c>
      <c r="C103" s="2687">
        <f>1.4198/C101</f>
        <v>0.56791999999999998</v>
      </c>
      <c r="D103" s="2687">
        <f>1.4198/D101</f>
        <v>0.56791999999999998</v>
      </c>
      <c r="E103" s="2687">
        <f>1.3372/E101</f>
        <v>0.53488000000000002</v>
      </c>
      <c r="F103" s="2687">
        <f>1.3372/F101</f>
        <v>0.53488000000000002</v>
      </c>
      <c r="G103" s="2687">
        <f>1.3372/G101</f>
        <v>0.53488000000000002</v>
      </c>
      <c r="H103" s="2687">
        <f>1.3372/H101</f>
        <v>0.53488000000000002</v>
      </c>
      <c r="I103" s="2687">
        <f>1.3372/I101</f>
        <v>0.53488000000000002</v>
      </c>
      <c r="J103" s="2687">
        <f>1.2799/J101</f>
        <v>0.51195999999999997</v>
      </c>
      <c r="K103" s="2687">
        <f>1.2799/K101</f>
        <v>0.51195999999999997</v>
      </c>
      <c r="L103" s="2687">
        <f>1.2799/L101</f>
        <v>0.51195999999999997</v>
      </c>
      <c r="M103" s="2687">
        <f>1.2799/M101</f>
        <v>0.51195999999999997</v>
      </c>
      <c r="N103" s="2687">
        <f>1.2799/N101</f>
        <v>0.51195999999999997</v>
      </c>
    </row>
    <row r="104" spans="1:14">
      <c r="A104" s="3071"/>
      <c r="B104" s="2686">
        <v>3</v>
      </c>
      <c r="C104" s="2687">
        <f>1.1594/C101</f>
        <v>0.46376000000000001</v>
      </c>
      <c r="D104" s="2687">
        <f>1.1594/D101</f>
        <v>0.46376000000000001</v>
      </c>
      <c r="E104" s="2687">
        <f>1.0788/E101</f>
        <v>0.43152000000000001</v>
      </c>
      <c r="F104" s="2687">
        <f>1.0788/F101</f>
        <v>0.43152000000000001</v>
      </c>
      <c r="G104" s="2687">
        <f>1.0788/G101</f>
        <v>0.43152000000000001</v>
      </c>
      <c r="H104" s="2687">
        <f>1.0788/H101</f>
        <v>0.43152000000000001</v>
      </c>
      <c r="I104" s="2687">
        <f>1.0788/I101</f>
        <v>0.43152000000000001</v>
      </c>
      <c r="J104" s="2687">
        <f>1.0072/J101</f>
        <v>0.40288000000000002</v>
      </c>
      <c r="K104" s="2687">
        <f>1.0072/K101</f>
        <v>0.40288000000000002</v>
      </c>
      <c r="L104" s="2687">
        <f>1.0072/L101</f>
        <v>0.40288000000000002</v>
      </c>
      <c r="M104" s="2687">
        <f>1.0072/M101</f>
        <v>0.40288000000000002</v>
      </c>
      <c r="N104" s="2687">
        <f>1.0072/N101</f>
        <v>0.40288000000000002</v>
      </c>
    </row>
    <row r="105" spans="1:14">
      <c r="A105" s="3071"/>
      <c r="B105" s="2686">
        <v>4</v>
      </c>
      <c r="C105" s="2687">
        <f>0.9622/C101</f>
        <v>0.38488</v>
      </c>
      <c r="D105" s="2687">
        <f>0.9622/D101</f>
        <v>0.38488</v>
      </c>
      <c r="E105" s="2687">
        <f>0.8656/E101</f>
        <v>0.34623999999999999</v>
      </c>
      <c r="F105" s="2687">
        <f>0.8656/F101</f>
        <v>0.34623999999999999</v>
      </c>
      <c r="G105" s="2687">
        <f>0.8656/G101</f>
        <v>0.34623999999999999</v>
      </c>
      <c r="H105" s="2687">
        <f>0.8656/H101</f>
        <v>0.34623999999999999</v>
      </c>
      <c r="I105" s="2687">
        <f>0.8656/I101</f>
        <v>0.34623999999999999</v>
      </c>
      <c r="J105" s="2687">
        <f>0.7525/J101</f>
        <v>0.30099999999999999</v>
      </c>
      <c r="K105" s="2687">
        <f>0.7525/K101</f>
        <v>0.30099999999999999</v>
      </c>
      <c r="L105" s="2687">
        <f>0.7525/L101</f>
        <v>0.30099999999999999</v>
      </c>
      <c r="M105" s="2687">
        <f>0.7525/M101</f>
        <v>0.30099999999999999</v>
      </c>
      <c r="N105" s="2687">
        <f>0.7525/N101</f>
        <v>0.30099999999999999</v>
      </c>
    </row>
    <row r="106" spans="1:14">
      <c r="A106" s="3071"/>
      <c r="B106" s="2686">
        <v>5</v>
      </c>
      <c r="C106" s="2687">
        <f>0.8417/C101</f>
        <v>0.33667999999999998</v>
      </c>
      <c r="D106" s="2687">
        <f>0.8417/D101</f>
        <v>0.33667999999999998</v>
      </c>
      <c r="E106" s="2687">
        <f>0.7371/E101</f>
        <v>0.29483999999999999</v>
      </c>
      <c r="F106" s="2687">
        <f>0.7371/F101</f>
        <v>0.29483999999999999</v>
      </c>
      <c r="G106" s="2687">
        <f>0.7371/G101</f>
        <v>0.29483999999999999</v>
      </c>
      <c r="H106" s="2687">
        <f>0.7371/H101</f>
        <v>0.29483999999999999</v>
      </c>
      <c r="I106" s="2687">
        <f>0.7371/I101</f>
        <v>0.29483999999999999</v>
      </c>
      <c r="J106" s="2687">
        <f>0.5659/J101</f>
        <v>0.22635999999999998</v>
      </c>
      <c r="K106" s="2687">
        <f>0.5659/K101</f>
        <v>0.22635999999999998</v>
      </c>
      <c r="L106" s="2687">
        <f>0.5659/L101</f>
        <v>0.22635999999999998</v>
      </c>
      <c r="M106" s="2687">
        <f>0.5659/M101</f>
        <v>0.22635999999999998</v>
      </c>
      <c r="N106" s="2687">
        <f>0.5659/N101</f>
        <v>0.22635999999999998</v>
      </c>
    </row>
    <row r="107" spans="1:14">
      <c r="A107" s="3071"/>
      <c r="B107" s="2686">
        <v>6</v>
      </c>
      <c r="C107" s="2687">
        <f>0.7608/C101</f>
        <v>0.30432000000000003</v>
      </c>
      <c r="D107" s="2687">
        <f>0.7608/D101</f>
        <v>0.30432000000000003</v>
      </c>
      <c r="E107" s="2687">
        <f>0.6482/E101</f>
        <v>0.25928000000000001</v>
      </c>
      <c r="F107" s="2687">
        <f>0.6482/F101</f>
        <v>0.25928000000000001</v>
      </c>
      <c r="G107" s="2687">
        <f>0.6482/G101</f>
        <v>0.25928000000000001</v>
      </c>
      <c r="H107" s="2687">
        <f>0.6482/H101</f>
        <v>0.25928000000000001</v>
      </c>
      <c r="I107" s="2687">
        <f>0.6482/I101</f>
        <v>0.25928000000000001</v>
      </c>
      <c r="J107" s="2687">
        <f>0.4525/J101</f>
        <v>0.18099999999999999</v>
      </c>
      <c r="K107" s="2687">
        <f>0.4525/K101</f>
        <v>0.18099999999999999</v>
      </c>
      <c r="L107" s="2687">
        <f>0.4525/L101</f>
        <v>0.18099999999999999</v>
      </c>
      <c r="M107" s="2687">
        <f>0.4525/M101</f>
        <v>0.18099999999999999</v>
      </c>
      <c r="N107" s="2687">
        <f>0.4525/N101</f>
        <v>0.18099999999999999</v>
      </c>
    </row>
    <row r="108" spans="1:14">
      <c r="A108" s="3071"/>
      <c r="B108" s="3073" t="s">
        <v>2776</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72"/>
      <c r="B109" s="3074"/>
      <c r="C109" s="2689">
        <f>(-0.163*(C108^2)-0.59*C108+7617)*(10^(-4))/C101</f>
        <v>0.30419531999999999</v>
      </c>
      <c r="D109" s="2689">
        <f>(-0.163*(D108^2)-0.59*D108+7617)*(10^(-4))/D101</f>
        <v>0.30419531999999999</v>
      </c>
      <c r="E109" s="2689">
        <f>(-0.161*(E108^2)-7.509*E108+6533)*(10^(-4))/E101</f>
        <v>0.25890192000000001</v>
      </c>
      <c r="F109" s="2689">
        <f>(-0.161*(F108^2)-7.509*F108+6533)*(10^(-4))/F101</f>
        <v>0.25890192000000001</v>
      </c>
      <c r="G109" s="2689">
        <f>(-0.161*(G108^2)-7.509*G108+6533)*(10^(-4))/G101</f>
        <v>0.25890192000000001</v>
      </c>
      <c r="H109" s="2689">
        <f>(-0.161*(H108^2)-7.509*H108+6533)*(10^(-4))/H101</f>
        <v>0.25890192000000001</v>
      </c>
      <c r="I109" s="2689">
        <f>(-0.161*(I108^2)-7.509*I108+6533)*(10^(-4))/I101</f>
        <v>0.25890192000000001</v>
      </c>
      <c r="J109" s="2689">
        <f>(-0.214*(J108^2)-21.991*J108+4665)*(10^(-4))/J101</f>
        <v>0.18002308000000003</v>
      </c>
      <c r="K109" s="2689">
        <f>(-0.214*(K108^2)-21.991*K108+4665)*(10^(-4))/K101</f>
        <v>0.18002308000000003</v>
      </c>
      <c r="L109" s="2689">
        <f>(-0.214*(L108^2)-21.991*L108+4665)*(10^(-4))/L101</f>
        <v>0.18002308000000003</v>
      </c>
      <c r="M109" s="2689">
        <f>(-0.214*(M108^2)-21.991*M108+4665)*(10^(-4))/M101</f>
        <v>0.18002308000000003</v>
      </c>
      <c r="N109" s="2689">
        <f>(-0.214*(N108^2)-21.991*N108+4665)*(10^(-4))/N101</f>
        <v>0.18002308000000003</v>
      </c>
    </row>
    <row r="110" spans="1:14">
      <c r="A110" s="3068" t="s">
        <v>2777</v>
      </c>
      <c r="B110" s="3068"/>
      <c r="C110" s="3068"/>
      <c r="D110" s="3068"/>
      <c r="E110" s="3068"/>
      <c r="F110" s="3068"/>
      <c r="G110" s="3068"/>
      <c r="H110" s="3068"/>
      <c r="I110" s="3068"/>
      <c r="J110" s="3068"/>
      <c r="K110" s="2692"/>
      <c r="L110" s="2692"/>
      <c r="M110" s="2692"/>
      <c r="N110" s="2692"/>
    </row>
    <row r="112" spans="1:14" ht="13.5" thickBot="1"/>
    <row r="113" spans="1:13" ht="25.5" thickBot="1">
      <c r="A113" s="928" t="s">
        <v>2778</v>
      </c>
      <c r="B113" s="1378">
        <f>G3</f>
        <v>2.5</v>
      </c>
      <c r="C113" s="929" t="s">
        <v>2779</v>
      </c>
      <c r="D113" s="930">
        <f>SUMPRODUCT((A115:A118=F113)*(B114:M114=H113)*B115:M118)</f>
        <v>0.86580000000000001</v>
      </c>
      <c r="E113" s="2694" t="s">
        <v>2665</v>
      </c>
      <c r="F113" s="2695" t="str">
        <f>E2</f>
        <v>住宅</v>
      </c>
      <c r="G113" s="2694" t="s">
        <v>2602</v>
      </c>
      <c r="H113" s="2695" t="str">
        <f>G2</f>
        <v>一级</v>
      </c>
      <c r="I113" s="2694"/>
      <c r="J113" s="2696"/>
      <c r="K113" s="2696"/>
      <c r="L113" s="2696"/>
      <c r="M113" s="2696"/>
    </row>
    <row r="114" spans="1:13">
      <c r="A114" s="933"/>
      <c r="B114" s="2697" t="s">
        <v>2780</v>
      </c>
      <c r="C114" s="2697" t="s">
        <v>2781</v>
      </c>
      <c r="D114" s="2697" t="s">
        <v>2782</v>
      </c>
      <c r="E114" s="2698" t="s">
        <v>2783</v>
      </c>
      <c r="F114" s="2698" t="s">
        <v>2784</v>
      </c>
      <c r="G114" s="2698" t="s">
        <v>2785</v>
      </c>
      <c r="H114" s="2699" t="s">
        <v>2786</v>
      </c>
      <c r="I114" s="2699" t="s">
        <v>2787</v>
      </c>
      <c r="J114" s="2700" t="s">
        <v>2788</v>
      </c>
      <c r="K114" s="2700" t="s">
        <v>2789</v>
      </c>
      <c r="L114" s="2700" t="s">
        <v>2790</v>
      </c>
      <c r="M114" s="2701" t="s">
        <v>2791</v>
      </c>
    </row>
    <row r="115" spans="1:13">
      <c r="A115" s="934" t="s">
        <v>2666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2667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2668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2669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8" t="s">
        <v>785</v>
      </c>
      <c r="B1" s="3078"/>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36">
      <c r="A5" s="820" t="s">
        <v>714</v>
      </c>
      <c r="B5" s="831" t="str">
        <f>估价对象房地状况!C6</f>
        <v>临近城市支路——府右街，紧邻言志胡同，周边有14路、68路等多条公交线路及地铁1、4号线换乘站（西单站），交通状况较好。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96">
      <c r="A10" s="833" t="s">
        <v>719</v>
      </c>
      <c r="B10"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区域自然环境：中南海、南海、护城河；人文环境：国家大剧院、北京图书大厦；综合评价环境状况较好。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36">
      <c r="A16" s="820" t="s">
        <v>714</v>
      </c>
      <c r="B16" s="821" t="str">
        <f>估价对象房地状况!C6</f>
        <v>临近城市支路——府右街，紧邻言志胡同，周边有14路、68路等多条公交线路及地铁1、4号线换乘站（西单站），交通状况较好。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96">
      <c r="A21" s="820" t="s">
        <v>719</v>
      </c>
      <c r="B21"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区域自然环境：中南海、南海、护城河；人文环境：国家大剧院、北京图书大厦；综合评价环境状况较好。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14.25">
      <c r="A26" s="820" t="s">
        <v>723</v>
      </c>
      <c r="B26" s="826" t="str">
        <f>估价对象房地状况!C3</f>
        <v>周边有等居住社区成熟度较好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7.4999999999999997E-2</v>
      </c>
      <c r="H26" s="968">
        <v>0.08</v>
      </c>
      <c r="I26" s="806">
        <f>J26+$H26</f>
        <v>0.16</v>
      </c>
      <c r="J26" s="806">
        <f>$K26+$H26</f>
        <v>0.08</v>
      </c>
      <c r="K26" s="805">
        <v>0</v>
      </c>
      <c r="L26" s="806">
        <f t="shared" ref="L26:M34" si="9">K26-$H26</f>
        <v>-0.08</v>
      </c>
      <c r="M26" s="806">
        <f t="shared" si="9"/>
        <v>-0.16</v>
      </c>
    </row>
    <row r="27" spans="1:20" ht="36">
      <c r="A27" s="820" t="s">
        <v>714</v>
      </c>
      <c r="B27" s="821" t="str">
        <f>估价对象房地状况!C6</f>
        <v>临近城市支路——府右街，紧邻言志胡同，周边有14路、68路等多条公交线路及地铁1、4号线换乘站（西单站），交通状况较好。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96">
      <c r="A30" s="820" t="s">
        <v>719</v>
      </c>
      <c r="B30"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24">
      <c r="A33" s="820" t="s">
        <v>721</v>
      </c>
      <c r="B33" s="826" t="str">
        <f>估价对象房地状况!C9</f>
        <v>区域自然环境：中南海、南海、护城河；人文环境：国家大剧院、北京图书大厦；综合评价环境状况较好。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8" t="s">
        <v>105</v>
      </c>
      <c r="B1" s="3078"/>
      <c r="C1" s="3078"/>
      <c r="D1" s="3078"/>
      <c r="E1" s="3078"/>
      <c r="F1" s="307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9" t="s">
        <v>118</v>
      </c>
      <c r="B2" s="3079"/>
      <c r="C2" s="3079"/>
      <c r="D2" s="3079"/>
      <c r="E2" s="3079"/>
      <c r="F2" s="307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27930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082" t="s">
        <v>132</v>
      </c>
      <c r="B18" s="907" t="s">
        <v>517</v>
      </c>
      <c r="C18" s="908" t="s">
        <v>518</v>
      </c>
      <c r="D18" s="909"/>
      <c r="E18" s="907">
        <v>1</v>
      </c>
      <c r="F18" s="910" t="s">
        <v>519</v>
      </c>
      <c r="G18" s="911"/>
      <c r="H18" s="903"/>
      <c r="I18" s="903"/>
    </row>
    <row r="19" spans="1:9" s="912" customFormat="1" ht="19.5" customHeight="1">
      <c r="A19" s="3082"/>
      <c r="B19" s="3082" t="s">
        <v>520</v>
      </c>
      <c r="C19" s="908" t="s">
        <v>521</v>
      </c>
      <c r="D19" s="909"/>
      <c r="E19" s="907">
        <v>0.9</v>
      </c>
      <c r="F19" s="910" t="s">
        <v>522</v>
      </c>
      <c r="G19" s="911"/>
      <c r="H19" s="903"/>
      <c r="I19" s="903"/>
    </row>
    <row r="20" spans="1:9" s="912" customFormat="1" ht="19.5" customHeight="1">
      <c r="A20" s="3082"/>
      <c r="B20" s="3082"/>
      <c r="C20" s="908" t="s">
        <v>523</v>
      </c>
      <c r="D20" s="909"/>
      <c r="E20" s="907">
        <v>1.1000000000000001</v>
      </c>
      <c r="F20" s="910" t="s">
        <v>524</v>
      </c>
      <c r="G20" s="911"/>
      <c r="H20" s="903"/>
      <c r="I20" s="903"/>
    </row>
    <row r="21" spans="1:9" s="912" customFormat="1" ht="19.5" customHeight="1">
      <c r="A21" s="3082"/>
      <c r="B21" s="3082"/>
      <c r="C21" s="908" t="s">
        <v>525</v>
      </c>
      <c r="D21" s="909"/>
      <c r="E21" s="907">
        <v>0.8</v>
      </c>
      <c r="F21" s="910" t="s">
        <v>526</v>
      </c>
      <c r="G21" s="911"/>
      <c r="H21" s="903"/>
      <c r="I21" s="903"/>
    </row>
    <row r="22" spans="1:9" s="912" customFormat="1" ht="19.5" customHeight="1">
      <c r="A22" s="3082"/>
      <c r="B22" s="3082"/>
      <c r="C22" s="908" t="s">
        <v>527</v>
      </c>
      <c r="D22" s="909"/>
      <c r="E22" s="907">
        <v>0.5</v>
      </c>
      <c r="F22" s="910"/>
      <c r="G22" s="911"/>
      <c r="H22" s="903"/>
      <c r="I22" s="903"/>
    </row>
    <row r="23" spans="1:9" s="912" customFormat="1" ht="19.5" customHeight="1">
      <c r="A23" s="3082" t="s">
        <v>133</v>
      </c>
      <c r="B23" s="907" t="s">
        <v>517</v>
      </c>
      <c r="C23" s="908" t="s">
        <v>528</v>
      </c>
      <c r="D23" s="909"/>
      <c r="E23" s="907">
        <v>1</v>
      </c>
      <c r="F23" s="910" t="s">
        <v>529</v>
      </c>
      <c r="G23" s="911"/>
      <c r="H23" s="903"/>
      <c r="I23" s="903"/>
    </row>
    <row r="24" spans="1:9" s="912" customFormat="1" ht="19.5" customHeight="1">
      <c r="A24" s="3082"/>
      <c r="B24" s="3082" t="s">
        <v>520</v>
      </c>
      <c r="C24" s="908" t="s">
        <v>530</v>
      </c>
      <c r="D24" s="909"/>
      <c r="E24" s="907">
        <v>0.5</v>
      </c>
      <c r="F24" s="910"/>
      <c r="G24" s="911"/>
      <c r="H24" s="903"/>
      <c r="I24" s="903"/>
    </row>
    <row r="25" spans="1:9" s="912" customFormat="1" ht="19.5" customHeight="1">
      <c r="A25" s="3082"/>
      <c r="B25" s="3082"/>
      <c r="C25" s="908" t="s">
        <v>531</v>
      </c>
      <c r="D25" s="909"/>
      <c r="E25" s="907">
        <v>1.1000000000000001</v>
      </c>
      <c r="F25" s="910"/>
      <c r="G25" s="911"/>
      <c r="H25" s="903"/>
      <c r="I25" s="903"/>
    </row>
    <row r="26" spans="1:9" s="912" customFormat="1" ht="19.5" customHeight="1">
      <c r="A26" s="3082"/>
      <c r="B26" s="3082"/>
      <c r="C26" s="908" t="s">
        <v>532</v>
      </c>
      <c r="D26" s="909"/>
      <c r="E26" s="907">
        <v>1.1000000000000001</v>
      </c>
      <c r="F26" s="910"/>
      <c r="G26" s="911"/>
      <c r="H26" s="903"/>
      <c r="I26" s="903"/>
    </row>
    <row r="27" spans="1:9" s="912" customFormat="1" ht="19.5" customHeight="1">
      <c r="A27" s="3082"/>
      <c r="B27" s="3082"/>
      <c r="C27" s="908" t="s">
        <v>533</v>
      </c>
      <c r="D27" s="909"/>
      <c r="E27" s="907">
        <v>0.9</v>
      </c>
      <c r="F27" s="910" t="s">
        <v>534</v>
      </c>
      <c r="G27" s="911"/>
      <c r="H27" s="903"/>
      <c r="I27" s="903"/>
    </row>
    <row r="28" spans="1:9" s="912" customFormat="1" ht="19.5" customHeight="1">
      <c r="A28" s="3082"/>
      <c r="B28" s="3082"/>
      <c r="C28" s="908" t="s">
        <v>535</v>
      </c>
      <c r="D28" s="909"/>
      <c r="E28" s="907">
        <v>0.9</v>
      </c>
      <c r="F28" s="910" t="s">
        <v>536</v>
      </c>
      <c r="G28" s="911"/>
      <c r="H28" s="903"/>
      <c r="I28" s="903"/>
    </row>
    <row r="29" spans="1:9" s="912" customFormat="1" ht="19.5" customHeight="1">
      <c r="A29" s="3082"/>
      <c r="B29" s="3082"/>
      <c r="C29" s="908" t="s">
        <v>537</v>
      </c>
      <c r="D29" s="909"/>
      <c r="E29" s="907">
        <v>0.9</v>
      </c>
      <c r="F29" s="910" t="s">
        <v>538</v>
      </c>
      <c r="G29" s="911"/>
      <c r="H29" s="903"/>
      <c r="I29" s="903"/>
    </row>
    <row r="30" spans="1:9" s="912" customFormat="1" ht="19.5" customHeight="1">
      <c r="A30" s="3082"/>
      <c r="B30" s="3082"/>
      <c r="C30" s="908" t="s">
        <v>539</v>
      </c>
      <c r="D30" s="909"/>
      <c r="E30" s="907">
        <v>0.9</v>
      </c>
      <c r="F30" s="910" t="s">
        <v>540</v>
      </c>
      <c r="G30" s="911"/>
      <c r="H30" s="903"/>
      <c r="I30" s="903"/>
    </row>
    <row r="31" spans="1:9" s="912" customFormat="1" ht="19.5" customHeight="1">
      <c r="A31" s="3082"/>
      <c r="B31" s="3082"/>
      <c r="C31" s="908" t="s">
        <v>541</v>
      </c>
      <c r="D31" s="909"/>
      <c r="E31" s="907">
        <v>0.8</v>
      </c>
      <c r="F31" s="910" t="s">
        <v>542</v>
      </c>
      <c r="G31" s="911"/>
      <c r="H31" s="903"/>
      <c r="I31" s="903"/>
    </row>
    <row r="32" spans="1:9" s="912" customFormat="1" ht="19.5" customHeight="1">
      <c r="A32" s="3082"/>
      <c r="B32" s="3082"/>
      <c r="C32" s="908" t="s">
        <v>543</v>
      </c>
      <c r="D32" s="909"/>
      <c r="E32" s="907">
        <v>0.8</v>
      </c>
      <c r="F32" s="910" t="s">
        <v>544</v>
      </c>
      <c r="G32" s="911"/>
      <c r="H32" s="903"/>
      <c r="I32" s="903"/>
    </row>
    <row r="33" spans="1:9" s="912" customFormat="1" ht="19.5" customHeight="1">
      <c r="A33" s="3082" t="s">
        <v>134</v>
      </c>
      <c r="B33" s="907" t="s">
        <v>517</v>
      </c>
      <c r="C33" s="908" t="s">
        <v>545</v>
      </c>
      <c r="D33" s="909"/>
      <c r="E33" s="907">
        <v>1</v>
      </c>
      <c r="F33" s="910" t="s">
        <v>546</v>
      </c>
      <c r="G33" s="911"/>
      <c r="H33" s="903"/>
      <c r="I33" s="903"/>
    </row>
    <row r="34" spans="1:9" s="912" customFormat="1" ht="19.5" customHeight="1">
      <c r="A34" s="3082"/>
      <c r="B34" s="907" t="s">
        <v>520</v>
      </c>
      <c r="C34" s="908" t="s">
        <v>547</v>
      </c>
      <c r="D34" s="909"/>
      <c r="E34" s="907">
        <v>1.5</v>
      </c>
      <c r="F34" s="910" t="s">
        <v>548</v>
      </c>
      <c r="G34" s="911"/>
      <c r="H34" s="903"/>
      <c r="I34" s="903"/>
    </row>
    <row r="35" spans="1:9" s="912" customFormat="1" ht="19.5" customHeight="1">
      <c r="A35" s="3082" t="s">
        <v>135</v>
      </c>
      <c r="B35" s="907" t="s">
        <v>517</v>
      </c>
      <c r="C35" s="908" t="s">
        <v>549</v>
      </c>
      <c r="D35" s="909"/>
      <c r="E35" s="907">
        <v>1</v>
      </c>
      <c r="F35" s="910" t="s">
        <v>550</v>
      </c>
      <c r="G35" s="911"/>
      <c r="H35" s="903"/>
      <c r="I35" s="903"/>
    </row>
    <row r="36" spans="1:9" s="912" customFormat="1" ht="19.5" customHeight="1">
      <c r="A36" s="3082"/>
      <c r="B36" s="3082" t="s">
        <v>520</v>
      </c>
      <c r="C36" s="908" t="s">
        <v>551</v>
      </c>
      <c r="D36" s="909"/>
      <c r="E36" s="907">
        <v>1</v>
      </c>
      <c r="F36" s="910" t="s">
        <v>552</v>
      </c>
      <c r="G36" s="911"/>
      <c r="H36" s="903"/>
      <c r="I36" s="903"/>
    </row>
    <row r="37" spans="1:9" s="912" customFormat="1" ht="19.5" customHeight="1">
      <c r="A37" s="3082"/>
      <c r="B37" s="3082"/>
      <c r="C37" s="908" t="s">
        <v>553</v>
      </c>
      <c r="D37" s="909"/>
      <c r="E37" s="907">
        <v>1.5</v>
      </c>
      <c r="F37" s="910" t="s">
        <v>554</v>
      </c>
      <c r="G37" s="911"/>
      <c r="H37" s="903"/>
      <c r="I37" s="903"/>
    </row>
    <row r="38" spans="1:9" s="912" customFormat="1" ht="19.5" customHeight="1">
      <c r="A38" s="3082"/>
      <c r="B38" s="3082"/>
      <c r="C38" s="908" t="s">
        <v>555</v>
      </c>
      <c r="D38" s="909"/>
      <c r="E38" s="907">
        <v>1</v>
      </c>
      <c r="F38" s="910" t="s">
        <v>556</v>
      </c>
      <c r="G38" s="911"/>
      <c r="H38" s="903"/>
      <c r="I38" s="903"/>
    </row>
    <row r="39" spans="1:9" s="912" customFormat="1" ht="19.5" customHeight="1">
      <c r="A39" s="3082"/>
      <c r="B39" s="308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082" t="s">
        <v>571</v>
      </c>
      <c r="C61" s="821" t="s">
        <v>572</v>
      </c>
      <c r="D61" s="821" t="s">
        <v>573</v>
      </c>
      <c r="E61" s="920">
        <v>0.5</v>
      </c>
      <c r="F61" s="907">
        <v>80</v>
      </c>
    </row>
    <row r="62" spans="1:8" s="903" customFormat="1" ht="24">
      <c r="A62" s="907">
        <v>2</v>
      </c>
      <c r="B62" s="3082"/>
      <c r="C62" s="821" t="s">
        <v>574</v>
      </c>
      <c r="D62" s="821" t="s">
        <v>575</v>
      </c>
      <c r="E62" s="920">
        <v>0.5</v>
      </c>
      <c r="F62" s="907">
        <v>80</v>
      </c>
    </row>
    <row r="63" spans="1:8" s="903" customFormat="1" ht="36">
      <c r="A63" s="907">
        <v>3</v>
      </c>
      <c r="B63" s="3082"/>
      <c r="C63" s="821" t="s">
        <v>576</v>
      </c>
      <c r="D63" s="821" t="s">
        <v>577</v>
      </c>
      <c r="E63" s="920">
        <v>0.5</v>
      </c>
      <c r="F63" s="907">
        <v>80</v>
      </c>
    </row>
    <row r="64" spans="1:8" s="903" customFormat="1" ht="36">
      <c r="A64" s="907">
        <v>4</v>
      </c>
      <c r="B64" s="3082"/>
      <c r="C64" s="821" t="s">
        <v>578</v>
      </c>
      <c r="D64" s="821" t="s">
        <v>579</v>
      </c>
      <c r="E64" s="920">
        <v>0.4</v>
      </c>
      <c r="F64" s="907">
        <v>60</v>
      </c>
    </row>
    <row r="65" spans="1:6" s="903" customFormat="1" ht="36">
      <c r="A65" s="907">
        <v>5</v>
      </c>
      <c r="B65" s="3082"/>
      <c r="C65" s="821" t="s">
        <v>580</v>
      </c>
      <c r="D65" s="821" t="s">
        <v>581</v>
      </c>
      <c r="E65" s="920">
        <v>0.2</v>
      </c>
      <c r="F65" s="907">
        <v>30</v>
      </c>
    </row>
    <row r="66" spans="1:6" s="903" customFormat="1" ht="36">
      <c r="A66" s="907">
        <v>6</v>
      </c>
      <c r="B66" s="3082"/>
      <c r="C66" s="821" t="s">
        <v>582</v>
      </c>
      <c r="D66" s="821" t="s">
        <v>583</v>
      </c>
      <c r="E66" s="920">
        <v>0.3</v>
      </c>
      <c r="F66" s="907">
        <v>50</v>
      </c>
    </row>
    <row r="67" spans="1:6" s="903" customFormat="1" ht="36">
      <c r="A67" s="907">
        <v>7</v>
      </c>
      <c r="B67" s="3082"/>
      <c r="C67" s="821" t="s">
        <v>584</v>
      </c>
      <c r="D67" s="821" t="s">
        <v>585</v>
      </c>
      <c r="E67" s="920">
        <v>0.2</v>
      </c>
      <c r="F67" s="907">
        <v>30</v>
      </c>
    </row>
    <row r="68" spans="1:6" s="903" customFormat="1" ht="36">
      <c r="A68" s="907">
        <v>8</v>
      </c>
      <c r="B68" s="3082"/>
      <c r="C68" s="821" t="s">
        <v>586</v>
      </c>
      <c r="D68" s="821" t="s">
        <v>587</v>
      </c>
      <c r="E68" s="920">
        <v>0.2</v>
      </c>
      <c r="F68" s="907">
        <v>30</v>
      </c>
    </row>
    <row r="69" spans="1:6" s="903" customFormat="1" ht="36">
      <c r="A69" s="907">
        <v>9</v>
      </c>
      <c r="B69" s="3082"/>
      <c r="C69" s="821" t="s">
        <v>588</v>
      </c>
      <c r="D69" s="821" t="s">
        <v>589</v>
      </c>
      <c r="E69" s="920">
        <v>0.2</v>
      </c>
      <c r="F69" s="907">
        <v>30</v>
      </c>
    </row>
    <row r="70" spans="1:6" s="903" customFormat="1" ht="48">
      <c r="A70" s="907">
        <v>10</v>
      </c>
      <c r="B70" s="3082"/>
      <c r="C70" s="821" t="s">
        <v>590</v>
      </c>
      <c r="D70" s="821" t="s">
        <v>591</v>
      </c>
      <c r="E70" s="920">
        <v>0.2</v>
      </c>
      <c r="F70" s="907">
        <v>30</v>
      </c>
    </row>
    <row r="71" spans="1:6" s="903" customFormat="1" ht="48">
      <c r="A71" s="907">
        <v>11</v>
      </c>
      <c r="B71" s="3082"/>
      <c r="C71" s="821" t="s">
        <v>592</v>
      </c>
      <c r="D71" s="821" t="s">
        <v>593</v>
      </c>
      <c r="E71" s="920">
        <v>0.2</v>
      </c>
      <c r="F71" s="907">
        <v>30</v>
      </c>
    </row>
    <row r="72" spans="1:6" s="903" customFormat="1" ht="36">
      <c r="A72" s="907">
        <v>12</v>
      </c>
      <c r="B72" s="3082"/>
      <c r="C72" s="821" t="s">
        <v>594</v>
      </c>
      <c r="D72" s="821" t="s">
        <v>595</v>
      </c>
      <c r="E72" s="920">
        <v>0.5</v>
      </c>
      <c r="F72" s="907">
        <v>80</v>
      </c>
    </row>
    <row r="73" spans="1:6" s="903" customFormat="1" ht="24">
      <c r="A73" s="907">
        <v>13</v>
      </c>
      <c r="B73" s="3082"/>
      <c r="C73" s="821" t="s">
        <v>596</v>
      </c>
      <c r="D73" s="821" t="s">
        <v>597</v>
      </c>
      <c r="E73" s="920">
        <v>0.4</v>
      </c>
      <c r="F73" s="907">
        <v>60</v>
      </c>
    </row>
    <row r="74" spans="1:6" s="903" customFormat="1" ht="24">
      <c r="A74" s="907">
        <v>14</v>
      </c>
      <c r="B74" s="3082"/>
      <c r="C74" s="821" t="s">
        <v>598</v>
      </c>
      <c r="D74" s="821" t="s">
        <v>599</v>
      </c>
      <c r="E74" s="920">
        <v>0.2</v>
      </c>
      <c r="F74" s="907">
        <v>30</v>
      </c>
    </row>
    <row r="75" spans="1:6" s="903" customFormat="1" ht="24">
      <c r="A75" s="907">
        <v>15</v>
      </c>
      <c r="B75" s="3082"/>
      <c r="C75" s="821" t="s">
        <v>600</v>
      </c>
      <c r="D75" s="821" t="s">
        <v>601</v>
      </c>
      <c r="E75" s="920">
        <v>0.2</v>
      </c>
      <c r="F75" s="907">
        <v>30</v>
      </c>
    </row>
    <row r="76" spans="1:6" s="903" customFormat="1" ht="24">
      <c r="A76" s="907">
        <v>16</v>
      </c>
      <c r="B76" s="3082" t="s">
        <v>602</v>
      </c>
      <c r="C76" s="821" t="s">
        <v>603</v>
      </c>
      <c r="D76" s="821" t="s">
        <v>604</v>
      </c>
      <c r="E76" s="920">
        <v>0.5</v>
      </c>
      <c r="F76" s="907">
        <v>80</v>
      </c>
    </row>
    <row r="77" spans="1:6" s="903" customFormat="1" ht="24">
      <c r="A77" s="907">
        <v>17</v>
      </c>
      <c r="B77" s="3082"/>
      <c r="C77" s="821" t="s">
        <v>605</v>
      </c>
      <c r="D77" s="821" t="s">
        <v>606</v>
      </c>
      <c r="E77" s="920">
        <v>0.5</v>
      </c>
      <c r="F77" s="907">
        <v>80</v>
      </c>
    </row>
    <row r="78" spans="1:6" s="903" customFormat="1" ht="24">
      <c r="A78" s="907">
        <v>18</v>
      </c>
      <c r="B78" s="3082"/>
      <c r="C78" s="821" t="s">
        <v>607</v>
      </c>
      <c r="D78" s="821" t="s">
        <v>608</v>
      </c>
      <c r="E78" s="920">
        <v>0.2</v>
      </c>
      <c r="F78" s="907">
        <v>30</v>
      </c>
    </row>
    <row r="79" spans="1:6" s="903" customFormat="1" ht="24">
      <c r="A79" s="907">
        <v>19</v>
      </c>
      <c r="B79" s="3082"/>
      <c r="C79" s="821" t="s">
        <v>609</v>
      </c>
      <c r="D79" s="821" t="s">
        <v>610</v>
      </c>
      <c r="E79" s="920">
        <v>0.5</v>
      </c>
      <c r="F79" s="907">
        <v>80</v>
      </c>
    </row>
    <row r="80" spans="1:6" s="903" customFormat="1" ht="36">
      <c r="A80" s="907">
        <v>20</v>
      </c>
      <c r="B80" s="3082"/>
      <c r="C80" s="821" t="s">
        <v>611</v>
      </c>
      <c r="D80" s="821" t="s">
        <v>612</v>
      </c>
      <c r="E80" s="920">
        <v>0.2</v>
      </c>
      <c r="F80" s="907">
        <v>30</v>
      </c>
    </row>
    <row r="81" spans="1:6" s="903" customFormat="1" ht="36">
      <c r="A81" s="907">
        <v>21</v>
      </c>
      <c r="B81" s="3082"/>
      <c r="C81" s="821" t="s">
        <v>613</v>
      </c>
      <c r="D81" s="821" t="s">
        <v>614</v>
      </c>
      <c r="E81" s="920">
        <v>0.2</v>
      </c>
      <c r="F81" s="907">
        <v>30</v>
      </c>
    </row>
    <row r="82" spans="1:6" s="903" customFormat="1" ht="48">
      <c r="A82" s="907">
        <v>22</v>
      </c>
      <c r="B82" s="3082"/>
      <c r="C82" s="821" t="s">
        <v>615</v>
      </c>
      <c r="D82" s="821" t="s">
        <v>616</v>
      </c>
      <c r="E82" s="920">
        <v>0.2</v>
      </c>
      <c r="F82" s="907">
        <v>30</v>
      </c>
    </row>
    <row r="83" spans="1:6" s="903" customFormat="1" ht="48">
      <c r="A83" s="907">
        <v>23</v>
      </c>
      <c r="B83" s="3082"/>
      <c r="C83" s="821" t="s">
        <v>617</v>
      </c>
      <c r="D83" s="821" t="s">
        <v>618</v>
      </c>
      <c r="E83" s="920">
        <v>0.2</v>
      </c>
      <c r="F83" s="907">
        <v>30</v>
      </c>
    </row>
    <row r="84" spans="1:6" s="903" customFormat="1" ht="36">
      <c r="A84" s="907">
        <v>24</v>
      </c>
      <c r="B84" s="3082"/>
      <c r="C84" s="821" t="s">
        <v>619</v>
      </c>
      <c r="D84" s="821" t="s">
        <v>620</v>
      </c>
      <c r="E84" s="920">
        <v>0.2</v>
      </c>
      <c r="F84" s="907">
        <v>30</v>
      </c>
    </row>
    <row r="85" spans="1:6" s="903" customFormat="1" ht="36">
      <c r="A85" s="907">
        <v>25</v>
      </c>
      <c r="B85" s="3082"/>
      <c r="C85" s="821" t="s">
        <v>621</v>
      </c>
      <c r="D85" s="821" t="s">
        <v>622</v>
      </c>
      <c r="E85" s="920">
        <v>0.5</v>
      </c>
      <c r="F85" s="907">
        <v>80</v>
      </c>
    </row>
    <row r="86" spans="1:6" s="903" customFormat="1" ht="36">
      <c r="A86" s="907">
        <v>26</v>
      </c>
      <c r="B86" s="3082"/>
      <c r="C86" s="821" t="s">
        <v>623</v>
      </c>
      <c r="D86" s="821" t="s">
        <v>624</v>
      </c>
      <c r="E86" s="920">
        <v>0.2</v>
      </c>
      <c r="F86" s="907">
        <v>30</v>
      </c>
    </row>
    <row r="87" spans="1:6" s="903" customFormat="1" ht="36">
      <c r="A87" s="907">
        <v>27</v>
      </c>
      <c r="B87" s="3082"/>
      <c r="C87" s="821" t="s">
        <v>625</v>
      </c>
      <c r="D87" s="821" t="s">
        <v>626</v>
      </c>
      <c r="E87" s="920">
        <v>0.2</v>
      </c>
      <c r="F87" s="907">
        <v>30</v>
      </c>
    </row>
    <row r="88" spans="1:6" s="903" customFormat="1" ht="36">
      <c r="A88" s="907">
        <v>28</v>
      </c>
      <c r="B88" s="3082"/>
      <c r="C88" s="821" t="s">
        <v>627</v>
      </c>
      <c r="D88" s="821" t="s">
        <v>628</v>
      </c>
      <c r="E88" s="920">
        <v>0.2</v>
      </c>
      <c r="F88" s="907">
        <v>30</v>
      </c>
    </row>
    <row r="89" spans="1:6" s="903" customFormat="1" ht="24">
      <c r="A89" s="907">
        <v>29</v>
      </c>
      <c r="B89" s="3082"/>
      <c r="C89" s="821" t="s">
        <v>629</v>
      </c>
      <c r="D89" s="821" t="s">
        <v>630</v>
      </c>
      <c r="E89" s="920">
        <v>0.2</v>
      </c>
      <c r="F89" s="907">
        <v>30</v>
      </c>
    </row>
    <row r="90" spans="1:6" s="903" customFormat="1" ht="24">
      <c r="A90" s="907">
        <v>30</v>
      </c>
      <c r="B90" s="3082"/>
      <c r="C90" s="821" t="s">
        <v>631</v>
      </c>
      <c r="D90" s="821" t="s">
        <v>632</v>
      </c>
      <c r="E90" s="920">
        <v>0.2</v>
      </c>
      <c r="F90" s="907">
        <v>30</v>
      </c>
    </row>
    <row r="91" spans="1:6" s="903" customFormat="1" ht="36">
      <c r="A91" s="907">
        <v>31</v>
      </c>
      <c r="B91" s="3082"/>
      <c r="C91" s="821" t="s">
        <v>633</v>
      </c>
      <c r="D91" s="821" t="s">
        <v>634</v>
      </c>
      <c r="E91" s="920">
        <v>0.2</v>
      </c>
      <c r="F91" s="907">
        <v>30</v>
      </c>
    </row>
    <row r="92" spans="1:6" s="903" customFormat="1" ht="24">
      <c r="A92" s="907">
        <v>32</v>
      </c>
      <c r="B92" s="3082" t="s">
        <v>635</v>
      </c>
      <c r="C92" s="907" t="s">
        <v>636</v>
      </c>
      <c r="D92" s="821" t="s">
        <v>637</v>
      </c>
      <c r="E92" s="920">
        <v>0.2</v>
      </c>
      <c r="F92" s="907">
        <v>30</v>
      </c>
    </row>
    <row r="93" spans="1:6" s="903" customFormat="1" ht="36">
      <c r="A93" s="907">
        <v>33</v>
      </c>
      <c r="B93" s="3082"/>
      <c r="C93" s="907" t="s">
        <v>638</v>
      </c>
      <c r="D93" s="821" t="s">
        <v>639</v>
      </c>
      <c r="E93" s="920">
        <v>0.2</v>
      </c>
      <c r="F93" s="907">
        <v>30</v>
      </c>
    </row>
    <row r="94" spans="1:6" s="903" customFormat="1" ht="48">
      <c r="A94" s="907">
        <v>34</v>
      </c>
      <c r="B94" s="3082"/>
      <c r="C94" s="907" t="s">
        <v>640</v>
      </c>
      <c r="D94" s="821" t="s">
        <v>641</v>
      </c>
      <c r="E94" s="920">
        <v>0.2</v>
      </c>
      <c r="F94" s="907">
        <v>30</v>
      </c>
    </row>
    <row r="95" spans="1:6" s="903" customFormat="1" ht="36">
      <c r="A95" s="907">
        <v>35</v>
      </c>
      <c r="B95" s="3082"/>
      <c r="C95" s="907" t="s">
        <v>642</v>
      </c>
      <c r="D95" s="821" t="s">
        <v>643</v>
      </c>
      <c r="E95" s="920">
        <v>0.2</v>
      </c>
      <c r="F95" s="907">
        <v>30</v>
      </c>
    </row>
    <row r="96" spans="1:6" s="903" customFormat="1" ht="48">
      <c r="A96" s="907">
        <v>36</v>
      </c>
      <c r="B96" s="3082"/>
      <c r="C96" s="821" t="s">
        <v>644</v>
      </c>
      <c r="D96" s="821" t="s">
        <v>645</v>
      </c>
      <c r="E96" s="920">
        <v>0.2</v>
      </c>
      <c r="F96" s="907">
        <v>30</v>
      </c>
    </row>
    <row r="97" spans="1:6" s="903" customFormat="1" ht="36">
      <c r="A97" s="907">
        <v>37</v>
      </c>
      <c r="B97" s="3082"/>
      <c r="C97" s="907" t="s">
        <v>646</v>
      </c>
      <c r="D97" s="821" t="s">
        <v>647</v>
      </c>
      <c r="E97" s="920">
        <v>0.2</v>
      </c>
      <c r="F97" s="907">
        <v>30</v>
      </c>
    </row>
    <row r="98" spans="1:6" s="903" customFormat="1" ht="36">
      <c r="A98" s="907">
        <v>38</v>
      </c>
      <c r="B98" s="3082"/>
      <c r="C98" s="907" t="s">
        <v>648</v>
      </c>
      <c r="D98" s="821" t="s">
        <v>649</v>
      </c>
      <c r="E98" s="920">
        <v>0.2</v>
      </c>
      <c r="F98" s="907">
        <v>30</v>
      </c>
    </row>
    <row r="99" spans="1:6" s="903" customFormat="1" ht="36">
      <c r="A99" s="907">
        <v>39</v>
      </c>
      <c r="B99" s="3082" t="s">
        <v>650</v>
      </c>
      <c r="C99" s="907" t="s">
        <v>651</v>
      </c>
      <c r="D99" s="821" t="s">
        <v>652</v>
      </c>
      <c r="E99" s="920">
        <v>0.3</v>
      </c>
      <c r="F99" s="907">
        <v>50</v>
      </c>
    </row>
    <row r="100" spans="1:6" s="903" customFormat="1" ht="24">
      <c r="A100" s="907">
        <v>40</v>
      </c>
      <c r="B100" s="3082"/>
      <c r="C100" s="907" t="s">
        <v>653</v>
      </c>
      <c r="D100" s="821" t="s">
        <v>654</v>
      </c>
      <c r="E100" s="920">
        <v>0.2</v>
      </c>
      <c r="F100" s="907">
        <v>30</v>
      </c>
    </row>
    <row r="101" spans="1:6" s="903" customFormat="1" ht="36">
      <c r="A101" s="907">
        <v>41</v>
      </c>
      <c r="B101" s="308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2" t="s">
        <v>665</v>
      </c>
      <c r="C105" s="907" t="s">
        <v>666</v>
      </c>
      <c r="D105" s="821" t="s">
        <v>667</v>
      </c>
      <c r="E105" s="920">
        <v>0.2</v>
      </c>
      <c r="F105" s="907">
        <v>30</v>
      </c>
    </row>
    <row r="106" spans="1:6" s="903" customFormat="1" ht="36">
      <c r="A106" s="907">
        <v>46</v>
      </c>
      <c r="B106" s="3082"/>
      <c r="C106" s="907" t="s">
        <v>668</v>
      </c>
      <c r="D106" s="821" t="s">
        <v>669</v>
      </c>
      <c r="E106" s="920">
        <v>0.2</v>
      </c>
      <c r="F106" s="907">
        <v>30</v>
      </c>
    </row>
    <row r="107" spans="1:6" s="903" customFormat="1" ht="36">
      <c r="A107" s="907">
        <v>47</v>
      </c>
      <c r="B107" s="3082" t="s">
        <v>670</v>
      </c>
      <c r="C107" s="907" t="s">
        <v>671</v>
      </c>
      <c r="D107" s="821" t="s">
        <v>672</v>
      </c>
      <c r="E107" s="920">
        <v>0.3</v>
      </c>
      <c r="F107" s="907">
        <v>50</v>
      </c>
    </row>
    <row r="108" spans="1:6" s="903" customFormat="1" ht="36">
      <c r="A108" s="907">
        <v>48</v>
      </c>
      <c r="B108" s="308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2" t="s">
        <v>681</v>
      </c>
      <c r="C111" s="907" t="s">
        <v>682</v>
      </c>
      <c r="D111" s="821" t="s">
        <v>683</v>
      </c>
      <c r="E111" s="920">
        <v>0.2</v>
      </c>
      <c r="F111" s="907">
        <v>30</v>
      </c>
    </row>
    <row r="112" spans="1:6" s="903" customFormat="1" ht="24">
      <c r="A112" s="907">
        <v>52</v>
      </c>
      <c r="B112" s="3082"/>
      <c r="C112" s="907" t="s">
        <v>684</v>
      </c>
      <c r="D112" s="821" t="s">
        <v>685</v>
      </c>
      <c r="E112" s="920">
        <v>0.2</v>
      </c>
      <c r="F112" s="907">
        <v>30</v>
      </c>
    </row>
    <row r="113" spans="1:6" s="903" customFormat="1" ht="24">
      <c r="A113" s="907">
        <v>53</v>
      </c>
      <c r="B113" s="308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2" t="s">
        <v>694</v>
      </c>
      <c r="C116" s="907" t="s">
        <v>695</v>
      </c>
      <c r="D116" s="821" t="s">
        <v>696</v>
      </c>
      <c r="E116" s="920">
        <v>0.2</v>
      </c>
      <c r="F116" s="907">
        <v>30</v>
      </c>
    </row>
    <row r="117" spans="1:6" ht="36">
      <c r="A117" s="907">
        <v>57</v>
      </c>
      <c r="B117" s="308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W14" sqref="W14"/>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088" t="s">
        <v>1030</v>
      </c>
      <c r="C1" s="3088"/>
      <c r="D1" s="3088"/>
      <c r="E1" s="3088"/>
      <c r="F1" s="3088"/>
      <c r="G1" s="3084" t="s">
        <v>1031</v>
      </c>
      <c r="H1" s="3084"/>
      <c r="I1" s="3084"/>
      <c r="J1" s="3084"/>
      <c r="K1" s="3084"/>
      <c r="L1" s="3084"/>
      <c r="N1" s="3084" t="s">
        <v>1032</v>
      </c>
      <c r="O1" s="3084"/>
      <c r="P1" s="3084"/>
      <c r="Q1" s="3084"/>
      <c r="R1" s="1547"/>
      <c r="S1" s="3084" t="s">
        <v>1033</v>
      </c>
      <c r="T1" s="3084"/>
      <c r="U1" s="3084"/>
      <c r="V1" s="3084"/>
      <c r="X1" s="3083" t="s">
        <v>1034</v>
      </c>
      <c r="Y1" s="3084"/>
      <c r="Z1" s="3084"/>
      <c r="AA1" s="3084"/>
      <c r="AB1" s="3084"/>
      <c r="AD1" s="3083" t="s">
        <v>1035</v>
      </c>
      <c r="AE1" s="3084"/>
      <c r="AF1" s="3084"/>
      <c r="AG1" s="3084"/>
      <c r="AH1" s="3084"/>
    </row>
    <row r="2" spans="1:34" s="1548" customFormat="1" ht="14.25" thickBot="1">
      <c r="B2" s="1549" t="s">
        <v>1036</v>
      </c>
      <c r="C2" s="1549" t="s">
        <v>1037</v>
      </c>
      <c r="D2" s="1550" t="s">
        <v>1038</v>
      </c>
      <c r="E2" s="1550" t="s">
        <v>1039</v>
      </c>
      <c r="F2" s="1549" t="s">
        <v>1040</v>
      </c>
      <c r="G2" s="1551"/>
      <c r="H2" s="1552"/>
      <c r="I2" s="1549" t="s">
        <v>1257</v>
      </c>
      <c r="J2" s="1550" t="s">
        <v>1258</v>
      </c>
      <c r="K2" s="1550" t="s">
        <v>1259</v>
      </c>
      <c r="L2" s="1549" t="s">
        <v>1260</v>
      </c>
      <c r="N2" s="1549" t="s">
        <v>1036</v>
      </c>
      <c r="O2" s="1550" t="s">
        <v>1261</v>
      </c>
      <c r="P2" s="1550" t="s">
        <v>728</v>
      </c>
      <c r="Q2" s="1549" t="s">
        <v>1040</v>
      </c>
      <c r="R2" s="1553"/>
      <c r="S2" s="1549" t="s">
        <v>1036</v>
      </c>
      <c r="T2" s="1550" t="s">
        <v>1261</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3" customFormat="1" ht="14.25">
      <c r="A3" s="2724" t="s">
        <v>2799</v>
      </c>
      <c r="B3" s="2714"/>
      <c r="C3" s="2714"/>
      <c r="D3" s="2715"/>
      <c r="E3" s="2715"/>
      <c r="F3" s="2714"/>
      <c r="G3" s="2716"/>
      <c r="H3" s="2717"/>
      <c r="I3" s="2718">
        <f>ROUND(AVERAGE(I4:I25),2)</f>
        <v>2.09</v>
      </c>
      <c r="J3" s="2718">
        <f>ROUND(AVERAGE(J4:J25),2)</f>
        <v>1.46</v>
      </c>
      <c r="K3" s="2718">
        <f>ROUND(AVERAGE(K4:K25),2)</f>
        <v>2.29</v>
      </c>
      <c r="L3" s="2719">
        <f>ROUND(AVERAGE(L4:L25),2)</f>
        <v>1.36</v>
      </c>
      <c r="N3" s="2716"/>
      <c r="O3" s="2720"/>
      <c r="P3" s="2720"/>
      <c r="Q3" s="2720"/>
      <c r="R3" s="2720"/>
      <c r="S3" s="2716"/>
      <c r="T3" s="2720"/>
      <c r="U3" s="2720"/>
      <c r="V3" s="2720"/>
      <c r="W3" s="2723"/>
      <c r="X3" s="2721">
        <f>ROUND(SUMPRODUCT(PRODUCT(1+N3:N$24)),4)</f>
        <v>1.4956</v>
      </c>
      <c r="Y3" s="2721">
        <f>ROUND(SUMPRODUCT(PRODUCT(1+O3:O$24)),4)</f>
        <v>1.3237000000000001</v>
      </c>
      <c r="Z3" s="2721">
        <f t="shared" ref="Z3:Z22" si="0">Y3</f>
        <v>1.3237000000000001</v>
      </c>
      <c r="AA3" s="2721">
        <f>ROUND(SUMPRODUCT(PRODUCT(1+P3:P$24)),4)</f>
        <v>1.554</v>
      </c>
      <c r="AB3" s="2721">
        <f>ROUND(SUMPRODUCT(PRODUCT(1+Q3:Q$24)),4)</f>
        <v>1.3087</v>
      </c>
      <c r="AD3" s="2722">
        <f>ROUND(AVERAGE(I3:I$25)/100,4)</f>
        <v>2.0899999999999998E-2</v>
      </c>
      <c r="AE3" s="2722">
        <f>ROUND(AVERAGE(J3:J$25)/100,4)</f>
        <v>1.46E-2</v>
      </c>
      <c r="AF3" s="2722">
        <f t="shared" ref="AF3:AF13" si="1">AE3</f>
        <v>1.46E-2</v>
      </c>
      <c r="AG3" s="2722">
        <f>ROUND(AVERAGE(K3:K$25)/100,4)</f>
        <v>2.29E-2</v>
      </c>
      <c r="AH3" s="2722">
        <f>ROUND(AVERAGE(L3:L$25)/100,4)</f>
        <v>1.3599999999999999E-2</v>
      </c>
    </row>
    <row r="4" spans="1:34" s="1554" customFormat="1" ht="14.25">
      <c r="B4" s="1555"/>
      <c r="C4" s="1555"/>
      <c r="D4" s="1556"/>
      <c r="E4" s="1556"/>
      <c r="F4" s="1555"/>
      <c r="G4" s="1557"/>
      <c r="H4" s="1558"/>
      <c r="I4" s="2706"/>
      <c r="J4" s="2706"/>
      <c r="K4" s="2706"/>
      <c r="L4" s="2706"/>
      <c r="N4" s="1557"/>
      <c r="O4" s="1559"/>
      <c r="P4" s="1559"/>
      <c r="Q4" s="1559"/>
      <c r="R4" s="1559"/>
      <c r="S4" s="1557"/>
      <c r="T4" s="1559"/>
      <c r="U4" s="1559"/>
      <c r="V4" s="1559"/>
      <c r="X4" s="1560"/>
      <c r="Y4" s="1560"/>
      <c r="Z4" s="1560"/>
      <c r="AA4" s="1560"/>
      <c r="AB4" s="1560"/>
      <c r="AD4" s="1561"/>
      <c r="AE4" s="1561"/>
      <c r="AF4" s="1561"/>
      <c r="AG4" s="1561"/>
      <c r="AH4" s="1561"/>
    </row>
    <row r="5" spans="1:34" s="1820" customFormat="1" ht="13.5" thickBot="1">
      <c r="A5" s="1818" t="s">
        <v>2813</v>
      </c>
      <c r="B5" s="1567">
        <f>B6*(1+N5)</f>
        <v>459.95733971036987</v>
      </c>
      <c r="C5" s="1567">
        <f t="shared" ref="C5" si="2">C6*(1+O5)</f>
        <v>341.22221064422405</v>
      </c>
      <c r="D5" s="1816">
        <f t="shared" ref="D5" si="3">C5</f>
        <v>341.22221064422405</v>
      </c>
      <c r="E5" s="1567">
        <f t="shared" ref="E5" si="4">E6*(1+P5)</f>
        <v>657.19161663724799</v>
      </c>
      <c r="F5" s="1567">
        <f t="shared" ref="F5" si="5">F6*(1+Q5)</f>
        <v>300.87803644464805</v>
      </c>
      <c r="G5" s="2729">
        <v>2019</v>
      </c>
      <c r="H5" s="1819">
        <v>1</v>
      </c>
      <c r="I5" s="2707">
        <v>0</v>
      </c>
      <c r="J5" s="2707">
        <v>0</v>
      </c>
      <c r="K5" s="2707">
        <v>0</v>
      </c>
      <c r="L5" s="2708">
        <v>0</v>
      </c>
      <c r="N5" s="1569">
        <f>I5/100</f>
        <v>0</v>
      </c>
      <c r="O5" s="1569">
        <f t="shared" ref="O5" si="6">J5/100</f>
        <v>0</v>
      </c>
      <c r="P5" s="1569">
        <f t="shared" ref="P5" si="7">K5/100</f>
        <v>0</v>
      </c>
      <c r="Q5" s="1569">
        <f t="shared" ref="Q5" si="8">L5/100</f>
        <v>0</v>
      </c>
      <c r="R5" s="1821"/>
      <c r="S5" s="1822"/>
      <c r="T5" s="1821"/>
      <c r="U5" s="1821"/>
      <c r="V5" s="1821"/>
      <c r="W5" s="2712" t="s">
        <v>2798</v>
      </c>
      <c r="X5" s="1815">
        <f>ROUND(SUMPRODUCT(PRODUCT(1+N5:N$24)),4)</f>
        <v>1.4956</v>
      </c>
      <c r="Y5" s="1815">
        <f>ROUND(SUMPRODUCT(PRODUCT(1+O5:O$24)),4)</f>
        <v>1.3237000000000001</v>
      </c>
      <c r="Z5" s="1815">
        <f t="shared" ref="Z5" si="9">Y5</f>
        <v>1.3237000000000001</v>
      </c>
      <c r="AA5" s="1815">
        <f>ROUND(SUMPRODUCT(PRODUCT(1+P5:P$24)),4)</f>
        <v>1.554</v>
      </c>
      <c r="AB5" s="1815">
        <f>ROUND(SUMPRODUCT(PRODUCT(1+Q5:Q$24)),4)</f>
        <v>1.3087</v>
      </c>
      <c r="AD5" s="1570">
        <f>ROUND(AVERAGE(I5:I$25)/100,4)</f>
        <v>2.0899999999999998E-2</v>
      </c>
      <c r="AE5" s="1570">
        <f>ROUND(AVERAGE(J5:J$25)/100,4)</f>
        <v>1.46E-2</v>
      </c>
      <c r="AF5" s="1570">
        <f t="shared" ref="AF5" si="10">AE5</f>
        <v>1.46E-2</v>
      </c>
      <c r="AG5" s="1570">
        <f>ROUND(AVERAGE(K5:K$25)/100,4)</f>
        <v>2.29E-2</v>
      </c>
      <c r="AH5" s="1570">
        <f>ROUND(AVERAGE(L5:L$25)/100,4)</f>
        <v>1.3599999999999999E-2</v>
      </c>
    </row>
    <row r="6" spans="1:34">
      <c r="A6" s="1562" t="s">
        <v>2814</v>
      </c>
      <c r="B6" s="1571">
        <f>B7*(1+N6)</f>
        <v>459.95733971036987</v>
      </c>
      <c r="C6" s="1571">
        <f t="shared" ref="C6" si="11">C7*(1+O6)</f>
        <v>341.22221064422405</v>
      </c>
      <c r="D6" s="1571">
        <f t="shared" ref="D6" si="12">C6</f>
        <v>341.22221064422405</v>
      </c>
      <c r="E6" s="1571">
        <f t="shared" ref="E6" si="13">E7*(1+P6)</f>
        <v>657.19161663724799</v>
      </c>
      <c r="F6" s="1572">
        <f t="shared" ref="F6" si="14">F7*(1+Q6)</f>
        <v>300.87803644464805</v>
      </c>
      <c r="G6" s="3086">
        <v>2018</v>
      </c>
      <c r="H6" s="1563">
        <v>4</v>
      </c>
      <c r="I6" s="1563">
        <v>0</v>
      </c>
      <c r="J6" s="1563">
        <v>0</v>
      </c>
      <c r="K6" s="1563">
        <v>0</v>
      </c>
      <c r="L6" s="1564">
        <v>0</v>
      </c>
      <c r="N6" s="1586">
        <f>I6/100</f>
        <v>0</v>
      </c>
      <c r="O6" s="1587">
        <f t="shared" ref="O6" si="15">J6/100</f>
        <v>0</v>
      </c>
      <c r="P6" s="1587">
        <f t="shared" ref="P6" si="16">K6/100</f>
        <v>0</v>
      </c>
      <c r="Q6" s="1587">
        <f t="shared" ref="Q6" si="17">L6/100</f>
        <v>0</v>
      </c>
      <c r="R6" s="1576"/>
      <c r="S6" s="1577"/>
      <c r="T6" s="1578"/>
      <c r="U6" s="1578"/>
      <c r="V6" s="1578"/>
      <c r="X6" s="1560">
        <f>ROUND(SUMPRODUCT(PRODUCT(1+N6:N$24)),4)</f>
        <v>1.4956</v>
      </c>
      <c r="Y6" s="1560">
        <f>ROUND(SUMPRODUCT(PRODUCT(1+O6:O$24)),4)</f>
        <v>1.3237000000000001</v>
      </c>
      <c r="Z6" s="1560">
        <f t="shared" ref="Z6" si="18">Y6</f>
        <v>1.3237000000000001</v>
      </c>
      <c r="AA6" s="1560">
        <f>ROUND(SUMPRODUCT(PRODUCT(1+P6:P$24)),4)</f>
        <v>1.554</v>
      </c>
      <c r="AB6" s="1560">
        <f>ROUND(SUMPRODUCT(PRODUCT(1+Q6:Q$24)),4)</f>
        <v>1.3087</v>
      </c>
      <c r="AD6" s="1561">
        <f>ROUND(AVERAGE(I6:I$25)/100,4)</f>
        <v>2.1899999999999999E-2</v>
      </c>
      <c r="AE6" s="1561">
        <f>ROUND(AVERAGE(J6:J$25)/100,4)</f>
        <v>1.5299999999999999E-2</v>
      </c>
      <c r="AF6" s="1561">
        <f t="shared" ref="AF6" si="19">AE6</f>
        <v>1.5299999999999999E-2</v>
      </c>
      <c r="AG6" s="1561">
        <f>ROUND(AVERAGE(K6:K$25)/100,4)</f>
        <v>2.41E-2</v>
      </c>
      <c r="AH6" s="1561">
        <f>ROUND(AVERAGE(L6:L$25)/100,4)</f>
        <v>1.4200000000000001E-2</v>
      </c>
    </row>
    <row r="7" spans="1:34" s="1568" customFormat="1" ht="14.45" customHeight="1">
      <c r="A7" s="1562" t="s">
        <v>2806</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086"/>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2805</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086"/>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2803</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093"/>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2800</v>
      </c>
      <c r="B10" s="1571">
        <v>439</v>
      </c>
      <c r="C10" s="1571">
        <v>327</v>
      </c>
      <c r="D10" s="1571">
        <f t="shared" si="41"/>
        <v>327</v>
      </c>
      <c r="E10" s="1571">
        <v>627</v>
      </c>
      <c r="F10" s="1572">
        <v>283</v>
      </c>
      <c r="G10" s="3089">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2795</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086"/>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0" customFormat="1" ht="14.45" customHeight="1">
      <c r="A12" s="1562" t="s">
        <v>1256</v>
      </c>
      <c r="B12" s="1579">
        <f t="shared" si="29"/>
        <v>419.31181600000002</v>
      </c>
      <c r="C12" s="1579">
        <f t="shared" ref="C12" si="58">C13*(1+O12)</f>
        <v>313.95436800000004</v>
      </c>
      <c r="D12" s="1579">
        <f t="shared" si="41"/>
        <v>313.95436800000004</v>
      </c>
      <c r="E12" s="1579">
        <f t="shared" si="54"/>
        <v>596.63028431999999</v>
      </c>
      <c r="F12" s="1579">
        <f t="shared" si="54"/>
        <v>274.74220703999998</v>
      </c>
      <c r="G12" s="3086"/>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3">
        <f>ROUND(SUMPRODUCT(PRODUCT(1+N12:N$24)),4)</f>
        <v>1.3628</v>
      </c>
      <c r="Y12" s="1873">
        <f>ROUND(SUMPRODUCT(PRODUCT(1+O12:O$24)),4)</f>
        <v>1.2205999999999999</v>
      </c>
      <c r="Z12" s="1873">
        <f t="shared" si="0"/>
        <v>1.2205999999999999</v>
      </c>
      <c r="AA12" s="1873">
        <f>ROUND(SUMPRODUCT(PRODUCT(1+P12:P$24)),4)</f>
        <v>1.4118999999999999</v>
      </c>
      <c r="AB12" s="1873">
        <f>ROUND(SUMPRODUCT(PRODUCT(1+Q12:Q$24)),4)</f>
        <v>1.1930000000000001</v>
      </c>
      <c r="AC12" s="1554"/>
      <c r="AD12" s="1874">
        <f>ROUND(AVERAGE(I12:I$25)/100,4)</f>
        <v>2.46E-2</v>
      </c>
      <c r="AE12" s="1874">
        <f>ROUND(AVERAGE(J12:J$25)/100,4)</f>
        <v>1.6E-2</v>
      </c>
      <c r="AF12" s="1874">
        <f t="shared" si="1"/>
        <v>1.6E-2</v>
      </c>
      <c r="AG12" s="1874">
        <f>ROUND(AVERAGE(K12:K$25)/100,4)</f>
        <v>2.75E-2</v>
      </c>
      <c r="AH12" s="1874">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093"/>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089">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086"/>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086"/>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087"/>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085">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086"/>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086"/>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087"/>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085">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086"/>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086"/>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087"/>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090">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091"/>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091"/>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092"/>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085">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086"/>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086"/>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087"/>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085">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086">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086">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087">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085">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086">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086">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087">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085">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086">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086">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087">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085">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086">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086">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087">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085">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086">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086">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087">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085">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086">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086">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087">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085">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086">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086">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087">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085">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086">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086">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087">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085">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086">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086">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087">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085">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086">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086">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087">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43439</v>
      </c>
      <c r="D1" s="1801" t="s">
        <v>1183</v>
      </c>
      <c r="E1" s="1807">
        <f>'数据-取费表'!B23</f>
        <v>0.5</v>
      </c>
      <c r="F1" s="1801" t="s">
        <v>1184</v>
      </c>
      <c r="G1" s="1808">
        <f ca="1">INDIRECT("d"&amp;$K$1)/100</f>
        <v>4.3499999999999997E-2</v>
      </c>
      <c r="H1" s="1801" t="s">
        <v>1214</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N53" sqref="N53"/>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2019-01-21T08:57:05Z</dcterms:modified>
</cp:coreProperties>
</file>