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0370" windowHeight="1221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台账" sheetId="80"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土地案例" sheetId="81"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典型户型修正" sheetId="31" state="hidden" r:id="rId36"/>
    <sheet name="基准地价（汇总）" sheetId="76" state="hidden" r:id="rId37"/>
    <sheet name="基准地价修正" sheetId="43" state="hidden" r:id="rId38"/>
    <sheet name="修正" sheetId="45" state="hidden" r:id="rId39"/>
    <sheet name="容积率修正" sheetId="46"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M2" i="80"/>
  <c r="M7" i="80"/>
  <c r="W6" i="81" l="1"/>
  <c r="I34" i="40"/>
  <c r="G34" i="40"/>
  <c r="E34" i="40"/>
  <c r="I7" i="40"/>
  <c r="E7" i="40"/>
  <c r="G7" i="40"/>
  <c r="B14" i="74"/>
  <c r="F19" i="6"/>
  <c r="I18" i="3"/>
  <c r="I17" i="3"/>
  <c r="I14" i="3"/>
  <c r="I15" i="3"/>
  <c r="I16" i="3"/>
  <c r="I13" i="3"/>
  <c r="C18" i="3"/>
  <c r="C17" i="3"/>
  <c r="C14" i="3"/>
  <c r="C15" i="3"/>
  <c r="C16" i="3"/>
  <c r="C13" i="3"/>
  <c r="J49" i="15"/>
  <c r="D12" i="78"/>
  <c r="D11" i="78"/>
  <c r="E66" i="40"/>
  <c r="F66" i="40" s="1"/>
  <c r="G66" i="40" s="1"/>
  <c r="H66" i="40" s="1"/>
  <c r="I66" i="40" s="1"/>
  <c r="J66" i="40" s="1"/>
  <c r="K66" i="40" s="1"/>
  <c r="L66" i="40" s="1"/>
  <c r="M66" i="40" s="1"/>
  <c r="N66" i="40" s="1"/>
  <c r="O66" i="40" s="1"/>
  <c r="D66" i="40"/>
  <c r="I5" i="40"/>
  <c r="G5" i="40"/>
  <c r="E5" i="40"/>
  <c r="W7" i="81"/>
  <c r="W5" i="81"/>
  <c r="C90" i="9"/>
  <c r="C88" i="9"/>
  <c r="U21" i="1"/>
  <c r="U6" i="1" s="1"/>
  <c r="W20" i="1"/>
  <c r="W21" i="1" s="1"/>
  <c r="Q20" i="1"/>
  <c r="Q21" i="1"/>
  <c r="Q22" i="1"/>
  <c r="R22" i="1" s="1"/>
  <c r="Q19" i="1"/>
  <c r="R21" i="1"/>
  <c r="R20" i="1"/>
  <c r="R19" i="1"/>
  <c r="P22" i="1"/>
  <c r="P21" i="1"/>
  <c r="P20" i="1"/>
  <c r="P19" i="1"/>
  <c r="P23" i="1" s="1"/>
  <c r="B59" i="1"/>
  <c r="B21" i="1"/>
  <c r="AY3" i="3"/>
  <c r="A3" i="3"/>
  <c r="C26" i="4"/>
  <c r="A53" i="80"/>
  <c r="C52" i="80"/>
  <c r="C44" i="80"/>
  <c r="B44" i="80"/>
  <c r="F43" i="80"/>
  <c r="M38" i="80"/>
  <c r="K38" i="80"/>
  <c r="I38" i="80"/>
  <c r="H38" i="80"/>
  <c r="L38" i="80" s="1"/>
  <c r="N38" i="80" s="1"/>
  <c r="K37" i="80"/>
  <c r="M37" i="80" s="1"/>
  <c r="I37" i="80"/>
  <c r="H37" i="80"/>
  <c r="M36" i="80"/>
  <c r="K36" i="80"/>
  <c r="I36" i="80"/>
  <c r="H36" i="80"/>
  <c r="L36" i="80" s="1"/>
  <c r="N36" i="80" s="1"/>
  <c r="K35" i="80"/>
  <c r="K39" i="80" s="1"/>
  <c r="I35" i="80"/>
  <c r="H35" i="80"/>
  <c r="F31" i="80"/>
  <c r="D31" i="80"/>
  <c r="B30" i="80"/>
  <c r="D29" i="80"/>
  <c r="D27" i="80"/>
  <c r="N26" i="80"/>
  <c r="D26" i="80"/>
  <c r="D24" i="80"/>
  <c r="N22" i="80"/>
  <c r="N18" i="80"/>
  <c r="D18" i="80"/>
  <c r="C18" i="80"/>
  <c r="D17" i="80"/>
  <c r="C17" i="80"/>
  <c r="D16" i="80"/>
  <c r="C16" i="80"/>
  <c r="G15" i="80"/>
  <c r="D15" i="80"/>
  <c r="N13" i="80"/>
  <c r="F7" i="80"/>
  <c r="O6" i="80"/>
  <c r="M6" i="80"/>
  <c r="O5" i="80"/>
  <c r="M5" i="80"/>
  <c r="O4" i="80"/>
  <c r="M4" i="80"/>
  <c r="O3" i="80"/>
  <c r="M3" i="80"/>
  <c r="F16" i="4"/>
  <c r="D3" i="4"/>
  <c r="L6" i="1" l="1"/>
  <c r="R23" i="1"/>
  <c r="Q23" i="1"/>
  <c r="R24" i="1" s="1"/>
  <c r="N6" i="1" s="1"/>
  <c r="Y6" i="1" s="1"/>
  <c r="L35" i="80"/>
  <c r="L37" i="80"/>
  <c r="N37" i="80" s="1"/>
  <c r="M35" i="80"/>
  <c r="N35"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T15" i="79"/>
  <c r="W15" i="79" s="1"/>
  <c r="S28" i="79"/>
  <c r="T30" i="79"/>
  <c r="W30" i="79" s="1"/>
  <c r="U36" i="79"/>
  <c r="S38" i="79"/>
  <c r="R17" i="79"/>
  <c r="V17" i="79"/>
  <c r="M26" i="79"/>
  <c r="P26" i="79" s="1"/>
  <c r="Z3" i="79"/>
  <c r="R13" i="79"/>
  <c r="S14" i="79"/>
  <c r="U17" i="79"/>
  <c r="AA26" i="79"/>
  <c r="AD26" i="79" s="1"/>
  <c r="AD37"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V4" i="81" s="1"/>
  <c r="C15" i="78"/>
  <c r="H100" i="43"/>
  <c r="H97" i="43"/>
  <c r="H95" i="43"/>
  <c r="H94" i="43"/>
  <c r="H98" i="43"/>
  <c r="H93" i="43"/>
  <c r="H101" i="43"/>
  <c r="H99" i="43"/>
  <c r="H96" i="43"/>
  <c r="G23" i="78"/>
  <c r="G24" i="78"/>
  <c r="G25" i="78"/>
  <c r="B15" i="78"/>
  <c r="B18" i="78"/>
  <c r="G18" i="73"/>
  <c r="F18" i="73"/>
  <c r="E18" i="73"/>
  <c r="U7" i="81" l="1"/>
  <c r="Z7" i="81" s="1"/>
  <c r="AA7" i="81" s="1"/>
  <c r="X6" i="81"/>
  <c r="Y6" i="81" s="1"/>
  <c r="G41" i="40" s="1"/>
  <c r="X7" i="81"/>
  <c r="U5" i="81"/>
  <c r="Z5" i="81" s="1"/>
  <c r="AA5" i="81" s="1"/>
  <c r="U6" i="81"/>
  <c r="Z6" i="81" s="1"/>
  <c r="AA6" i="81" s="1"/>
  <c r="X5" i="81"/>
  <c r="Y5" i="81" s="1"/>
  <c r="E41" i="40" s="1"/>
  <c r="G19" i="73"/>
  <c r="F19" i="73"/>
  <c r="E19" i="73"/>
  <c r="Y7" i="81" l="1"/>
  <c r="I41" i="40" s="1"/>
  <c r="G20" i="73"/>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AA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J35" i="34"/>
  <c r="W9" i="34"/>
  <c r="U34" i="34"/>
  <c r="H39" i="33"/>
  <c r="AB39" i="33" s="1"/>
  <c r="F26" i="33"/>
  <c r="U33" i="33"/>
  <c r="S40" i="33"/>
  <c r="W33" i="33"/>
  <c r="W39" i="33"/>
  <c r="S27" i="35"/>
  <c r="F11" i="40"/>
  <c r="AA11" i="40" s="1"/>
  <c r="H11" i="40"/>
  <c r="AB11" i="40" s="1"/>
  <c r="AA9" i="40"/>
  <c r="W31"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c r="H11" i="21"/>
  <c r="U11" i="21" s="1"/>
  <c r="J11" i="21"/>
  <c r="W11" i="21" s="1"/>
  <c r="H36" i="40"/>
  <c r="AB36" i="40" s="1"/>
  <c r="F35" i="40"/>
  <c r="AA35" i="40" s="1"/>
  <c r="H17" i="40"/>
  <c r="U17" i="40" s="1"/>
  <c r="J15" i="40"/>
  <c r="W15" i="40" s="1"/>
  <c r="J11" i="40"/>
  <c r="W11" i="40" s="1"/>
  <c r="AB8" i="39"/>
  <c r="AC12" i="34"/>
  <c r="AB12" i="35"/>
  <c r="W32" i="40"/>
  <c r="S44" i="39"/>
  <c r="F37" i="39"/>
  <c r="AA37" i="39" s="1"/>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U23" i="34"/>
  <c r="J23" i="34"/>
  <c r="F19" i="34"/>
  <c r="H17" i="34"/>
  <c r="AB17" i="34" s="1"/>
  <c r="U17" i="34"/>
  <c r="F15" i="34"/>
  <c r="AA15" i="34" s="1"/>
  <c r="J15" i="34"/>
  <c r="H15" i="34"/>
  <c r="AB15" i="34" s="1"/>
  <c r="W8" i="34"/>
  <c r="F41" i="33"/>
  <c r="AA41" i="33"/>
  <c r="E113" i="33"/>
  <c r="F32" i="33"/>
  <c r="AA32" i="33" s="1"/>
  <c r="J19" i="33"/>
  <c r="AC19" i="33"/>
  <c r="J15" i="33"/>
  <c r="AC15" i="33" s="1"/>
  <c r="F11" i="33"/>
  <c r="AA11" i="33" s="1"/>
  <c r="U40" i="33"/>
  <c r="F36" i="40"/>
  <c r="AA36" i="40" s="1"/>
  <c r="H28" i="40"/>
  <c r="U28" i="40"/>
  <c r="F17" i="40"/>
  <c r="AA17" i="40" s="1"/>
  <c r="J17" i="40"/>
  <c r="W17" i="40" s="1"/>
  <c r="F15" i="40"/>
  <c r="S15" i="40" s="1"/>
  <c r="H15" i="40"/>
  <c r="U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s="1"/>
  <c r="F33" i="40"/>
  <c r="AA33" i="40" s="1"/>
  <c r="H33" i="40"/>
  <c r="U33" i="40"/>
  <c r="J35" i="40"/>
  <c r="AC35" i="40" s="1"/>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s="1"/>
  <c r="AA44" i="33"/>
  <c r="AA14"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AC12" i="37"/>
  <c r="H31" i="37"/>
  <c r="U31" i="37"/>
  <c r="J15" i="37"/>
  <c r="W15" i="37"/>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BL160" i="3"/>
  <c r="AZ160" i="3" s="1"/>
  <c r="G161" i="3"/>
  <c r="BA163" i="3"/>
  <c r="BL164" i="3"/>
  <c r="AZ164" i="3" s="1"/>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44" i="3"/>
  <c r="AZ152" i="3"/>
  <c r="AZ168" i="3"/>
  <c r="AZ97"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66" i="3"/>
  <c r="AZ186" i="3"/>
  <c r="AZ500" i="3"/>
  <c r="BA16" i="3"/>
  <c r="BL303" i="3"/>
  <c r="G304" i="3"/>
  <c r="BA306" i="3"/>
  <c r="BL307" i="3"/>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BH5" i="3"/>
  <c r="BD5" i="3"/>
  <c r="AC5" i="3"/>
  <c r="AZ506" i="3"/>
  <c r="AZ496" i="3"/>
  <c r="G548" i="3"/>
  <c r="G538" i="3"/>
  <c r="G520" i="3"/>
  <c r="G502" i="3"/>
  <c r="BS5" i="3"/>
  <c r="BP5" i="3"/>
  <c r="BN5" i="3"/>
  <c r="BK5" i="3"/>
  <c r="BI5" i="3"/>
  <c r="BG5" i="3"/>
  <c r="BE5" i="3"/>
  <c r="BC5" i="3"/>
  <c r="G17" i="3"/>
  <c r="AZ356" i="3"/>
  <c r="BR5" i="3"/>
  <c r="AZ392" i="3"/>
  <c r="AZ509" i="3"/>
  <c r="G509" i="3"/>
  <c r="BL493" i="3"/>
  <c r="AZ493" i="3" s="1"/>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s="1"/>
  <c r="F30" i="40"/>
  <c r="S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110"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4" i="36"/>
  <c r="U34" i="36"/>
  <c r="AB33" i="36"/>
  <c r="U33" i="36"/>
  <c r="AC12" i="39"/>
  <c r="W12" i="39"/>
  <c r="AZ586" i="3"/>
  <c r="W12" i="33"/>
  <c r="AC12" i="33"/>
  <c r="AA32" i="36"/>
  <c r="S32" i="36"/>
  <c r="BL14" i="3"/>
  <c r="U30" i="33"/>
  <c r="AC13" i="34"/>
  <c r="AA47" i="34"/>
  <c r="W28" i="37"/>
  <c r="S19" i="39"/>
  <c r="F12" i="33"/>
  <c r="AA12" i="33" s="1"/>
  <c r="H12" i="39"/>
  <c r="AB12" i="39"/>
  <c r="F39" i="40"/>
  <c r="BA14" i="3"/>
  <c r="AZ14" i="3" s="1"/>
  <c r="AZ367" i="3"/>
  <c r="AZ149" i="3"/>
  <c r="B12" i="1"/>
  <c r="E12" i="1" s="1"/>
  <c r="B10" i="1"/>
  <c r="E10" i="1" s="1"/>
  <c r="K12" i="1"/>
  <c r="M12" i="1" s="1"/>
  <c r="S13" i="1"/>
  <c r="AR13" i="1" s="1"/>
  <c r="R13" i="1"/>
  <c r="J51" i="67"/>
  <c r="C42" i="1"/>
  <c r="C24" i="12" s="1"/>
  <c r="B41" i="1"/>
  <c r="F48" i="9" s="1"/>
  <c r="O52" i="9" s="1"/>
  <c r="W38" i="40"/>
  <c r="AA32"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M18" i="67"/>
  <c r="M18" i="15"/>
  <c r="AA39" i="40"/>
  <c r="S39" i="40"/>
  <c r="S12" i="33"/>
  <c r="J32" i="39"/>
  <c r="AC32" i="39" s="1"/>
  <c r="H32" i="39"/>
  <c r="AB32" i="39" s="1"/>
  <c r="AA32" i="39"/>
  <c r="S32" i="39"/>
  <c r="AB21" i="39"/>
  <c r="U21" i="39"/>
  <c r="AC17" i="37"/>
  <c r="S17" i="37"/>
  <c r="J19" i="37"/>
  <c r="W19" i="37" s="1"/>
  <c r="AA19" i="37"/>
  <c r="AA23" i="37"/>
  <c r="J23" i="37"/>
  <c r="AC23" i="37" s="1"/>
  <c r="G79" i="37"/>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U19" i="33" s="1"/>
  <c r="G81" i="33"/>
  <c r="H17" i="33"/>
  <c r="U17" i="33" s="1"/>
  <c r="F17" i="33"/>
  <c r="S17" i="33" s="1"/>
  <c r="W17" i="33"/>
  <c r="AC17" i="33"/>
  <c r="AA23" i="21"/>
  <c r="J23" i="21"/>
  <c r="F85" i="21"/>
  <c r="G85" i="21" s="1"/>
  <c r="H23" i="21"/>
  <c r="S13" i="21"/>
  <c r="D6" i="52"/>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B7" i="76"/>
  <c r="F37" i="15"/>
  <c r="B12" i="76"/>
  <c r="F6" i="73"/>
  <c r="M6" i="15"/>
  <c r="F40" i="67"/>
  <c r="E12" i="76"/>
  <c r="M23" i="15"/>
  <c r="C76" i="15"/>
  <c r="F7" i="15"/>
  <c r="F7" i="73"/>
  <c r="F5" i="73"/>
  <c r="L47" i="15"/>
  <c r="L48" i="15"/>
  <c r="E2" i="68"/>
  <c r="F43" i="15"/>
  <c r="F9" i="15"/>
  <c r="F6" i="15"/>
  <c r="E10" i="76"/>
  <c r="E7" i="76"/>
  <c r="F38" i="67"/>
  <c r="F26" i="15"/>
  <c r="F42" i="15"/>
  <c r="M26" i="67"/>
  <c r="C76" i="67"/>
  <c r="F3" i="73"/>
  <c r="B13" i="76"/>
  <c r="F20" i="31"/>
  <c r="F4" i="73"/>
  <c r="M26" i="15"/>
  <c r="B9" i="76"/>
  <c r="E11" i="76"/>
  <c r="M28" i="15"/>
  <c r="F16" i="15"/>
  <c r="E2" i="69"/>
  <c r="F13" i="15"/>
  <c r="B10" i="76"/>
  <c r="D6" i="73"/>
  <c r="M22" i="15"/>
  <c r="M29" i="15"/>
  <c r="F8" i="15"/>
  <c r="M8" i="15"/>
  <c r="F40" i="15"/>
  <c r="J15" i="67"/>
  <c r="M22" i="67"/>
  <c r="M23" i="67"/>
  <c r="F38" i="15"/>
  <c r="E9" i="76"/>
  <c r="M24" i="15"/>
  <c r="E8" i="76"/>
  <c r="B8" i="76"/>
  <c r="L47" i="67"/>
  <c r="E13" i="76"/>
  <c r="J15" i="15"/>
  <c r="AO13" i="1"/>
  <c r="F36" i="15"/>
  <c r="B11" i="76"/>
  <c r="AA19" i="40" l="1"/>
  <c r="H21" i="40"/>
  <c r="F21" i="40"/>
  <c r="S21" i="40" s="1"/>
  <c r="G92" i="40"/>
  <c r="F23" i="40"/>
  <c r="H23" i="40"/>
  <c r="AB23" i="40" s="1"/>
  <c r="J23" i="40"/>
  <c r="AC23" i="40" s="1"/>
  <c r="J37" i="40"/>
  <c r="AC37" i="40" s="1"/>
  <c r="F37" i="40"/>
  <c r="H37" i="40"/>
  <c r="W35" i="40"/>
  <c r="U30" i="40"/>
  <c r="AA30" i="40"/>
  <c r="U9" i="40"/>
  <c r="S36" i="40"/>
  <c r="AC36" i="40"/>
  <c r="U36" i="40"/>
  <c r="S35" i="40"/>
  <c r="U35" i="40"/>
  <c r="AC21" i="40"/>
  <c r="AA21" i="40"/>
  <c r="W23" i="40"/>
  <c r="AC25" i="40"/>
  <c r="S25" i="40"/>
  <c r="W19" i="40"/>
  <c r="AC17" i="40"/>
  <c r="S17" i="40"/>
  <c r="AB17" i="40"/>
  <c r="AB15" i="40"/>
  <c r="AC15" i="40"/>
  <c r="AA15" i="40"/>
  <c r="H5" i="3"/>
  <c r="AZ17" i="3"/>
  <c r="G29" i="6"/>
  <c r="BJ5" i="3"/>
  <c r="BF5" i="3"/>
  <c r="BB5" i="3"/>
  <c r="BT5" i="3"/>
  <c r="F29" i="6"/>
  <c r="H69" i="43"/>
  <c r="A15" i="62"/>
  <c r="B61" i="72" s="1"/>
  <c r="B16" i="53"/>
  <c r="B33" i="72" s="1"/>
  <c r="H109" i="9"/>
  <c r="AZ306" i="3"/>
  <c r="AZ535" i="3"/>
  <c r="AZ577" i="3"/>
  <c r="AZ557" i="3"/>
  <c r="AZ513" i="3"/>
  <c r="AZ575" i="3"/>
  <c r="AZ528" i="3"/>
  <c r="AZ566" i="3"/>
  <c r="AZ574" i="3"/>
  <c r="AZ582" i="3"/>
  <c r="AZ540" i="3"/>
  <c r="AZ502" i="3"/>
  <c r="W31" i="34"/>
  <c r="U46" i="33"/>
  <c r="H23" i="36"/>
  <c r="J23" i="36"/>
  <c r="F23" i="36"/>
  <c r="D22" i="71"/>
  <c r="AB36" i="33"/>
  <c r="W32" i="39"/>
  <c r="S21" i="39"/>
  <c r="F54" i="9"/>
  <c r="F32" i="15"/>
  <c r="F60" i="15" s="1"/>
  <c r="F52" i="9"/>
  <c r="F30" i="68"/>
  <c r="F48" i="68" s="1"/>
  <c r="AC37" i="33"/>
  <c r="S20" i="36"/>
  <c r="AC39" i="34"/>
  <c r="S32" i="37"/>
  <c r="AA34" i="33"/>
  <c r="AZ357" i="3"/>
  <c r="AZ322" i="3"/>
  <c r="AZ313" i="3"/>
  <c r="AZ124" i="3"/>
  <c r="AZ394" i="3"/>
  <c r="AZ519" i="3"/>
  <c r="AZ573" i="3"/>
  <c r="AZ568" i="3"/>
  <c r="S29" i="35"/>
  <c r="AA29" i="35"/>
  <c r="AA26" i="33"/>
  <c r="S26" i="33"/>
  <c r="AC40" i="33"/>
  <c r="W40" i="33"/>
  <c r="S37" i="21"/>
  <c r="AB20" i="35"/>
  <c r="AC34" i="33"/>
  <c r="AZ388" i="3"/>
  <c r="AZ334" i="3"/>
  <c r="AZ192" i="3"/>
  <c r="AZ571" i="3"/>
  <c r="AZ579" i="3"/>
  <c r="AB19" i="33"/>
  <c r="AB15" i="21"/>
  <c r="D68" i="9"/>
  <c r="F30" i="69"/>
  <c r="F48" i="69" s="1"/>
  <c r="F31" i="12"/>
  <c r="F28" i="15"/>
  <c r="F32" i="67"/>
  <c r="F60" i="67" s="1"/>
  <c r="F28" i="67"/>
  <c r="AB19" i="40"/>
  <c r="AZ387" i="3"/>
  <c r="AZ362" i="3"/>
  <c r="AZ338" i="3"/>
  <c r="AZ307" i="3"/>
  <c r="AZ390" i="3"/>
  <c r="AZ371" i="3"/>
  <c r="AZ351" i="3"/>
  <c r="AZ336" i="3"/>
  <c r="AZ305" i="3"/>
  <c r="AZ360" i="3"/>
  <c r="AZ529" i="3"/>
  <c r="AZ537" i="3"/>
  <c r="AZ546" i="3"/>
  <c r="BL587" i="3"/>
  <c r="AZ587" i="3" s="1"/>
  <c r="J45" i="21"/>
  <c r="F45" i="21"/>
  <c r="AC22" i="35"/>
  <c r="W22" i="35"/>
  <c r="W8" i="40"/>
  <c r="F28" i="34"/>
  <c r="J28" i="34"/>
  <c r="J23" i="35"/>
  <c r="H23" i="35"/>
  <c r="AA40" i="39"/>
  <c r="S40" i="39"/>
  <c r="W31" i="35"/>
  <c r="AC31" i="35"/>
  <c r="G587" i="3"/>
  <c r="H9" i="33"/>
  <c r="J9" i="33"/>
  <c r="H45" i="39"/>
  <c r="J45" i="39"/>
  <c r="W45" i="39" s="1"/>
  <c r="BA551" i="3"/>
  <c r="AZ551" i="3" s="1"/>
  <c r="BA550" i="3"/>
  <c r="AZ550" i="3" s="1"/>
  <c r="BL548" i="3"/>
  <c r="AZ548" i="3" s="1"/>
  <c r="G586" i="3"/>
  <c r="B101" i="43"/>
  <c r="B79" i="43"/>
  <c r="F9" i="33"/>
  <c r="AA9" i="33" s="1"/>
  <c r="J9" i="36"/>
  <c r="H38" i="40"/>
  <c r="F38" i="40"/>
  <c r="G556" i="3"/>
  <c r="AZ407" i="3"/>
  <c r="AZ443" i="3"/>
  <c r="J39" i="40"/>
  <c r="H39" i="40"/>
  <c r="AZ413" i="3"/>
  <c r="BL550" i="3"/>
  <c r="AZ400" i="3"/>
  <c r="AZ402" i="3"/>
  <c r="G406" i="3"/>
  <c r="BL410" i="3"/>
  <c r="BL413" i="3"/>
  <c r="G416" i="3"/>
  <c r="BA417" i="3"/>
  <c r="AZ417" i="3" s="1"/>
  <c r="BL428" i="3"/>
  <c r="BL429" i="3"/>
  <c r="BA432" i="3"/>
  <c r="AZ432" i="3" s="1"/>
  <c r="BL438" i="3"/>
  <c r="BL439" i="3"/>
  <c r="BL443" i="3"/>
  <c r="BL452" i="3"/>
  <c r="AZ452" i="3" s="1"/>
  <c r="BA456" i="3"/>
  <c r="BL457" i="3"/>
  <c r="BA462" i="3"/>
  <c r="AZ462" i="3" s="1"/>
  <c r="BA463" i="3"/>
  <c r="AZ463" i="3" s="1"/>
  <c r="BA464" i="3"/>
  <c r="BA485" i="3"/>
  <c r="BL15" i="3"/>
  <c r="AZ15" i="3" s="1"/>
  <c r="BA398" i="3"/>
  <c r="AZ398" i="3" s="1"/>
  <c r="BA399" i="3"/>
  <c r="AZ399" i="3" s="1"/>
  <c r="BL401" i="3"/>
  <c r="BL404" i="3"/>
  <c r="BL405" i="3"/>
  <c r="BL407" i="3"/>
  <c r="BL411" i="3"/>
  <c r="BL414" i="3"/>
  <c r="BL415" i="3"/>
  <c r="BL419" i="3"/>
  <c r="AZ419" i="3" s="1"/>
  <c r="BA422" i="3"/>
  <c r="AZ422" i="3" s="1"/>
  <c r="BL424" i="3"/>
  <c r="G426" i="3"/>
  <c r="G427" i="3"/>
  <c r="BA428" i="3"/>
  <c r="AZ428" i="3" s="1"/>
  <c r="BA429" i="3"/>
  <c r="AZ429" i="3" s="1"/>
  <c r="BA430" i="3"/>
  <c r="AZ430" i="3" s="1"/>
  <c r="BL433" i="3"/>
  <c r="BL434" i="3"/>
  <c r="BL440" i="3"/>
  <c r="BL445" i="3"/>
  <c r="BL446" i="3"/>
  <c r="BA450" i="3"/>
  <c r="BL460" i="3"/>
  <c r="BL461" i="3"/>
  <c r="BL465" i="3"/>
  <c r="BA469" i="3"/>
  <c r="AZ469" i="3" s="1"/>
  <c r="BA470" i="3"/>
  <c r="BA471" i="3"/>
  <c r="BL473" i="3"/>
  <c r="AZ473" i="3" s="1"/>
  <c r="BL474" i="3"/>
  <c r="BL16" i="3"/>
  <c r="AZ16" i="3" s="1"/>
  <c r="BA401" i="3"/>
  <c r="BA403" i="3"/>
  <c r="AZ403" i="3" s="1"/>
  <c r="BA404" i="3"/>
  <c r="AZ404" i="3" s="1"/>
  <c r="BA405" i="3"/>
  <c r="AZ405" i="3" s="1"/>
  <c r="BL408" i="3"/>
  <c r="AZ408" i="3" s="1"/>
  <c r="BA411" i="3"/>
  <c r="AZ411" i="3" s="1"/>
  <c r="BL416" i="3"/>
  <c r="G418" i="3"/>
  <c r="BL420" i="3"/>
  <c r="G422" i="3"/>
  <c r="BL425" i="3"/>
  <c r="BL426" i="3"/>
  <c r="AZ426" i="3" s="1"/>
  <c r="G431" i="3"/>
  <c r="BL431" i="3"/>
  <c r="G433" i="3"/>
  <c r="BL435" i="3"/>
  <c r="AZ451" i="3"/>
  <c r="BL468" i="3"/>
  <c r="AZ468" i="3" s="1"/>
  <c r="BA482" i="3"/>
  <c r="S38" i="33"/>
  <c r="F12" i="36"/>
  <c r="J34" i="36"/>
  <c r="W34" i="36" s="1"/>
  <c r="H39" i="37"/>
  <c r="U35" i="33"/>
  <c r="W28" i="36"/>
  <c r="BL585" i="3"/>
  <c r="AZ585" i="3" s="1"/>
  <c r="B75" i="43"/>
  <c r="H24" i="36"/>
  <c r="G558" i="3"/>
  <c r="G398" i="3"/>
  <c r="BL400" i="3"/>
  <c r="AZ458" i="3"/>
  <c r="AZ466" i="3"/>
  <c r="BA303" i="3"/>
  <c r="AZ303" i="3" s="1"/>
  <c r="BA307" i="3"/>
  <c r="BL317" i="3"/>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A126" i="3"/>
  <c r="AZ126" i="3" s="1"/>
  <c r="BA129" i="3"/>
  <c r="BL133" i="3"/>
  <c r="AZ133" i="3" s="1"/>
  <c r="BL139" i="3"/>
  <c r="AZ139" i="3" s="1"/>
  <c r="BL141" i="3"/>
  <c r="BL143" i="3"/>
  <c r="AZ143" i="3" s="1"/>
  <c r="BA156" i="3"/>
  <c r="AZ156" i="3" s="1"/>
  <c r="BA412" i="3"/>
  <c r="AZ412" i="3" s="1"/>
  <c r="BA414" i="3"/>
  <c r="AZ414" i="3" s="1"/>
  <c r="BA415" i="3"/>
  <c r="AZ415" i="3" s="1"/>
  <c r="BA416" i="3"/>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BL464" i="3"/>
  <c r="BL466" i="3"/>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5" i="3"/>
  <c r="G152" i="3"/>
  <c r="BA153" i="3"/>
  <c r="BL155" i="3"/>
  <c r="AZ155" i="3" s="1"/>
  <c r="BL157" i="3"/>
  <c r="BL159" i="3"/>
  <c r="AZ159" i="3" s="1"/>
  <c r="G190" i="3"/>
  <c r="G18" i="3"/>
  <c r="AZ301" i="3"/>
  <c r="BL173" i="3"/>
  <c r="BL436" i="3"/>
  <c r="AZ436" i="3" s="1"/>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A157" i="3"/>
  <c r="AZ157" i="3" s="1"/>
  <c r="BL163" i="3"/>
  <c r="AZ163" i="3" s="1"/>
  <c r="BL171" i="3"/>
  <c r="AZ171" i="3" s="1"/>
  <c r="BL205" i="3"/>
  <c r="G206" i="3"/>
  <c r="BL24" i="3"/>
  <c r="BA176" i="3"/>
  <c r="AZ176" i="3" s="1"/>
  <c r="BA178"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BL25" i="3"/>
  <c r="BL27" i="3"/>
  <c r="BA28" i="3"/>
  <c r="BA31" i="3"/>
  <c r="BA32" i="3"/>
  <c r="BA38" i="3"/>
  <c r="BA41" i="3"/>
  <c r="BA42" i="3"/>
  <c r="BL48" i="3"/>
  <c r="BL54" i="3"/>
  <c r="BL55" i="3"/>
  <c r="AZ55" i="3" s="1"/>
  <c r="BA59" i="3"/>
  <c r="BL61" i="3"/>
  <c r="BA64" i="3"/>
  <c r="AZ64" i="3" s="1"/>
  <c r="BA68" i="3"/>
  <c r="BL74" i="3"/>
  <c r="AZ74" i="3" s="1"/>
  <c r="BL75" i="3"/>
  <c r="BL86" i="3"/>
  <c r="AZ86" i="3" s="1"/>
  <c r="BA88" i="3"/>
  <c r="G93" i="3"/>
  <c r="BA98" i="3"/>
  <c r="BL103" i="3"/>
  <c r="G104" i="3"/>
  <c r="W21" i="21"/>
  <c r="T32" i="71"/>
  <c r="D32" i="71"/>
  <c r="C47" i="71"/>
  <c r="D47" i="71" s="1"/>
  <c r="D46" i="71"/>
  <c r="C67" i="71"/>
  <c r="T68" i="71"/>
  <c r="O68" i="71"/>
  <c r="T76" i="71"/>
  <c r="D76" i="71"/>
  <c r="C75" i="71"/>
  <c r="Y27" i="71"/>
  <c r="Z27" i="71" s="1"/>
  <c r="Y26" i="71"/>
  <c r="Z26" i="71" s="1"/>
  <c r="AA3" i="71"/>
  <c r="BL165" i="3"/>
  <c r="G166" i="3"/>
  <c r="BL170" i="3"/>
  <c r="G171" i="3"/>
  <c r="BA173" i="3"/>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G55" i="3"/>
  <c r="BL56" i="3"/>
  <c r="AZ56" i="3" s="1"/>
  <c r="BA58" i="3"/>
  <c r="AZ58" i="3" s="1"/>
  <c r="BL59" i="3"/>
  <c r="BL60" i="3"/>
  <c r="BA61" i="3"/>
  <c r="AZ61" i="3" s="1"/>
  <c r="BL69" i="3"/>
  <c r="G70" i="3"/>
  <c r="BL70" i="3"/>
  <c r="AZ70" i="3" s="1"/>
  <c r="BL71" i="3"/>
  <c r="BL72" i="3"/>
  <c r="AZ72" i="3" s="1"/>
  <c r="G74" i="3"/>
  <c r="BA75" i="3"/>
  <c r="BA87" i="3"/>
  <c r="AZ87" i="3" s="1"/>
  <c r="BL101" i="3"/>
  <c r="BL102" i="3"/>
  <c r="BA109" i="3"/>
  <c r="F3" i="35"/>
  <c r="F40" i="69"/>
  <c r="C40" i="69"/>
  <c r="AB21" i="37"/>
  <c r="U21" i="37"/>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AZ57" i="3"/>
  <c r="AZ103" i="3"/>
  <c r="B13" i="1"/>
  <c r="E13" i="1" s="1"/>
  <c r="K13" i="1"/>
  <c r="M13" i="1" s="1"/>
  <c r="O13" i="1" s="1"/>
  <c r="P13" i="1" s="1"/>
  <c r="U21" i="33"/>
  <c r="AB21" i="33"/>
  <c r="T44" i="71"/>
  <c r="P65" i="71"/>
  <c r="P66" i="71"/>
  <c r="AA28" i="71"/>
  <c r="Y25" i="71"/>
  <c r="Z25" i="71" s="1"/>
  <c r="C36" i="71"/>
  <c r="D36" i="71" s="1"/>
  <c r="D35" i="71"/>
  <c r="AB32" i="71"/>
  <c r="Y35" i="71"/>
  <c r="Z35" i="71" s="1"/>
  <c r="S80" i="71"/>
  <c r="B79" i="71"/>
  <c r="B78" i="71" s="1"/>
  <c r="BA146" i="3"/>
  <c r="AZ146" i="3" s="1"/>
  <c r="BA150" i="3"/>
  <c r="AZ150" i="3" s="1"/>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7" i="3"/>
  <c r="BL68" i="3"/>
  <c r="BA69" i="3"/>
  <c r="AZ69" i="3" s="1"/>
  <c r="BA73" i="3"/>
  <c r="G78" i="3"/>
  <c r="BA80" i="3"/>
  <c r="BL84" i="3"/>
  <c r="BA91" i="3"/>
  <c r="AZ91" i="3" s="1"/>
  <c r="BL93" i="3"/>
  <c r="G95" i="3"/>
  <c r="G96" i="3"/>
  <c r="G106" i="3"/>
  <c r="BL106" i="3"/>
  <c r="BA108" i="3"/>
  <c r="AZ108" i="3" s="1"/>
  <c r="BL111" i="3"/>
  <c r="AB27" i="71"/>
  <c r="C51" i="71"/>
  <c r="E39" i="71"/>
  <c r="E40" i="71" s="1"/>
  <c r="U40" i="71" s="1"/>
  <c r="Y37" i="71"/>
  <c r="Z37" i="71" s="1"/>
  <c r="F66" i="71"/>
  <c r="Q67" i="71"/>
  <c r="X25" i="71"/>
  <c r="V24" i="71"/>
  <c r="E23" i="71"/>
  <c r="E22" i="71" s="1"/>
  <c r="E21" i="71" s="1"/>
  <c r="E20" i="71" s="1"/>
  <c r="AA27" i="71"/>
  <c r="S28" i="71"/>
  <c r="C83" i="71"/>
  <c r="C79" i="71"/>
  <c r="C71" i="71"/>
  <c r="C39" i="71"/>
  <c r="Y28" i="71"/>
  <c r="Z28" i="71" s="1"/>
  <c r="Y30" i="71"/>
  <c r="Z30" i="71" s="1"/>
  <c r="X28" i="71"/>
  <c r="X32" i="71"/>
  <c r="AB38" i="71"/>
  <c r="F75" i="71"/>
  <c r="F74" i="71" s="1"/>
  <c r="BA66" i="3"/>
  <c r="AZ66" i="3" s="1"/>
  <c r="BA71" i="3"/>
  <c r="G76" i="3"/>
  <c r="BL77" i="3"/>
  <c r="AZ77" i="3" s="1"/>
  <c r="BA79" i="3"/>
  <c r="AZ79" i="3" s="1"/>
  <c r="G82" i="3"/>
  <c r="G83" i="3"/>
  <c r="BA84" i="3"/>
  <c r="BL88" i="3"/>
  <c r="G90" i="3"/>
  <c r="BL90" i="3"/>
  <c r="AZ90" i="3" s="1"/>
  <c r="BL92" i="3"/>
  <c r="G101" i="3"/>
  <c r="BA101" i="3"/>
  <c r="AZ101" i="3" s="1"/>
  <c r="G108" i="3"/>
  <c r="G109" i="3"/>
  <c r="BL112" i="3"/>
  <c r="U25" i="40"/>
  <c r="S21" i="34"/>
  <c r="B68" i="43"/>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C21" i="37"/>
  <c r="U21" i="34"/>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60" i="3"/>
  <c r="BA206" i="3"/>
  <c r="AZ206" i="3" s="1"/>
  <c r="BL22" i="3"/>
  <c r="AZ22" i="3" s="1"/>
  <c r="BL33" i="3"/>
  <c r="AZ33" i="3" s="1"/>
  <c r="BL43" i="3"/>
  <c r="AZ43" i="3" s="1"/>
  <c r="BL46" i="3"/>
  <c r="AZ54"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Q71" i="67"/>
  <c r="F64" i="15"/>
  <c r="C27" i="15"/>
  <c r="F65" i="15"/>
  <c r="N59" i="67"/>
  <c r="L59" i="67"/>
  <c r="M59" i="67"/>
  <c r="B13" i="70"/>
  <c r="F68" i="67"/>
  <c r="F68" i="15"/>
  <c r="D9" i="69"/>
  <c r="C36" i="69"/>
  <c r="D7" i="73"/>
  <c r="M8" i="67"/>
  <c r="D3" i="73"/>
  <c r="M9" i="67"/>
  <c r="D5" i="73"/>
  <c r="M29" i="67"/>
  <c r="L48" i="67"/>
  <c r="C36" i="68"/>
  <c r="F16" i="67"/>
  <c r="D9" i="68"/>
  <c r="F7" i="67"/>
  <c r="F43" i="67"/>
  <c r="F26" i="67"/>
  <c r="C16" i="15"/>
  <c r="M28" i="67"/>
  <c r="F36" i="67"/>
  <c r="M6" i="67"/>
  <c r="D4" i="73"/>
  <c r="F13" i="67"/>
  <c r="F9" i="67"/>
  <c r="F6" i="67"/>
  <c r="F8" i="67"/>
  <c r="M24" i="67"/>
  <c r="F37" i="67"/>
  <c r="F42" i="67"/>
  <c r="AB21" i="40" l="1"/>
  <c r="U21" i="40"/>
  <c r="AA23" i="40"/>
  <c r="S23" i="40"/>
  <c r="W37" i="40"/>
  <c r="U37" i="40"/>
  <c r="AB37" i="40"/>
  <c r="AA37" i="40"/>
  <c r="S37" i="40"/>
  <c r="N370" i="46"/>
  <c r="F26" i="43"/>
  <c r="E10" i="6"/>
  <c r="E11" i="6"/>
  <c r="E60" i="39" s="1"/>
  <c r="E14" i="6"/>
  <c r="E15" i="6"/>
  <c r="E64" i="39" s="1"/>
  <c r="P6" i="1"/>
  <c r="C13" i="12" s="1"/>
  <c r="E28" i="6"/>
  <c r="K14" i="1" s="1"/>
  <c r="K16" i="1" s="1"/>
  <c r="H16" i="1"/>
  <c r="F31" i="67"/>
  <c r="C6" i="67"/>
  <c r="C32" i="67" s="1"/>
  <c r="C27" i="67"/>
  <c r="F50" i="67"/>
  <c r="M7" i="67"/>
  <c r="J6" i="67" s="1"/>
  <c r="J18" i="67" s="1"/>
  <c r="F64" i="67"/>
  <c r="F71" i="67"/>
  <c r="I54" i="67"/>
  <c r="J53" i="67"/>
  <c r="Q52" i="67" s="1"/>
  <c r="L56" i="67"/>
  <c r="J57" i="67"/>
  <c r="J55" i="67" s="1"/>
  <c r="J58" i="67" s="1"/>
  <c r="Q50" i="67" s="1"/>
  <c r="L58" i="67"/>
  <c r="Q60" i="67" s="1"/>
  <c r="F65" i="67"/>
  <c r="F51" i="67"/>
  <c r="S12" i="36"/>
  <c r="AA12" i="36"/>
  <c r="AB38" i="40"/>
  <c r="U38" i="40"/>
  <c r="AC9" i="33"/>
  <c r="W9" i="33"/>
  <c r="AC23" i="35"/>
  <c r="W23" i="35"/>
  <c r="AC23" i="36"/>
  <c r="W23" i="36"/>
  <c r="J7" i="36"/>
  <c r="E26" i="43"/>
  <c r="H26" i="43"/>
  <c r="C30" i="69"/>
  <c r="T36" i="71"/>
  <c r="AZ98" i="3"/>
  <c r="AZ138" i="3"/>
  <c r="AZ71" i="3"/>
  <c r="C40" i="71"/>
  <c r="D39" i="71"/>
  <c r="C56" i="71"/>
  <c r="D55" i="71"/>
  <c r="AZ75" i="3"/>
  <c r="AZ59" i="3"/>
  <c r="AZ31" i="3"/>
  <c r="AZ5" i="3" s="1"/>
  <c r="AZ20" i="3"/>
  <c r="AZ297" i="3"/>
  <c r="AZ241" i="3"/>
  <c r="AB24" i="36"/>
  <c r="U24" i="36"/>
  <c r="U39" i="40"/>
  <c r="AB39" i="40"/>
  <c r="AC9" i="36"/>
  <c r="W9" i="36"/>
  <c r="AB9" i="33"/>
  <c r="U9" i="33"/>
  <c r="W28" i="34"/>
  <c r="AC28" i="34"/>
  <c r="AB23" i="36"/>
  <c r="U23" i="36"/>
  <c r="D83" i="71"/>
  <c r="C82" i="71"/>
  <c r="D82" i="71" s="1"/>
  <c r="J7" i="37"/>
  <c r="G16" i="1"/>
  <c r="F10" i="39" s="1"/>
  <c r="AA10" i="39" s="1"/>
  <c r="G26" i="43"/>
  <c r="C48" i="69"/>
  <c r="G5" i="3"/>
  <c r="B3" i="3" s="1"/>
  <c r="E40" i="3" s="1"/>
  <c r="AZ32" i="3"/>
  <c r="AZ281" i="3"/>
  <c r="AZ317" i="3"/>
  <c r="AZ111" i="3"/>
  <c r="C70" i="71"/>
  <c r="D70" i="71" s="1"/>
  <c r="D71" i="71"/>
  <c r="C52" i="71"/>
  <c r="D51" i="71"/>
  <c r="AZ25" i="3"/>
  <c r="C26" i="71"/>
  <c r="D26" i="71" s="1"/>
  <c r="D27" i="71"/>
  <c r="AZ182" i="3"/>
  <c r="AZ88" i="3"/>
  <c r="AZ41" i="3"/>
  <c r="AZ28" i="3"/>
  <c r="AZ178" i="3"/>
  <c r="AZ277" i="3"/>
  <c r="AZ256" i="3"/>
  <c r="AZ397" i="3"/>
  <c r="AZ294" i="3"/>
  <c r="AZ271" i="3"/>
  <c r="AZ368" i="3"/>
  <c r="AZ353" i="3"/>
  <c r="AB39" i="37"/>
  <c r="U39" i="37"/>
  <c r="AC39" i="40"/>
  <c r="W39" i="40"/>
  <c r="AA28" i="34"/>
  <c r="S28" i="34"/>
  <c r="AA45" i="21"/>
  <c r="S45" i="21"/>
  <c r="D67" i="71"/>
  <c r="C66" i="71"/>
  <c r="O67" i="71"/>
  <c r="AZ471" i="3"/>
  <c r="N94" i="46"/>
  <c r="Q16" i="1"/>
  <c r="F27" i="69" s="1"/>
  <c r="C47" i="69" s="1"/>
  <c r="D45" i="69" s="1"/>
  <c r="C30" i="68"/>
  <c r="AZ129" i="3"/>
  <c r="AZ481" i="3"/>
  <c r="AZ84" i="3"/>
  <c r="D79" i="71"/>
  <c r="C78" i="71"/>
  <c r="D78" i="71" s="1"/>
  <c r="AZ173" i="3"/>
  <c r="D75" i="71"/>
  <c r="C74" i="71"/>
  <c r="D74" i="71" s="1"/>
  <c r="AZ27" i="3"/>
  <c r="AZ130" i="3"/>
  <c r="AZ244" i="3"/>
  <c r="AZ239" i="3"/>
  <c r="AZ273" i="3"/>
  <c r="AZ461" i="3"/>
  <c r="AZ454" i="3"/>
  <c r="AZ435" i="3"/>
  <c r="AZ425" i="3"/>
  <c r="AZ416" i="3"/>
  <c r="AZ401" i="3"/>
  <c r="AZ464" i="3"/>
  <c r="AA38" i="40"/>
  <c r="S38" i="40"/>
  <c r="U45" i="39"/>
  <c r="AB45" i="39"/>
  <c r="U23" i="35"/>
  <c r="AB23" i="35"/>
  <c r="W45" i="21"/>
  <c r="AC45" i="21"/>
  <c r="AA23" i="36"/>
  <c r="S23" i="36"/>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31" i="6"/>
  <c r="E51" i="40"/>
  <c r="E58" i="40"/>
  <c r="E62" i="39"/>
  <c r="D5" i="43"/>
  <c r="C7" i="43"/>
  <c r="C5" i="43" s="1"/>
  <c r="D10" i="52"/>
  <c r="D125" i="9"/>
  <c r="D11" i="52" s="1"/>
  <c r="B7" i="74"/>
  <c r="C7" i="74" s="1"/>
  <c r="F67" i="39"/>
  <c r="H7" i="37"/>
  <c r="AB7" i="37" s="1"/>
  <c r="T42" i="37" s="1"/>
  <c r="G42" i="37" s="1"/>
  <c r="H7" i="33"/>
  <c r="J7" i="33"/>
  <c r="D65" i="40"/>
  <c r="E63" i="40"/>
  <c r="F48" i="35"/>
  <c r="AC7" i="37"/>
  <c r="W7" i="37"/>
  <c r="AB7" i="36"/>
  <c r="U7" i="36"/>
  <c r="F7" i="33"/>
  <c r="E58" i="21"/>
  <c r="AC7" i="36"/>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AE6" i="1"/>
  <c r="C16" i="67"/>
  <c r="F41" i="67"/>
  <c r="G1" i="73"/>
  <c r="E16" i="6" l="1"/>
  <c r="X6" i="3"/>
  <c r="E215" i="3"/>
  <c r="E526" i="3"/>
  <c r="AO6" i="3"/>
  <c r="E577" i="3"/>
  <c r="E399" i="3"/>
  <c r="E380" i="3"/>
  <c r="E210" i="3"/>
  <c r="E150" i="3"/>
  <c r="E407" i="3"/>
  <c r="E17" i="3"/>
  <c r="E57" i="3"/>
  <c r="E139" i="3"/>
  <c r="E94" i="3"/>
  <c r="E219" i="3"/>
  <c r="E200" i="3"/>
  <c r="E69" i="3"/>
  <c r="E322" i="3"/>
  <c r="E400" i="3"/>
  <c r="E454" i="3"/>
  <c r="E77" i="3"/>
  <c r="E185" i="3"/>
  <c r="E384" i="3"/>
  <c r="E318" i="3"/>
  <c r="E395" i="3"/>
  <c r="E353" i="3"/>
  <c r="E462" i="3"/>
  <c r="E191" i="3"/>
  <c r="E514" i="3"/>
  <c r="E211" i="3"/>
  <c r="E227" i="3"/>
  <c r="K6" i="3"/>
  <c r="E134" i="3"/>
  <c r="E337" i="3"/>
  <c r="E477" i="3"/>
  <c r="E193" i="3"/>
  <c r="E558" i="3"/>
  <c r="E126" i="3"/>
  <c r="E243" i="3"/>
  <c r="E142" i="3"/>
  <c r="E242" i="3"/>
  <c r="E161" i="3"/>
  <c r="E201" i="3"/>
  <c r="E70" i="3"/>
  <c r="E362" i="3"/>
  <c r="E277" i="3"/>
  <c r="E180" i="3"/>
  <c r="E388" i="3"/>
  <c r="E515" i="3"/>
  <c r="E511" i="3"/>
  <c r="E32" i="3"/>
  <c r="E196" i="3"/>
  <c r="E251" i="3"/>
  <c r="F27" i="11"/>
  <c r="C29" i="11" s="1"/>
  <c r="D27" i="11" s="1"/>
  <c r="J10" i="39"/>
  <c r="W10" i="39" s="1"/>
  <c r="S10" i="39"/>
  <c r="F10" i="40"/>
  <c r="S10" i="40" s="1"/>
  <c r="M14" i="1"/>
  <c r="H10" i="39"/>
  <c r="U10" i="39" s="1"/>
  <c r="F1" i="67"/>
  <c r="H10" i="40"/>
  <c r="AB10" i="40" s="1"/>
  <c r="J10" i="40"/>
  <c r="AC10" i="40" s="1"/>
  <c r="F28" i="12"/>
  <c r="C29" i="12" s="1"/>
  <c r="D28" i="12" s="1"/>
  <c r="F45" i="69"/>
  <c r="C29" i="69"/>
  <c r="D27" i="69" s="1"/>
  <c r="E240" i="3"/>
  <c r="E296" i="3"/>
  <c r="E385" i="3"/>
  <c r="E445" i="3"/>
  <c r="E387" i="3"/>
  <c r="E431" i="3"/>
  <c r="E109" i="3"/>
  <c r="E489" i="3"/>
  <c r="E327" i="3"/>
  <c r="E214" i="3"/>
  <c r="E465" i="3"/>
  <c r="AK6" i="3"/>
  <c r="E495" i="3"/>
  <c r="E361" i="3"/>
  <c r="E561" i="3"/>
  <c r="E305" i="3"/>
  <c r="E27" i="3"/>
  <c r="E271" i="3"/>
  <c r="E433" i="3"/>
  <c r="E583" i="3"/>
  <c r="E396" i="3"/>
  <c r="E73" i="3"/>
  <c r="S6" i="3"/>
  <c r="E529" i="3"/>
  <c r="E552" i="3"/>
  <c r="E300" i="3"/>
  <c r="E369" i="3"/>
  <c r="E119" i="3"/>
  <c r="E423" i="3"/>
  <c r="E563" i="3"/>
  <c r="M6" i="3"/>
  <c r="E509" i="3"/>
  <c r="E377" i="3"/>
  <c r="E557" i="3"/>
  <c r="E89" i="3"/>
  <c r="E146" i="3"/>
  <c r="E472" i="3"/>
  <c r="E181" i="3"/>
  <c r="E350" i="3"/>
  <c r="E528" i="3"/>
  <c r="E533" i="3"/>
  <c r="E175" i="3"/>
  <c r="AS6" i="3"/>
  <c r="E549" i="3"/>
  <c r="E457" i="3"/>
  <c r="E61" i="3"/>
  <c r="E125" i="3"/>
  <c r="E330" i="3"/>
  <c r="E501" i="3"/>
  <c r="E461" i="3"/>
  <c r="E541" i="3"/>
  <c r="AT6" i="3"/>
  <c r="D26" i="43"/>
  <c r="C25" i="43" s="1"/>
  <c r="J5" i="67"/>
  <c r="J24" i="67" s="1"/>
  <c r="E60" i="40"/>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AR6" i="3"/>
  <c r="E410" i="3"/>
  <c r="E530" i="3"/>
  <c r="E331" i="3"/>
  <c r="E447" i="3"/>
  <c r="E478" i="3"/>
  <c r="E269" i="3"/>
  <c r="E351" i="3"/>
  <c r="E562" i="3"/>
  <c r="E99" i="3"/>
  <c r="E518" i="3"/>
  <c r="E320" i="3"/>
  <c r="N6" i="3"/>
  <c r="P6" i="3"/>
  <c r="E437" i="3"/>
  <c r="E221" i="3"/>
  <c r="E97" i="3"/>
  <c r="E367" i="3"/>
  <c r="E157" i="3"/>
  <c r="E464" i="3"/>
  <c r="E455" i="3"/>
  <c r="E452" i="3"/>
  <c r="E363" i="3"/>
  <c r="E51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439" i="3"/>
  <c r="E143" i="3"/>
  <c r="E508" i="3"/>
  <c r="E441" i="3"/>
  <c r="E162" i="3"/>
  <c r="E505" i="3"/>
  <c r="E585" i="3"/>
  <c r="E31" i="3"/>
  <c r="E72" i="3"/>
  <c r="E527" i="3"/>
  <c r="E253" i="3"/>
  <c r="E550" i="3"/>
  <c r="V6" i="3"/>
  <c r="E166" i="3"/>
  <c r="E394" i="3"/>
  <c r="E238" i="3"/>
  <c r="E338" i="3"/>
  <c r="E53" i="3"/>
  <c r="E357" i="3"/>
  <c r="E179" i="3"/>
  <c r="E155" i="3"/>
  <c r="E490" i="3"/>
  <c r="E264" i="3"/>
  <c r="E216" i="3"/>
  <c r="E538" i="3"/>
  <c r="E270" i="3"/>
  <c r="E555" i="3"/>
  <c r="E343" i="3"/>
  <c r="E44" i="3"/>
  <c r="E186" i="3"/>
  <c r="E476" i="3"/>
  <c r="E414" i="3"/>
  <c r="E107" i="3"/>
  <c r="E567" i="3"/>
  <c r="E279" i="3"/>
  <c r="E450" i="3"/>
  <c r="E573" i="3"/>
  <c r="E453" i="3"/>
  <c r="E578" i="3"/>
  <c r="E114" i="3"/>
  <c r="E151" i="3"/>
  <c r="E316" i="3"/>
  <c r="AG6" i="3"/>
  <c r="AE6" i="3"/>
  <c r="AA6" i="3"/>
  <c r="E237" i="3"/>
  <c r="E426" i="3"/>
  <c r="E71" i="3"/>
  <c r="E54" i="3"/>
  <c r="E413" i="3"/>
  <c r="E48" i="3"/>
  <c r="E147" i="3"/>
  <c r="E342" i="3"/>
  <c r="E129" i="3"/>
  <c r="E56" i="3"/>
  <c r="E63" i="39"/>
  <c r="E59" i="40"/>
  <c r="E519" i="3"/>
  <c r="E314" i="3"/>
  <c r="E293" i="3"/>
  <c r="E290" i="3"/>
  <c r="E130" i="3"/>
  <c r="E358" i="3"/>
  <c r="E553" i="3"/>
  <c r="E88" i="3"/>
  <c r="E236" i="3"/>
  <c r="E496" i="3"/>
  <c r="E120" i="3"/>
  <c r="E159" i="3"/>
  <c r="E298" i="3"/>
  <c r="E359" i="3"/>
  <c r="E291" i="3"/>
  <c r="U6" i="3"/>
  <c r="W6" i="3"/>
  <c r="E307" i="3"/>
  <c r="E542" i="3"/>
  <c r="E24" i="3"/>
  <c r="E339" i="3"/>
  <c r="E493" i="3"/>
  <c r="E140" i="3"/>
  <c r="E144" i="3"/>
  <c r="I3" i="6"/>
  <c r="E195" i="3"/>
  <c r="E47" i="3"/>
  <c r="E312" i="3"/>
  <c r="E218" i="3"/>
  <c r="E333" i="3"/>
  <c r="E83" i="3"/>
  <c r="E469" i="3"/>
  <c r="E332" i="3"/>
  <c r="E425" i="3"/>
  <c r="R6" i="3"/>
  <c r="E245" i="3"/>
  <c r="E260" i="3"/>
  <c r="E230" i="3"/>
  <c r="E559" i="3"/>
  <c r="E516" i="3"/>
  <c r="E30" i="3"/>
  <c r="E444" i="3"/>
  <c r="E164" i="3"/>
  <c r="E256" i="3"/>
  <c r="E424" i="3"/>
  <c r="E128" i="3"/>
  <c r="E402" i="3"/>
  <c r="E565" i="3"/>
  <c r="E506" i="3"/>
  <c r="O6" i="3"/>
  <c r="AM6" i="3"/>
  <c r="E403" i="3"/>
  <c r="E145" i="3"/>
  <c r="E208" i="3"/>
  <c r="E438" i="3"/>
  <c r="E352" i="3"/>
  <c r="E504" i="3"/>
  <c r="E459" i="3"/>
  <c r="E39" i="3"/>
  <c r="E297" i="3"/>
  <c r="E138" i="3"/>
  <c r="E51" i="3"/>
  <c r="E460" i="3"/>
  <c r="E50" i="3"/>
  <c r="E137" i="3"/>
  <c r="E202" i="3"/>
  <c r="E486" i="3"/>
  <c r="E370" i="3"/>
  <c r="E104" i="3"/>
  <c r="E534" i="3"/>
  <c r="E522" i="3"/>
  <c r="E21" i="3"/>
  <c r="E23" i="3"/>
  <c r="E76" i="3"/>
  <c r="E435" i="3"/>
  <c r="E199" i="3"/>
  <c r="E548" i="3"/>
  <c r="E93" i="3"/>
  <c r="E471" i="3"/>
  <c r="E313" i="3"/>
  <c r="E82" i="3"/>
  <c r="E154" i="3"/>
  <c r="E66" i="3"/>
  <c r="E341" i="3"/>
  <c r="E19" i="3"/>
  <c r="E500" i="3"/>
  <c r="E521" i="3"/>
  <c r="E101" i="3"/>
  <c r="E52" i="3"/>
  <c r="E43" i="3"/>
  <c r="E498" i="3"/>
  <c r="E223" i="3"/>
  <c r="E78" i="3"/>
  <c r="E360" i="3"/>
  <c r="E287" i="3"/>
  <c r="E75" i="3"/>
  <c r="E381" i="3"/>
  <c r="E103" i="3"/>
  <c r="E192" i="3"/>
  <c r="E53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398" i="3"/>
  <c r="E58" i="3"/>
  <c r="E250" i="3"/>
  <c r="E421" i="3"/>
  <c r="E446" i="3"/>
  <c r="E284" i="3"/>
  <c r="E582"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575" i="3"/>
  <c r="E449" i="3"/>
  <c r="E417" i="3"/>
  <c r="E241" i="3"/>
  <c r="E409" i="3"/>
  <c r="E267" i="3"/>
  <c r="E67" i="3"/>
  <c r="E63" i="3"/>
  <c r="E198" i="3"/>
  <c r="E18" i="3"/>
  <c r="E34" i="3"/>
  <c r="E22" i="3"/>
  <c r="E405" i="3"/>
  <c r="E497" i="3"/>
  <c r="E115" i="3"/>
  <c r="E220" i="3"/>
  <c r="E158" i="3"/>
  <c r="E105" i="3"/>
  <c r="E422" i="3"/>
  <c r="E401" i="3"/>
  <c r="E276" i="3"/>
  <c r="E473" i="3"/>
  <c r="E234" i="3"/>
  <c r="E112" i="3"/>
  <c r="E62" i="3"/>
  <c r="E141" i="3"/>
  <c r="E90" i="3"/>
  <c r="E65" i="3"/>
  <c r="E244" i="3"/>
  <c r="E520" i="3"/>
  <c r="E209" i="3"/>
  <c r="E149"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C49" i="67"/>
  <c r="Q73" i="67"/>
  <c r="F59" i="67"/>
  <c r="AY6" i="3"/>
  <c r="E3" i="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D56" i="71"/>
  <c r="T56" i="71"/>
  <c r="T40" i="71"/>
  <c r="D40" i="71"/>
  <c r="AA7" i="36"/>
  <c r="R36" i="36" s="1"/>
  <c r="V36" i="36"/>
  <c r="I36" i="36" s="1"/>
  <c r="T36" i="36"/>
  <c r="G36" i="36" s="1"/>
  <c r="G40" i="36" s="1"/>
  <c r="H40" i="36" s="1"/>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144" i="3"/>
  <c r="AY152" i="3"/>
  <c r="AY253" i="3"/>
  <c r="AY303" i="3"/>
  <c r="AY196" i="3"/>
  <c r="AY363" i="3"/>
  <c r="AY470" i="3"/>
  <c r="AY409" i="3"/>
  <c r="AY358" i="3"/>
  <c r="AY465" i="3"/>
  <c r="BK6" i="3"/>
  <c r="AY108" i="3"/>
  <c r="AY28" i="3"/>
  <c r="AY201" i="3"/>
  <c r="AY138" i="3"/>
  <c r="AY294" i="3"/>
  <c r="AY231" i="3"/>
  <c r="AY214" i="3"/>
  <c r="AY554" i="3"/>
  <c r="AY104" i="3"/>
  <c r="AY24" i="3"/>
  <c r="AY290" i="3"/>
  <c r="AY210" i="3"/>
  <c r="AY349" i="3"/>
  <c r="AY488" i="3"/>
  <c r="AY446" i="3"/>
  <c r="AY427" i="3"/>
  <c r="BF6" i="3"/>
  <c r="AY510" i="3"/>
  <c r="AY98" i="3"/>
  <c r="AY334" i="3"/>
  <c r="AY526" i="3"/>
  <c r="AY390" i="3"/>
  <c r="AY574" i="3"/>
  <c r="AY85" i="3"/>
  <c r="AY25" i="3"/>
  <c r="AY271" i="3"/>
  <c r="AY211" i="3"/>
  <c r="BI6" i="3"/>
  <c r="AY243" i="3"/>
  <c r="AY325" i="3"/>
  <c r="AY464" i="3"/>
  <c r="AY527" i="3"/>
  <c r="AY532" i="3"/>
  <c r="AY523" i="3"/>
  <c r="AY292" i="3"/>
  <c r="AY489" i="3"/>
  <c r="AY43" i="3"/>
  <c r="AY436" i="3"/>
  <c r="AY540" i="3"/>
  <c r="AY69" i="3"/>
  <c r="AY141" i="3"/>
  <c r="AY255" i="3"/>
  <c r="AY384" i="3"/>
  <c r="AY181" i="3"/>
  <c r="AY121" i="3"/>
  <c r="AY258" i="3"/>
  <c r="AY309" i="3"/>
  <c r="AY483" i="3"/>
  <c r="AY449" i="3"/>
  <c r="AY419" i="3"/>
  <c r="AY503"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48" i="15" s="1"/>
  <c r="C66" i="15" s="1"/>
  <c r="C10" i="15"/>
  <c r="C5" i="15" s="1"/>
  <c r="C38" i="15" s="1"/>
  <c r="M27" i="15"/>
  <c r="M27" i="67"/>
  <c r="F27" i="68"/>
  <c r="F41" i="15"/>
  <c r="AY66" i="3" l="1"/>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95" i="3"/>
  <c r="AY382" i="3"/>
  <c r="AY204" i="3"/>
  <c r="AY180" i="3"/>
  <c r="AY433" i="3"/>
  <c r="AY45" i="3"/>
  <c r="AY118" i="3"/>
  <c r="AY381" i="3"/>
  <c r="AY177" i="3"/>
  <c r="AY332" i="3"/>
  <c r="BM6" i="3"/>
  <c r="AY163" i="3"/>
  <c r="AY447" i="3"/>
  <c r="AY157" i="3"/>
  <c r="AY186" i="3"/>
  <c r="AY403" i="3"/>
  <c r="AY82" i="3"/>
  <c r="AY379" i="3"/>
  <c r="AY198" i="3"/>
  <c r="BB6" i="3"/>
  <c r="AY370"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34" i="3"/>
  <c r="AY541" i="3"/>
  <c r="AY228" i="3"/>
  <c r="AY74" i="3"/>
  <c r="AY111" i="3"/>
  <c r="H6" i="3"/>
  <c r="AA10" i="40"/>
  <c r="C29" i="68"/>
  <c r="D27" i="68" s="1"/>
  <c r="C47" i="68"/>
  <c r="D45" i="68" s="1"/>
  <c r="F45" i="68"/>
  <c r="C48" i="67"/>
  <c r="C66" i="67" s="1"/>
  <c r="AC6" i="3"/>
  <c r="F24" i="67"/>
  <c r="C24" i="67" s="1"/>
  <c r="F22" i="69"/>
  <c r="F41" i="69" s="1"/>
  <c r="F24" i="15"/>
  <c r="C24" i="15" s="1"/>
  <c r="F22" i="68"/>
  <c r="C26" i="68" s="1"/>
  <c r="D22" i="68" s="1"/>
  <c r="F25" i="12"/>
  <c r="C26" i="12" s="1"/>
  <c r="D25" i="12" s="1"/>
  <c r="F22" i="11"/>
  <c r="C24" i="11" s="1"/>
  <c r="I46" i="37"/>
  <c r="J46" i="37" s="1"/>
  <c r="G54" i="34"/>
  <c r="H54" i="34"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C17" i="67"/>
  <c r="C17" i="15"/>
  <c r="C14" i="67"/>
  <c r="D10" i="68"/>
  <c r="M19" i="9" l="1"/>
  <c r="C118" i="9" s="1"/>
  <c r="B2" i="74" s="1"/>
  <c r="C34" i="40"/>
  <c r="E6" i="3"/>
  <c r="H22" i="6"/>
  <c r="C60" i="67"/>
  <c r="C26" i="11"/>
  <c r="D22" i="11" s="1"/>
  <c r="C26" i="69"/>
  <c r="D22" i="69" s="1"/>
  <c r="C44" i="69"/>
  <c r="D41" i="69" s="1"/>
  <c r="C44" i="68"/>
  <c r="D41" i="68" s="1"/>
  <c r="F41" i="68"/>
  <c r="C44" i="11"/>
  <c r="D41" i="11" s="1"/>
  <c r="C25" i="11"/>
  <c r="C23"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E6" i="76"/>
  <c r="F34" i="40" l="1"/>
  <c r="J34" i="40"/>
  <c r="H34" i="40"/>
  <c r="H9" i="68"/>
  <c r="C8" i="68" s="1"/>
  <c r="B29" i="1"/>
  <c r="C18" i="12"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AB34" i="40" l="1"/>
  <c r="U34" i="40"/>
  <c r="AC34" i="40"/>
  <c r="W34" i="40"/>
  <c r="AA34" i="40"/>
  <c r="S34" i="40"/>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I38" i="15" s="1"/>
  <c r="O67" i="39"/>
  <c r="O69" i="39" s="1"/>
  <c r="N69" i="39"/>
  <c r="F7" i="39"/>
  <c r="C39" i="35"/>
  <c r="C38" i="35"/>
  <c r="N63" i="40"/>
  <c r="M65" i="40"/>
  <c r="E43" i="35"/>
  <c r="F43" i="35" s="1"/>
  <c r="E42" i="35"/>
  <c r="F42" i="35" s="1"/>
  <c r="I43" i="35"/>
  <c r="J43" i="35" s="1"/>
  <c r="L51" i="67"/>
  <c r="D2" i="33"/>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C6" i="68" s="1"/>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s="1"/>
  <c r="C52" i="68" s="1"/>
  <c r="B2" i="68" l="1"/>
  <c r="C57" i="68"/>
  <c r="C56" i="68" s="1"/>
  <c r="B3" i="68"/>
  <c r="C19" i="9"/>
  <c r="C20" i="9"/>
  <c r="C103" i="9" l="1"/>
  <c r="G20" i="9"/>
  <c r="C102" i="9"/>
  <c r="C21" i="9"/>
  <c r="G19" i="9"/>
  <c r="D22" i="9"/>
  <c r="G21" i="9" l="1"/>
  <c r="F34" i="9"/>
  <c r="C32" i="9"/>
  <c r="C35" i="9" s="1"/>
  <c r="D35" i="9"/>
  <c r="H118" i="9" l="1"/>
  <c r="H119" i="9" s="1"/>
  <c r="H5" i="52" s="1"/>
  <c r="H4" i="52"/>
  <c r="H101" i="9"/>
  <c r="D14" i="74" s="1"/>
  <c r="I118" i="9"/>
  <c r="C34" i="9"/>
  <c r="F118" i="9"/>
  <c r="D34" i="9"/>
  <c r="C104" i="9" l="1"/>
  <c r="D118" i="9"/>
  <c r="K118" i="9" s="1"/>
  <c r="F14" i="74"/>
  <c r="B5" i="74"/>
  <c r="D5" i="74" s="1"/>
  <c r="M48" i="9"/>
  <c r="D45" i="9"/>
  <c r="H107" i="9"/>
  <c r="G14" i="74" s="1"/>
  <c r="B6" i="74" s="1"/>
  <c r="D6" i="74" s="1"/>
  <c r="D5" i="53"/>
  <c r="G118" i="9"/>
  <c r="G4" i="52" s="1"/>
  <c r="B52" i="72" s="1"/>
  <c r="F4" i="52"/>
  <c r="B51" i="72" s="1"/>
  <c r="F119" i="9"/>
  <c r="F5" i="52" s="1"/>
  <c r="B53" i="72" s="1"/>
  <c r="I4" i="52"/>
  <c r="C105" i="9"/>
  <c r="H102" i="9"/>
  <c r="E14" i="74" s="1"/>
  <c r="D4" i="52"/>
  <c r="B47" i="72" s="1"/>
  <c r="D119" i="9"/>
  <c r="D5" i="52" s="1"/>
  <c r="B49" i="72" s="1"/>
  <c r="E118" i="9" l="1"/>
  <c r="E4" i="52" s="1"/>
  <c r="B48" i="72" s="1"/>
  <c r="B20" i="72"/>
  <c r="D6" i="53"/>
  <c r="B22" i="72" s="1"/>
  <c r="H108" i="9"/>
  <c r="D122" i="9"/>
  <c r="D13" i="53"/>
  <c r="M49" i="9"/>
  <c r="C5" i="74"/>
  <c r="D7" i="53"/>
  <c r="B21" i="72" s="1"/>
  <c r="D55" i="9"/>
  <c r="M53" i="9" s="1"/>
  <c r="C93" i="9"/>
  <c r="C86" i="9" s="1"/>
  <c r="C85" i="9"/>
  <c r="D53" i="9"/>
  <c r="D48" i="9" s="1"/>
  <c r="M52" i="9" s="1"/>
  <c r="D52" i="9"/>
  <c r="C78" i="9"/>
  <c r="C73" i="9" s="1"/>
  <c r="C72" i="9"/>
  <c r="C64" i="9"/>
  <c r="C63" i="9" s="1"/>
  <c r="C67" i="9" s="1"/>
  <c r="D123" i="9" l="1"/>
  <c r="D9" i="52" s="1"/>
  <c r="D8" i="52"/>
  <c r="D59" i="9"/>
  <c r="M55" i="9" s="1"/>
  <c r="C68" i="9"/>
  <c r="D54" i="9" s="1"/>
  <c r="C79" i="9"/>
  <c r="C95" i="9"/>
  <c r="C6" i="74"/>
  <c r="D15" i="53"/>
  <c r="B31" i="72" s="1"/>
  <c r="L68" i="9"/>
  <c r="M68" i="9" s="1"/>
  <c r="L63" i="9"/>
  <c r="M63" i="9" s="1"/>
  <c r="L65" i="9"/>
  <c r="M65" i="9" s="1"/>
  <c r="L64" i="9"/>
  <c r="M64" i="9" s="1"/>
  <c r="L67" i="9"/>
  <c r="M67" i="9" s="1"/>
  <c r="L66" i="9"/>
  <c r="M66" i="9" s="1"/>
  <c r="D14" i="53"/>
  <c r="B32" i="72" s="1"/>
  <c r="B30" i="72"/>
  <c r="C80" i="9" l="1"/>
  <c r="E80" i="9" s="1"/>
  <c r="E81" i="9" s="1"/>
  <c r="C81" i="9"/>
  <c r="M69" i="9"/>
  <c r="N69" i="9" s="1"/>
  <c r="C96" i="9"/>
  <c r="E96" i="9" s="1"/>
  <c r="E97" i="9" s="1"/>
  <c r="C97" i="9" l="1"/>
  <c r="D58" i="9" s="1"/>
  <c r="D56" i="9" s="1"/>
  <c r="M54" i="9" s="1"/>
  <c r="N57" i="9" s="1"/>
  <c r="P57" i="9" l="1"/>
  <c r="N59" i="9"/>
  <c r="N58" i="9"/>
  <c r="N60" i="9" l="1"/>
  <c r="N61" i="9"/>
  <c r="H112" i="9" s="1"/>
  <c r="H111" i="9"/>
  <c r="I14" i="74" s="1"/>
  <c r="B8" i="74" s="1"/>
  <c r="D8" i="74" s="1"/>
  <c r="D19" i="53" l="1"/>
  <c r="D126" i="9"/>
  <c r="C8" i="74"/>
  <c r="D21" i="53"/>
  <c r="B39" i="72" s="1"/>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<sst xmlns="http://schemas.openxmlformats.org/spreadsheetml/2006/main" count="8228" uniqueCount="3641">
  <si>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</si>
  <si>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</si>
  <si>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</si>
  <si>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</si>
  <si>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</si>
  <si>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</si>
  <si>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</si>
  <si>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</si>
  <si>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</si>
  <si>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</si>
  <si>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</si>
  <si>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</si>
  <si>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</si>
  <si>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</si>
  <si>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</si>
  <si>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</si>
  <si>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</si>
  <si>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</si>
  <si>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</si>
  <si>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</si>
  <si>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</si>
  <si>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</si>
  <si>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</si>
  <si>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</si>
  <si>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</si>
  <si>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</si>
  <si>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</si>
  <si>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</si>
  <si>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</si>
  <si>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</si>
  <si>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</si>
  <si>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</si>
  <si>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</si>
  <si>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</si>
  <si>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</si>
  <si>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</si>
  <si>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</si>
  <si>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</si>
  <si>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</si>
  <si>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</si>
  <si>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</si>
  <si>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</si>
  <si>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</si>
  <si>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</si>
  <si>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</si>
  <si>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</si>
  <si>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</si>
  <si>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</si>
  <si>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</si>
  <si>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</si>
  <si>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</si>
  <si>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</si>
  <si>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</si>
  <si>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</si>
  <si>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</si>
  <si>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</si>
  <si>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</si>
  <si>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</si>
  <si>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</si>
  <si>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</si>
  <si>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</si>
  <si>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</si>
  <si>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</si>
  <si>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</si>
  <si>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</si>
  <si>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</si>
  <si>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</si>
  <si>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</si>
  <si>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</si>
  <si>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</si>
  <si>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</si>
  <si>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</si>
  <si>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</si>
  <si>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</si>
  <si>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</si>
  <si>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</si>
  <si>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</si>
  <si>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</si>
  <si>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</si>
  <si>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</si>
  <si>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</si>
  <si>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</si>
  <si>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</si>
  <si>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</si>
  <si>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</si>
  <si>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</si>
  <si>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</si>
  <si>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</si>
  <si>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</si>
  <si>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</si>
  <si>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</si>
  <si>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</si>
  <si>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</si>
  <si>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</si>
  <si>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</si>
  <si>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</si>
  <si>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</si>
  <si>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</si>
  <si>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</si>
  <si>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</si>
  <si>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</si>
  <si>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</si>
  <si>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</si>
  <si>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</si>
  <si>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</si>
  <si>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</si>
  <si>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</si>
  <si>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</si>
  <si>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</si>
  <si>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</si>
  <si>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</si>
  <si>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</si>
  <si>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</si>
  <si>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</si>
  <si>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</si>
  <si>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</si>
  <si>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</si>
  <si>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</si>
  <si>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</si>
  <si>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</si>
  <si>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</si>
  <si>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</si>
  <si>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</si>
  <si>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</si>
  <si>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</si>
  <si>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</si>
  <si>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</si>
  <si>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</si>
  <si>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</si>
  <si>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</si>
  <si>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</si>
  <si>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</si>
  <si>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</si>
  <si>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</si>
  <si>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</si>
  <si>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</si>
  <si>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</si>
  <si>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</si>
  <si>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</si>
  <si>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</si>
  <si>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</si>
  <si>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</si>
  <si>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</si>
  <si>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</si>
  <si>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</si>
  <si>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</si>
  <si>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</si>
  <si>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</si>
  <si>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</si>
  <si>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</si>
  <si>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</si>
  <si>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</si>
  <si>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</si>
  <si>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</si>
  <si>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</si>
  <si>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</si>
  <si>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</si>
  <si>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</si>
  <si>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</si>
  <si>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</si>
  <si>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</si>
  <si>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</si>
  <si>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</si>
  <si>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</si>
  <si>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</si>
  <si>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</si>
  <si>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</si>
  <si>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</si>
  <si>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</si>
  <si>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</si>
  <si>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</si>
  <si>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</si>
  <si>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</si>
  <si>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</si>
  <si>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</si>
  <si>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</si>
  <si>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</si>
  <si>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</si>
  <si>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</si>
  <si>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</si>
  <si>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</si>
  <si>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</si>
  <si>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</si>
  <si>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</si>
  <si>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</si>
  <si>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</si>
  <si>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</si>
  <si>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</si>
  <si>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</si>
  <si>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</si>
  <si>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</si>
  <si>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</si>
  <si>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</si>
  <si>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</si>
  <si>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</si>
  <si>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</si>
  <si>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</si>
  <si>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</si>
  <si>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</si>
  <si>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</si>
  <si>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</si>
  <si>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</si>
  <si>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</si>
  <si>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</si>
  <si>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</si>
  <si>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</si>
  <si>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</si>
  <si>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</si>
  <si>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</si>
  <si>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</si>
  <si>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</si>
  <si>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</si>
  <si>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</si>
  <si>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</si>
  <si>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</si>
  <si>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</si>
  <si>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</si>
  <si>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</si>
  <si>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</si>
  <si>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</si>
  <si>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</si>
  <si>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</si>
  <si>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</si>
  <si>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</si>
  <si>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</si>
  <si>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</si>
  <si>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</si>
  <si>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</si>
  <si>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</si>
  <si>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</si>
  <si>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</si>
  <si>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</si>
  <si>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</si>
  <si>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</si>
  <si>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</si>
  <si>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</si>
  <si>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</si>
  <si>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</si>
  <si>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</si>
  <si>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</si>
  <si>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</si>
  <si>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</si>
  <si>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</si>
  <si>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</si>
  <si>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</si>
  <si>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</si>
  <si>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</si>
  <si>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</si>
  <si>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</si>
  <si>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</si>
  <si>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</si>
  <si>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</si>
  <si>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</si>
  <si>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</si>
  <si>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</si>
  <si>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</si>
  <si>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</si>
  <si>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</si>
  <si>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</si>
  <si>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</si>
  <si>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</si>
  <si>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</si>
  <si>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</si>
  <si>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</si>
  <si>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</si>
  <si>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</si>
  <si>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</si>
  <si>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</si>
  <si>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</si>
  <si>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</si>
  <si>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</si>
  <si>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</si>
  <si>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</si>
  <si>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</si>
  <si>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</si>
  <si>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</si>
  <si>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</si>
  <si>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</si>
  <si>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</si>
  <si>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</si>
  <si>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</si>
  <si>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</si>
  <si>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</si>
  <si>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</si>
  <si>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</si>
  <si>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</si>
  <si>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</si>
  <si>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</si>
  <si>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</si>
  <si>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</si>
  <si>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</si>
  <si>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</si>
  <si>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</si>
  <si>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</si>
  <si>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</si>
  <si>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</si>
  <si>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</si>
  <si>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</si>
  <si>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</si>
  <si>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</si>
  <si>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</si>
  <si>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</si>
  <si>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</si>
  <si>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</si>
  <si>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</si>
  <si>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</si>
  <si>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</si>
  <si>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</si>
  <si>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</si>
  <si>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</si>
  <si>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</si>
  <si>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</si>
  <si>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</si>
  <si>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</si>
  <si>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</si>
  <si>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</si>
  <si>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</si>
  <si>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</si>
  <si>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</si>
  <si>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</si>
  <si>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</si>
  <si>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</si>
  <si>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</si>
  <si>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</si>
  <si>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</si>
  <si>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</si>
  <si>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</si>
  <si>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</si>
  <si>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</si>
  <si>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</si>
  <si>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</si>
  <si>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</si>
  <si>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</si>
  <si>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</si>
  <si>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</si>
  <si>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</si>
  <si>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</si>
  <si>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</si>
  <si>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</si>
  <si>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</si>
  <si>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</si>
  <si>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</si>
  <si>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</si>
  <si>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</si>
  <si>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</si>
  <si>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</si>
  <si>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</si>
  <si>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</si>
  <si>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</si>
  <si>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</si>
  <si>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</si>
  <si>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</si>
  <si>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</si>
  <si>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</si>
  <si>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</si>
  <si>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</si>
  <si>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</si>
  <si>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</si>
  <si>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</si>
  <si>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</si>
  <si>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</si>
  <si>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</si>
  <si>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</si>
  <si>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</si>
  <si>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</si>
  <si>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</si>
  <si>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</si>
  <si>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</si>
  <si>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</si>
  <si>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</si>
  <si>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</si>
  <si>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</si>
  <si>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</si>
  <si>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</si>
  <si>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</si>
  <si>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</si>
  <si>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</si>
  <si>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</si>
  <si>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</si>
  <si>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</si>
  <si>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</si>
  <si>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</si>
  <si>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</si>
  <si>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</si>
  <si>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</si>
  <si>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</si>
  <si>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</si>
  <si>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</si>
  <si>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</si>
  <si>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</si>
  <si>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</si>
  <si>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</si>
  <si>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</si>
  <si>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</si>
  <si>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</si>
  <si>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</si>
  <si>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</si>
  <si>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</si>
  <si>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</si>
  <si>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</si>
  <si>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</si>
  <si>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</si>
  <si>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</si>
  <si>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</si>
  <si>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</si>
  <si>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</si>
  <si>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</si>
  <si>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</si>
  <si>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</si>
  <si>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</si>
  <si>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</si>
  <si>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</si>
  <si>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</si>
  <si>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</si>
  <si>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</si>
  <si>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</si>
  <si>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</si>
  <si>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</si>
  <si>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</si>
  <si>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</si>
  <si>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</si>
  <si>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</si>
  <si>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</si>
  <si>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</si>
  <si>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</si>
  <si>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</si>
  <si>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</si>
  <si>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</si>
  <si>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</si>
  <si>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</si>
  <si>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</si>
  <si>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</si>
  <si>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</si>
  <si>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</si>
  <si>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</si>
  <si>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</si>
  <si>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</si>
  <si>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</si>
  <si>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</si>
  <si>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</si>
  <si>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</si>
  <si>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</si>
  <si>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</si>
  <si>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</si>
  <si>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</si>
  <si>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</si>
  <si>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</si>
  <si>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</si>
  <si>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</si>
  <si>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</si>
  <si>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</si>
  <si>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</si>
  <si>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</si>
  <si>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</si>
  <si>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</si>
  <si>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</si>
  <si>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</si>
  <si>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</si>
  <si>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</si>
  <si>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</si>
  <si>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</si>
  <si>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</si>
  <si>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</si>
  <si>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</si>
  <si>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</si>
  <si>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</si>
  <si>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</si>
  <si>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</si>
  <si>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</si>
  <si>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</si>
  <si>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</si>
  <si>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</si>
  <si>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</si>
  <si>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</si>
  <si>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</si>
  <si>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</si>
  <si>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</si>
  <si>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</si>
  <si>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</si>
  <si>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</si>
  <si>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</si>
  <si>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</si>
  <si>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</si>
  <si>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</si>
  <si>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</si>
  <si>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</si>
  <si>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</si>
  <si>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</si>
  <si>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</si>
  <si>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</si>
  <si>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</si>
  <si>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</si>
  <si>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</si>
  <si>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</si>
  <si>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</si>
  <si>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</si>
  <si>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</si>
  <si>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</si>
  <si>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</si>
  <si>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</si>
  <si>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</si>
  <si>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</si>
  <si>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</si>
  <si>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</si>
  <si>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</si>
  <si>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</si>
  <si>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</si>
  <si>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</si>
  <si>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</si>
  <si>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</si>
  <si>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</si>
  <si>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</si>
  <si>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</si>
  <si>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</si>
  <si>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</si>
  <si>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</si>
  <si>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</si>
  <si>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</si>
  <si>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</si>
  <si>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</si>
  <si>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</si>
  <si>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</si>
  <si>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</si>
  <si>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</si>
  <si>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</si>
  <si>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</si>
  <si>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</si>
  <si>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</si>
  <si>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</si>
  <si>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</si>
  <si>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</si>
  <si>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</si>
  <si>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</si>
  <si>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</si>
  <si>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</si>
  <si>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</si>
  <si>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</si>
  <si>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</si>
  <si>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</si>
  <si>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</si>
  <si>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</si>
  <si>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</si>
  <si>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</si>
  <si>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</si>
  <si>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</si>
  <si>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</si>
  <si>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</si>
  <si>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</si>
  <si>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</si>
  <si>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</si>
  <si>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</si>
  <si>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</si>
  <si>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</si>
  <si>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</si>
  <si>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</si>
  <si>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</si>
  <si>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</si>
  <si>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</si>
  <si>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</si>
  <si>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</si>
  <si>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</si>
  <si>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</si>
  <si>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</si>
  <si>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</si>
  <si>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</si>
  <si>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</si>
  <si>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</si>
  <si>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</si>
  <si>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</si>
  <si>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</si>
  <si>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</si>
  <si>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</si>
  <si>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</si>
  <si>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</si>
  <si>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</si>
  <si>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</si>
  <si>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</si>
  <si>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</si>
  <si>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</si>
  <si>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</si>
  <si>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</si>
  <si>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</si>
  <si>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</si>
  <si>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</si>
  <si>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</si>
  <si>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</si>
  <si>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</si>
  <si>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</si>
  <si>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</si>
  <si>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</si>
  <si>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</si>
  <si>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</si>
  <si>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</si>
  <si>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</si>
  <si>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</si>
  <si>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</si>
  <si>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</si>
  <si>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</si>
  <si>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</si>
  <si>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</si>
  <si>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</si>
  <si>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</si>
  <si>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</si>
  <si>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</si>
  <si>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</si>
  <si>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</si>
  <si>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</si>
  <si>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</si>
  <si>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</si>
  <si>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</si>
  <si>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</si>
  <si>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</si>
  <si>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</si>
  <si>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</si>
  <si>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</si>
  <si>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</si>
  <si>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</si>
  <si>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</si>
  <si>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</si>
  <si>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</si>
  <si>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</si>
  <si>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</si>
  <si>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</si>
  <si>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</si>
  <si>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</si>
  <si>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</si>
  <si>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</si>
  <si>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</si>
  <si>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</si>
  <si>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</si>
  <si>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</si>
  <si>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</si>
  <si>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</si>
  <si>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</si>
  <si>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</si>
  <si>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</si>
  <si>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</si>
  <si>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</si>
  <si>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</si>
  <si>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</si>
  <si>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</si>
  <si>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</si>
  <si>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</si>
  <si>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</si>
  <si>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</si>
  <si>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</si>
  <si>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</si>
  <si>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</si>
  <si>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</si>
  <si>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</si>
  <si>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</si>
  <si>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</si>
  <si>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</si>
  <si>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</si>
  <si>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</si>
  <si>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</si>
  <si>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</si>
  <si>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</si>
  <si>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</si>
  <si>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</si>
  <si>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</si>
  <si>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</si>
  <si>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</si>
  <si>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</si>
  <si>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</si>
  <si>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</si>
  <si>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</si>
  <si>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</si>
  <si>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</si>
  <si>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</si>
  <si>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</si>
  <si>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</si>
  <si>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</si>
  <si>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</si>
  <si>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</si>
  <si>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</si>
  <si>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</si>
  <si>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</si>
  <si>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</si>
  <si>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</si>
  <si>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</si>
  <si>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</si>
  <si>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</si>
  <si>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</si>
  <si>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</si>
  <si>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</si>
  <si>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</si>
  <si>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</si>
  <si>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</si>
  <si>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</si>
  <si>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</si>
  <si>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</si>
  <si>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</si>
  <si>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</si>
  <si>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</si>
  <si>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</si>
  <si>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</si>
  <si>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</si>
  <si>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</si>
  <si>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</si>
  <si>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</si>
  <si>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</si>
  <si>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</si>
  <si>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</si>
  <si>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</si>
  <si>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</si>
  <si>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</si>
  <si>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</si>
  <si>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</si>
  <si>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</si>
  <si>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</si>
  <si>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</si>
  <si>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</si>
  <si>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</si>
  <si>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</si>
  <si>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</si>
  <si>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</si>
  <si>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</si>
  <si>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</si>
  <si>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</si>
  <si>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</si>
  <si>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</si>
  <si>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</si>
  <si>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</si>
  <si>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</si>
  <si>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</si>
  <si>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</si>
  <si>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</si>
  <si>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</si>
  <si>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</si>
  <si>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</si>
  <si>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</si>
  <si>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</si>
  <si>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</si>
  <si>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</si>
  <si>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</si>
  <si>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</si>
  <si>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</si>
  <si>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</si>
  <si>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</si>
  <si>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</si>
  <si>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</si>
  <si>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</si>
  <si>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</si>
  <si>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</si>
  <si>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</si>
  <si>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</si>
  <si>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</si>
  <si>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</si>
  <si>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</si>
  <si>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</si>
  <si>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</si>
  <si>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</si>
  <si>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</si>
  <si>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</si>
  <si>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</si>
  <si>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</si>
  <si>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</si>
  <si>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</si>
  <si>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</si>
  <si>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</si>
  <si>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</si>
  <si>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</si>
  <si>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</si>
  <si>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</si>
  <si>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</si>
  <si>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</si>
  <si>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</si>
  <si>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</si>
  <si>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</si>
  <si>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</si>
  <si>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</si>
  <si>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</si>
  <si>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</si>
  <si>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</si>
  <si>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</si>
  <si>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</si>
  <si>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</si>
  <si>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</si>
  <si>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</si>
  <si>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</si>
  <si>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</si>
  <si>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</si>
  <si>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</si>
  <si>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</si>
  <si>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</si>
  <si>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</si>
  <si>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</si>
  <si>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</si>
  <si>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</si>
  <si>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</si>
  <si>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</si>
  <si>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</si>
  <si>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</si>
  <si>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</si>
  <si>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</si>
  <si>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</si>
  <si>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</si>
  <si>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</si>
  <si>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</si>
  <si>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</si>
  <si>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</si>
  <si>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</si>
  <si>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</si>
  <si>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</si>
  <si>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</si>
  <si>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</si>
  <si>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</si>
  <si>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</si>
  <si>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</si>
  <si>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</si>
  <si>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</si>
  <si>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</si>
  <si>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</si>
  <si>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</si>
  <si>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</si>
  <si>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</si>
  <si>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</si>
  <si>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</si>
  <si>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</si>
  <si>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</si>
  <si>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</si>
  <si>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</si>
  <si>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</si>
  <si>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</si>
  <si>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</si>
  <si>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</si>
  <si>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</si>
  <si>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</si>
  <si>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</si>
  <si>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</si>
  <si>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</si>
  <si>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</si>
  <si>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</si>
  <si>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</si>
  <si>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</si>
  <si>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</si>
  <si>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</si>
  <si>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</si>
  <si>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</si>
  <si>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</si>
  <si>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</si>
  <si>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</si>
  <si>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</si>
  <si>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</si>
  <si>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</si>
  <si>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</si>
  <si>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</si>
  <si>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</si>
  <si>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</si>
  <si>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</si>
  <si>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</si>
  <si>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</si>
  <si>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</si>
  <si>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</si>
  <si>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</si>
  <si>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</si>
  <si>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</si>
  <si>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</si>
  <si>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</si>
  <si>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</si>
  <si>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</si>
  <si>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</si>
  <si>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</si>
  <si>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</si>
  <si>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</si>
  <si>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</si>
  <si>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</si>
  <si>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</si>
  <si>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</si>
  <si>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</si>
  <si>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</si>
  <si>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</si>
  <si>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</si>
  <si>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</si>
  <si>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</si>
  <si>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</si>
  <si>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</si>
  <si>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</si>
  <si>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</si>
  <si>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</si>
  <si>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</si>
  <si>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</si>
  <si>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</si>
  <si>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</si>
  <si>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</si>
  <si>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</si>
  <si>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</si>
  <si>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</si>
  <si>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</si>
  <si>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</si>
  <si>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</si>
  <si>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</si>
  <si>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</si>
  <si>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</si>
  <si>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</si>
  <si>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</si>
  <si>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</si>
  <si>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</si>
  <si>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</si>
  <si>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</si>
  <si>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</si>
  <si>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</si>
  <si>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</si>
  <si>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</si>
  <si>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</si>
  <si>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</si>
  <si>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</si>
  <si>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</si>
  <si>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</si>
  <si>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</si>
  <si>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</si>
  <si>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</si>
  <si>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</si>
  <si>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</si>
  <si>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</si>
  <si>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</si>
  <si>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</si>
  <si>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</si>
  <si>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</si>
  <si>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</si>
  <si>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</si>
  <si>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</si>
  <si>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</si>
  <si>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</si>
  <si>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</si>
  <si>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</si>
  <si>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</si>
  <si>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</si>
  <si>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</si>
  <si>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</si>
  <si>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</si>
  <si>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</si>
  <si>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</si>
  <si>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</si>
  <si>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</si>
  <si>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</si>
  <si>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</si>
  <si>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</si>
  <si>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</si>
  <si>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</si>
  <si>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</si>
  <si>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</si>
  <si>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</si>
  <si>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</si>
  <si>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</si>
  <si>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</si>
  <si>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</si>
  <si>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</si>
  <si>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</si>
  <si>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</si>
  <si>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</si>
  <si>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</si>
  <si>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</si>
  <si>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</si>
  <si>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</si>
  <si>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</si>
  <si>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</si>
  <si>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</si>
  <si>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</si>
  <si>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</si>
  <si>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</si>
  <si>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</si>
  <si>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</si>
  <si>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</si>
  <si>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</si>
  <si>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</si>
  <si>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</si>
  <si>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</si>
  <si>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</si>
  <si>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</si>
  <si>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</si>
  <si>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</si>
  <si>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</si>
  <si>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</si>
  <si>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</si>
  <si>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</si>
  <si>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</si>
  <si>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</si>
  <si>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</si>
  <si>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</si>
  <si>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</si>
  <si>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</si>
  <si>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</si>
  <si>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</si>
  <si>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</si>
  <si>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</si>
  <si>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</si>
  <si>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</si>
  <si>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</si>
  <si>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</si>
  <si>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</si>
  <si>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</si>
  <si>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</si>
  <si>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</si>
  <si>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</si>
  <si>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</si>
  <si>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</si>
  <si>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</si>
  <si>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</si>
  <si>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</si>
  <si>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</si>
  <si>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</si>
  <si>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</si>
  <si>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</si>
  <si>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</si>
  <si>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</si>
  <si>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</si>
  <si>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</si>
  <si>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</si>
  <si>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</si>
  <si>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</si>
  <si>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</si>
  <si>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</si>
  <si>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</si>
  <si>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</si>
  <si>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</si>
  <si>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</si>
  <si>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</si>
  <si>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</si>
  <si>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</si>
  <si>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</si>
  <si>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</si>
  <si>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</si>
  <si>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</si>
  <si>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</si>
  <si>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</si>
  <si>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</si>
  <si>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</si>
  <si>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</si>
  <si>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</si>
  <si>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</si>
  <si>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</si>
  <si>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</si>
  <si>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</si>
  <si>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</si>
  <si>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</si>
  <si>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</si>
  <si>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</si>
  <si>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</si>
  <si>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</si>
  <si>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</si>
  <si>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</si>
  <si>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</si>
  <si>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</si>
  <si>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</si>
  <si>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</si>
  <si>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</si>
  <si>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</si>
  <si>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</si>
  <si>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</si>
  <si>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</si>
  <si>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</si>
  <si>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</si>
  <si>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</si>
  <si>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</si>
  <si>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</si>
  <si>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</si>
  <si>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</si>
  <si>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</si>
  <si>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</si>
  <si>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</si>
  <si>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</si>
  <si>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</si>
  <si>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</si>
  <si>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</si>
  <si>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</si>
  <si>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</si>
  <si>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</si>
  <si>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</si>
  <si>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</si>
  <si>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</si>
  <si>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</si>
  <si>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</si>
  <si>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</si>
  <si>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</si>
  <si>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</si>
  <si>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</si>
  <si>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</si>
  <si>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</si>
  <si>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</si>
  <si>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</si>
  <si>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</si>
  <si>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</si>
  <si>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</si>
  <si>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</si>
  <si>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</si>
  <si>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</si>
  <si>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</si>
  <si>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</si>
  <si>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</si>
  <si>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</si>
  <si>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</si>
  <si>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</si>
  <si>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</si>
  <si>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</si>
  <si>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</si>
  <si>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</si>
  <si>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</si>
  <si>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</si>
  <si>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</si>
  <si>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</si>
  <si>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</si>
  <si>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</si>
  <si>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</si>
  <si>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</si>
  <si>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</si>
  <si>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</si>
  <si>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</si>
  <si>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</si>
  <si>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</si>
  <si>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</si>
  <si>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</si>
  <si>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</si>
  <si>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</si>
  <si>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</si>
  <si>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</si>
  <si>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</si>
  <si>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</si>
  <si>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</si>
  <si>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</si>
  <si>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</si>
  <si>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</si>
  <si>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</si>
  <si>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</si>
  <si>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</si>
  <si>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</si>
  <si>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</si>
  <si>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</si>
  <si>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</si>
  <si>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</si>
  <si>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</si>
  <si>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</si>
  <si>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</si>
  <si>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</si>
  <si>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</si>
  <si>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</si>
  <si>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</si>
  <si>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</si>
  <si>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</si>
  <si>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</si>
  <si>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</si>
  <si>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</si>
  <si>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</si>
  <si>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</si>
  <si>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</si>
  <si>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</si>
  <si>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</si>
  <si>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</si>
  <si>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</si>
  <si>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</si>
  <si>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</si>
  <si>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</si>
  <si>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</si>
  <si>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</si>
  <si>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</si>
  <si>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</si>
  <si>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</si>
  <si>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</si>
  <si>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</si>
  <si>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</si>
  <si>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</si>
  <si>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</si>
  <si>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</si>
  <si>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</si>
  <si>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</si>
  <si>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</si>
  <si>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</si>
  <si>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</si>
  <si>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</si>
  <si>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</si>
  <si>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</si>
  <si>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</si>
  <si>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</si>
  <si>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</si>
  <si>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</si>
  <si>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</si>
  <si>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</si>
  <si>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</si>
  <si>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</si>
  <si>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</si>
  <si>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</si>
  <si>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</si>
  <si>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</si>
  <si>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</si>
  <si>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</si>
  <si>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</si>
  <si>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</si>
  <si>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</si>
  <si>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</si>
  <si>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</si>
  <si>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</si>
  <si>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</si>
  <si>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</si>
  <si>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</si>
  <si>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</si>
  <si>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</si>
  <si>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</si>
  <si>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</si>
  <si>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</si>
  <si>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</si>
  <si>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</si>
  <si>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</si>
  <si>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</si>
  <si>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</si>
  <si>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</si>
  <si>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</si>
  <si>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</si>
  <si>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</si>
  <si>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</si>
  <si>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</si>
  <si>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</si>
  <si>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</si>
  <si>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</si>
  <si>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</si>
  <si>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</si>
  <si>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</si>
  <si>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</si>
  <si>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</si>
  <si>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</si>
  <si>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</si>
  <si>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</si>
  <si>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</si>
  <si>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</si>
  <si>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</si>
  <si>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</si>
  <si>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</si>
  <si>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</si>
  <si>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</si>
  <si>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</si>
  <si>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</si>
  <si>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</si>
  <si>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</si>
  <si>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</si>
  <si>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</si>
  <si>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</si>
  <si>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</si>
  <si>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</si>
  <si>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</si>
  <si>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</si>
  <si>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</si>
  <si>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</si>
  <si>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</si>
  <si>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</si>
  <si>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</si>
  <si>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</si>
  <si>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</si>
  <si>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</si>
  <si>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</si>
  <si>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</si>
  <si>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</si>
  <si>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</si>
  <si>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</si>
  <si>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</si>
  <si>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</si>
  <si>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</si>
  <si>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</si>
  <si>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</si>
  <si>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</si>
  <si>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</si>
  <si>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</si>
  <si>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</si>
  <si>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</si>
  <si>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</si>
  <si>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</si>
  <si>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</si>
  <si>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</si>
  <si>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</si>
  <si>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</si>
  <si>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</si>
  <si>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</si>
  <si>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</si>
  <si>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</si>
  <si>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</si>
  <si>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</si>
  <si>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</si>
  <si>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</si>
  <si>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</si>
  <si>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</si>
  <si>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</si>
  <si>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</si>
  <si>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</si>
  <si>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</si>
  <si>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</si>
  <si>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</si>
  <si>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</si>
  <si>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</si>
  <si>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</si>
  <si>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</si>
  <si>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</si>
  <si>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</si>
  <si>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</si>
  <si>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</si>
  <si>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</si>
  <si>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</si>
  <si>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</si>
  <si>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</si>
  <si>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</si>
  <si>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</si>
  <si>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</si>
  <si>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</si>
  <si>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</si>
  <si>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</si>
  <si>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</si>
  <si>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</si>
  <si>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</si>
  <si>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</si>
  <si>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</si>
  <si>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</si>
  <si>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</si>
  <si>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</si>
  <si>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</si>
  <si>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</si>
  <si>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</si>
  <si>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</si>
  <si>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</si>
  <si>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</si>
  <si>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</si>
  <si>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</si>
  <si>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</si>
  <si>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</si>
  <si>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</si>
  <si>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</si>
  <si>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</si>
  <si>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</si>
  <si>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</si>
  <si>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</si>
  <si>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</si>
  <si>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</si>
  <si>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</si>
  <si>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</si>
  <si>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</si>
  <si>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</si>
  <si>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</si>
  <si>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</si>
  <si>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</si>
  <si>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</si>
  <si>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</si>
  <si>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</si>
  <si>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</si>
  <si>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</si>
  <si>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</si>
  <si>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</si>
  <si>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</si>
  <si>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</si>
  <si>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</si>
  <si>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</si>
  <si>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</si>
  <si>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</si>
  <si>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</si>
  <si>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</si>
  <si>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</si>
  <si>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</si>
  <si>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</si>
  <si>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</si>
  <si>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</si>
  <si>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</si>
  <si>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</si>
  <si>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</si>
  <si>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</si>
  <si>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</si>
  <si>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</si>
  <si>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</si>
  <si>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</si>
  <si>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</si>
  <si>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</si>
  <si>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</si>
  <si>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</si>
  <si>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</si>
  <si>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</si>
  <si>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</si>
  <si>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</si>
  <si>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</si>
  <si>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</si>
  <si>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</si>
  <si>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</si>
  <si>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</si>
  <si>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</si>
  <si>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</si>
  <si>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</si>
  <si>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</si>
  <si>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</si>
  <si>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</si>
  <si>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</si>
  <si>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</si>
  <si>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</si>
  <si>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</si>
  <si>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</si>
  <si>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</si>
  <si>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</si>
  <si>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</si>
  <si>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</si>
  <si>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</si>
  <si>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</si>
  <si>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</si>
  <si>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</si>
  <si>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</si>
  <si>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</si>
  <si>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</si>
  <si>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</si>
  <si>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</si>
  <si>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</si>
  <si>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</si>
  <si>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</si>
  <si>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</si>
  <si>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</si>
  <si>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</si>
  <si>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</si>
  <si>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</si>
  <si>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</si>
  <si>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</si>
  <si>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</si>
  <si>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</si>
  <si>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</si>
  <si>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</si>
  <si>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</si>
  <si>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</si>
  <si>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</si>
  <si>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</si>
  <si>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</si>
  <si>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</si>
  <si>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</si>
  <si>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</si>
  <si>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</si>
  <si>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</si>
  <si>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</si>
  <si>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</si>
  <si>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</si>
  <si>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</si>
  <si>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</si>
  <si>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</si>
  <si>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</si>
  <si>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</si>
  <si>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</si>
  <si>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</si>
  <si>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</si>
  <si>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</si>
  <si>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</si>
  <si>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</si>
  <si>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</si>
  <si>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</si>
  <si>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</si>
  <si>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</si>
  <si>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</si>
  <si>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</si>
  <si>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</si>
  <si>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</si>
  <si>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</si>
  <si>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</si>
  <si>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</si>
  <si>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</si>
  <si>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</si>
  <si>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</si>
  <si>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</si>
  <si>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</si>
  <si>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</si>
  <si>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</si>
  <si>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</si>
  <si>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</si>
  <si>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</si>
  <si>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</si>
  <si>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</si>
  <si>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</si>
  <si>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</si>
  <si>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</si>
  <si>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</si>
  <si>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</si>
  <si>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</si>
  <si>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</si>
  <si>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</si>
  <si>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</si>
  <si>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</si>
  <si>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</si>
  <si>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</si>
  <si>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</si>
  <si>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</si>
  <si>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</si>
  <si>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</si>
  <si>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</si>
  <si>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</si>
  <si>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</si>
  <si>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</si>
  <si>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</si>
  <si>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</si>
  <si>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</si>
  <si>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</si>
  <si>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</si>
  <si>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</si>
  <si>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</si>
  <si>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</si>
  <si>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</si>
  <si>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</si>
  <si>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</si>
  <si>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</si>
  <si>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</si>
  <si>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</si>
  <si>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</si>
  <si>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</si>
  <si>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</si>
  <si>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</si>
  <si>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</si>
  <si>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</si>
  <si>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</si>
  <si>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</si>
  <si>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</si>
  <si>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</si>
  <si>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</si>
  <si>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</si>
  <si>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</si>
  <si>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</si>
  <si>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</si>
  <si>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</si>
  <si>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</si>
  <si>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</si>
  <si>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</si>
  <si>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</si>
  <si>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</si>
  <si>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</si>
  <si>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</si>
  <si>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</si>
  <si>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</si>
  <si>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</si>
  <si>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</si>
  <si>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</si>
  <si>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</si>
  <si>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</si>
  <si>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</si>
  <si>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</si>
  <si>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</si>
  <si>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</si>
  <si>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</si>
  <si>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</si>
  <si>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</si>
  <si>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</si>
  <si>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</si>
  <si>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</si>
  <si>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</si>
  <si>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</si>
  <si>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</si>
  <si>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</si>
  <si>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</si>
  <si>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</si>
  <si>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</si>
  <si>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</si>
  <si>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</si>
  <si>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</si>
  <si>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</si>
  <si>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</si>
  <si>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</si>
  <si>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</si>
  <si>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</si>
  <si>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</si>
  <si>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</si>
  <si>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</si>
  <si>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</si>
  <si>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</si>
  <si>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</si>
  <si>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</si>
  <si>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</si>
  <si>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</si>
  <si>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</si>
  <si>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</si>
  <si>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</si>
  <si>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</si>
  <si>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</si>
  <si>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</si>
  <si>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</si>
  <si>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</si>
  <si>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</si>
  <si>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</si>
  <si>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</si>
  <si>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</si>
  <si>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</si>
  <si>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</si>
  <si>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</si>
  <si>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</si>
  <si>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</si>
  <si>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</si>
  <si>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</si>
  <si>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</si>
  <si>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</si>
  <si>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</si>
  <si>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</si>
  <si>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</si>
  <si>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</si>
  <si>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</si>
  <si>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</si>
  <si>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</si>
  <si>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</si>
  <si>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</si>
  <si>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</si>
  <si>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</si>
  <si>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</si>
  <si>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</si>
  <si>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</si>
  <si>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</si>
  <si>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</si>
  <si>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</si>
  <si>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</si>
  <si>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</si>
  <si>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</si>
  <si>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</si>
  <si>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</si>
  <si>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</si>
  <si>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</si>
  <si>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</si>
  <si>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</si>
  <si>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</si>
  <si>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</si>
  <si>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</si>
  <si>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</si>
  <si>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</si>
  <si>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</si>
  <si>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</si>
  <si>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</si>
  <si>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</si>
  <si>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</si>
  <si>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</si>
  <si>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</si>
  <si>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</si>
  <si>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</si>
  <si>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</si>
  <si>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</si>
  <si>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</si>
  <si>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</si>
  <si>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</si>
  <si>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</si>
  <si>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</si>
  <si>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</si>
  <si>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</si>
  <si>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</si>
  <si>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</si>
  <si>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</si>
  <si>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</si>
  <si>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</si>
  <si>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</si>
  <si>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</si>
  <si>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</si>
  <si>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</si>
  <si>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</si>
  <si>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</si>
  <si>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</si>
  <si>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</si>
  <si>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</si>
  <si>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</si>
  <si>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</si>
  <si>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</si>
  <si>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</si>
  <si>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</si>
  <si>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</si>
  <si>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</si>
  <si>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</si>
  <si>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</si>
  <si>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</si>
  <si>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</si>
  <si>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</si>
  <si>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</si>
  <si>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</si>
  <si>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</si>
  <si>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</si>
  <si>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</si>
  <si>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</si>
  <si>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</si>
  <si>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</si>
  <si>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</si>
  <si>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</si>
  <si>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</si>
  <si>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</si>
  <si>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</si>
  <si>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</si>
  <si>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</si>
  <si>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</si>
  <si>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</si>
  <si>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</si>
  <si>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</si>
  <si>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</si>
  <si>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</si>
  <si>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</si>
  <si>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</si>
  <si>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</si>
  <si>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</si>
  <si>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</si>
  <si>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</si>
  <si>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</si>
  <si>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</si>
  <si>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</si>
  <si>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</si>
  <si>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</si>
  <si>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</si>
  <si>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</si>
  <si>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</si>
  <si>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</si>
  <si>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</si>
  <si>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</si>
  <si>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</si>
  <si>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</si>
  <si>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</si>
  <si>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</si>
  <si>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</si>
  <si>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</si>
  <si>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</si>
  <si>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</si>
  <si>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</si>
  <si>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</si>
  <si>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</si>
  <si>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</si>
  <si>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</si>
  <si>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</si>
  <si>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</si>
  <si>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</si>
  <si>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</si>
  <si>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</si>
  <si>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</si>
  <si>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</si>
  <si>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</si>
  <si>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</si>
  <si>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</si>
  <si>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</si>
  <si>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</si>
  <si>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</si>
  <si>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</si>
  <si>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</si>
  <si>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</si>
  <si>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</si>
  <si>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</si>
  <si>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</si>
  <si>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</si>
  <si>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</si>
  <si>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</si>
  <si>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</si>
  <si>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</si>
  <si>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</si>
  <si>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</si>
  <si>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</si>
  <si>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</si>
  <si>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</si>
  <si>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</si>
  <si>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</si>
  <si>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</si>
  <si>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</si>
  <si>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</si>
  <si>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</si>
  <si>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</si>
  <si>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</si>
  <si>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</si>
  <si>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</si>
  <si>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</si>
  <si>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</si>
  <si>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</si>
  <si>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</si>
  <si>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</si>
  <si>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</si>
  <si>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</si>
  <si>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</si>
  <si>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</si>
  <si>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</si>
  <si>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</si>
  <si>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</si>
  <si>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</si>
  <si>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</si>
  <si>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</si>
  <si>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</si>
  <si>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</si>
  <si>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</si>
  <si>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</si>
  <si>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</si>
  <si>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</si>
  <si>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</si>
  <si>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</si>
  <si>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</si>
  <si>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</si>
  <si>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</si>
  <si>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</si>
  <si>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</si>
  <si>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</si>
  <si>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</si>
  <si>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</si>
  <si>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</si>
  <si>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</si>
  <si>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</si>
  <si>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</si>
  <si>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</si>
  <si>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</si>
  <si>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</si>
  <si>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</si>
  <si>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</si>
  <si>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</si>
  <si>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</si>
  <si>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</si>
  <si>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</si>
  <si>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</si>
  <si>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</si>
  <si>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</si>
  <si>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</si>
  <si>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</si>
  <si>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</si>
  <si>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</si>
  <si>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</si>
  <si>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</si>
  <si>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</si>
  <si>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</si>
  <si>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</si>
  <si>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</si>
  <si>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</si>
  <si>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</si>
  <si>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</si>
  <si>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</si>
  <si>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</si>
  <si>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</si>
  <si>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</si>
  <si>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</si>
  <si>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</si>
  <si>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</si>
  <si>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</si>
  <si>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</si>
  <si>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</si>
  <si>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</si>
  <si>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</si>
  <si>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</si>
  <si>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</si>
  <si>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</si>
  <si>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</si>
  <si>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</si>
  <si>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</si>
  <si>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</si>
  <si>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</si>
  <si>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</si>
  <si>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</si>
  <si>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</si>
  <si>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</si>
  <si>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</si>
  <si>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</si>
  <si>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</si>
  <si>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</si>
  <si>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</si>
  <si>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</si>
  <si>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</si>
  <si>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</si>
  <si>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</si>
  <si>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</si>
  <si>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</si>
  <si>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</si>
  <si>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</si>
  <si>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</si>
  <si>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</si>
  <si>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</si>
  <si>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</si>
  <si>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</si>
  <si>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</si>
  <si>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</si>
  <si>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</si>
  <si>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</si>
  <si>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</si>
  <si>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</si>
  <si>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</si>
  <si>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</si>
  <si>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</si>
  <si>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</si>
  <si>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</si>
  <si>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</si>
  <si>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</si>
  <si>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</si>
  <si>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</si>
  <si>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</si>
  <si>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</si>
  <si>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</si>
  <si>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</si>
  <si>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</si>
  <si>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</si>
  <si>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</si>
  <si>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</si>
  <si>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</si>
  <si>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</si>
  <si>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</si>
  <si>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</si>
  <si>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</si>
  <si>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</si>
  <si>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</si>
  <si>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</si>
  <si>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</si>
  <si>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</si>
  <si>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</si>
  <si>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</si>
  <si>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</si>
  <si>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</si>
  <si>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</si>
  <si>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</si>
  <si>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</si>
  <si>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</si>
  <si>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</si>
  <si>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</si>
  <si>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</si>
  <si>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</si>
  <si>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</si>
  <si>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</si>
  <si>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</si>
  <si>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</si>
  <si>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</si>
  <si>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</si>
  <si>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</si>
  <si>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</si>
  <si>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</si>
  <si>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</si>
  <si>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</si>
  <si>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</si>
  <si>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</si>
  <si>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</si>
  <si>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</si>
  <si>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</si>
  <si>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</si>
  <si>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</si>
  <si>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</si>
  <si>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</si>
  <si>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</si>
  <si>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</si>
  <si>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</si>
  <si>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</si>
  <si>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</si>
  <si>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</si>
  <si>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</si>
  <si>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</si>
  <si>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</si>
  <si>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</si>
  <si>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</si>
  <si>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</si>
  <si>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</si>
  <si>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</si>
  <si>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</si>
  <si>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</si>
  <si>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</si>
  <si>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</si>
  <si>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</si>
  <si>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</si>
  <si>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</si>
  <si>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</si>
  <si>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</si>
  <si>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</si>
  <si>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</si>
  <si>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</si>
  <si>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</si>
  <si>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</si>
  <si>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</si>
  <si>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</si>
  <si>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</si>
  <si>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</si>
  <si>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</si>
  <si>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</si>
  <si>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</si>
  <si>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</si>
  <si>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</si>
  <si>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</si>
  <si>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</si>
  <si>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</si>
  <si>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</si>
  <si>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</si>
  <si>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</si>
  <si>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</si>
  <si>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</si>
  <si>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</si>
  <si>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</si>
  <si>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</si>
  <si>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</si>
  <si>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</si>
  <si>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</si>
  <si>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</si>
  <si>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</si>
  <si>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</si>
  <si>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</si>
  <si>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</si>
  <si>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</si>
  <si>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</si>
  <si>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</si>
  <si>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</si>
  <si>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</si>
  <si>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</si>
  <si>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</si>
  <si>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</si>
  <si>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</si>
  <si>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</si>
  <si>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</si>
  <si>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</si>
  <si>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</si>
  <si>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</si>
  <si>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</si>
  <si>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</si>
  <si>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</si>
  <si>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</si>
  <si>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</si>
  <si>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</si>
  <si>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</si>
  <si>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</si>
  <si>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</si>
  <si>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</si>
  <si>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</si>
  <si>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</si>
  <si>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</si>
  <si>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</si>
  <si>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</si>
  <si>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</si>
  <si>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</si>
  <si>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</si>
  <si>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</si>
  <si>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</si>
  <si>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</si>
  <si>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</si>
  <si>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</si>
  <si>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</si>
  <si>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</si>
  <si>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</si>
  <si>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</si>
  <si>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</si>
  <si>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</si>
  <si>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</si>
  <si>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</si>
  <si>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</si>
  <si>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</si>
  <si>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</si>
  <si>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</si>
  <si>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</si>
  <si>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</si>
  <si>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</si>
  <si>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</si>
  <si>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</si>
  <si>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</si>
  <si>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</si>
  <si>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</si>
  <si>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</si>
  <si>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</si>
  <si>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</si>
  <si>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</si>
  <si>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</si>
  <si>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</si>
  <si>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</si>
  <si>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</si>
  <si>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</si>
  <si>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</si>
  <si>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</si>
  <si>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</si>
  <si>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</si>
  <si>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</si>
  <si>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</si>
  <si>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</si>
  <si>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</si>
  <si>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</si>
  <si>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</si>
  <si>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</si>
  <si>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</si>
  <si>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</si>
  <si>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</si>
  <si>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</si>
  <si>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</si>
  <si>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</si>
  <si>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</si>
  <si>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</si>
  <si>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</si>
  <si>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</si>
  <si>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</si>
  <si>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</si>
  <si>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</si>
  <si>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</si>
  <si>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</si>
  <si>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</si>
  <si>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</si>
  <si>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</si>
  <si>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</si>
  <si>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</si>
  <si>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</si>
  <si>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</si>
  <si>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</si>
  <si>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</si>
  <si>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</si>
  <si>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</si>
  <si>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</si>
  <si>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</si>
  <si>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</si>
  <si>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</si>
  <si>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</si>
  <si>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</si>
  <si>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</si>
  <si>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</si>
  <si>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</si>
  <si>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</si>
  <si>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</si>
  <si>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</si>
  <si>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</si>
  <si>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</si>
  <si>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</si>
  <si>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</si>
  <si>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</si>
  <si>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</si>
  <si>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</si>
  <si>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</si>
  <si>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</si>
  <si>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</si>
  <si>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</si>
  <si>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</si>
  <si>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</si>
  <si>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</si>
  <si>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</si>
  <si>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</si>
  <si>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</si>
  <si>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</si>
  <si>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</si>
  <si>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</si>
  <si>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</si>
  <si>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</si>
  <si>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</si>
  <si>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</si>
  <si>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</si>
  <si>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</si>
  <si>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</si>
  <si>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</si>
  <si>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</si>
  <si>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</si>
  <si>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</si>
  <si>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</si>
  <si>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</si>
  <si>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</si>
  <si>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</si>
  <si>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</si>
  <si>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</si>
  <si>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</si>
  <si>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</si>
  <si>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</si>
  <si>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</si>
  <si>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</si>
  <si>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</si>
  <si>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</si>
  <si>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</si>
  <si>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</si>
  <si>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</si>
  <si>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</si>
  <si>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</si>
  <si>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</si>
  <si>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</si>
  <si>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</si>
  <si>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</si>
  <si>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</si>
  <si>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</si>
  <si>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</si>
  <si>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</si>
  <si>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</si>
  <si>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</si>
  <si>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</si>
  <si>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</si>
  <si>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</si>
  <si>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</si>
  <si>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</si>
  <si>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</si>
  <si>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</si>
  <si>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</si>
  <si>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</si>
  <si>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</si>
  <si>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</si>
  <si>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</si>
  <si>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</si>
  <si>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</si>
  <si>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</si>
  <si>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</si>
  <si>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</si>
  <si>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</si>
  <si>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</si>
  <si>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</si>
  <si>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</si>
  <si>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</si>
  <si>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</si>
  <si>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</si>
  <si>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</si>
  <si>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</si>
  <si>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</si>
  <si>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</si>
  <si>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</si>
  <si>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</si>
  <si>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</si>
  <si>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</si>
  <si>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</si>
  <si>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</si>
  <si>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</si>
  <si>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</si>
  <si>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</si>
  <si>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</si>
  <si>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</si>
  <si>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</si>
  <si>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</si>
  <si>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</si>
  <si>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</si>
  <si>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</si>
  <si>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</si>
  <si>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</si>
  <si>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</si>
  <si>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</si>
  <si>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</si>
  <si>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</si>
  <si>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</si>
  <si>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</si>
  <si>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</si>
  <si>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</si>
  <si>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</si>
  <si>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</si>
  <si>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</si>
  <si>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</si>
  <si>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</si>
  <si>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</si>
  <si>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</si>
  <si>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</si>
  <si>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</si>
  <si>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</si>
  <si>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</si>
  <si>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</si>
  <si>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</si>
  <si>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</si>
  <si>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</si>
  <si>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</si>
  <si>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</si>
  <si>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</si>
  <si>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</si>
  <si>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</si>
  <si>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</si>
  <si>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</si>
  <si>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</si>
  <si>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</si>
  <si>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</si>
  <si>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</si>
  <si>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</si>
  <si>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</si>
  <si>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</si>
  <si>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</si>
  <si>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</si>
  <si>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</si>
  <si>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</si>
  <si>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</si>
  <si>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</si>
  <si>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</si>
  <si>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</si>
  <si>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</si>
  <si>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</si>
  <si>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</si>
  <si>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</si>
  <si>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</si>
  <si>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</si>
  <si>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</si>
  <si>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</si>
  <si>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</si>
  <si>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</si>
  <si>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</si>
  <si>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</si>
  <si>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</si>
  <si>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</si>
  <si>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</si>
  <si>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</si>
  <si>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</si>
  <si>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</si>
  <si>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</si>
  <si>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</si>
  <si>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</si>
  <si>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</si>
  <si>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</si>
  <si>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</si>
  <si>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</si>
  <si>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</si>
  <si>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</si>
  <si>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</si>
  <si>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</si>
  <si>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</si>
  <si>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</si>
  <si>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</si>
  <si>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</si>
  <si>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</si>
  <si>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</si>
  <si>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</si>
  <si>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</si>
  <si>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</si>
  <si>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</si>
  <si>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</si>
  <si>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</si>
  <si>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</si>
  <si>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</si>
  <si>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</si>
  <si>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</si>
  <si>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</si>
  <si>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</si>
  <si>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</si>
  <si>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</si>
  <si>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</si>
  <si>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</si>
  <si>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</si>
  <si>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</si>
  <si>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</si>
  <si>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</si>
  <si>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</si>
  <si>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</si>
  <si>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</si>
  <si>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</si>
  <si>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</si>
  <si>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</si>
  <si>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</si>
  <si>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</si>
  <si>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</si>
  <si>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</si>
  <si>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</si>
  <si>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</si>
  <si>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</si>
  <si>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</si>
  <si>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</si>
  <si>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</si>
  <si>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</si>
  <si>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</si>
  <si>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</si>
  <si>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</si>
  <si>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</si>
  <si>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</si>
  <si>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</si>
  <si>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</si>
  <si>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</si>
  <si>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</si>
  <si>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</si>
  <si>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</si>
  <si>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</si>
  <si>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</si>
  <si>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</si>
  <si>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</si>
  <si>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</si>
  <si>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</si>
  <si>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</si>
  <si>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</si>
  <si>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</si>
  <si>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</si>
  <si>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</si>
  <si>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</si>
  <si>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</si>
  <si>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</si>
  <si>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</si>
  <si>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</si>
  <si>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</si>
  <si>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</si>
  <si>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</si>
  <si>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</si>
  <si>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</si>
  <si>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</si>
  <si>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</si>
  <si>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</si>
  <si>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</si>
  <si>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</si>
  <si>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</si>
  <si>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</si>
  <si>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</si>
  <si>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</si>
  <si>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</si>
  <si>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</si>
  <si>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</si>
  <si>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</si>
  <si>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</si>
  <si>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</si>
  <si>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</si>
  <si>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</si>
  <si>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</si>
  <si>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</si>
  <si>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</si>
  <si>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</si>
  <si>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</si>
  <si>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</si>
  <si>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</si>
  <si>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</si>
  <si>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</si>
  <si>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</si>
  <si>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</si>
  <si>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</si>
  <si>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</si>
  <si>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</si>
  <si>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</si>
  <si>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</si>
  <si>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</si>
  <si>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</si>
  <si>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</si>
  <si>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</si>
  <si>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</si>
  <si>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</si>
  <si>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</si>
  <si>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</si>
  <si>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</si>
  <si>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</si>
  <si>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</si>
  <si>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</si>
  <si>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</si>
  <si>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</si>
  <si>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</si>
  <si>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</si>
  <si>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</si>
  <si>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</si>
  <si>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</si>
  <si>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</si>
  <si>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</si>
  <si>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</si>
  <si>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</si>
  <si>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</si>
  <si>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</si>
  <si>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</si>
  <si>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</si>
  <si>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</si>
  <si>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</si>
  <si>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</si>
  <si>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</si>
  <si>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</si>
  <si>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</si>
  <si>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</si>
  <si>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</si>
  <si>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</si>
  <si>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</si>
  <si>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</si>
  <si>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</si>
  <si>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</si>
  <si>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</si>
  <si>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</si>
  <si>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</si>
  <si>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</si>
  <si>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</si>
  <si>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</si>
  <si>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</si>
  <si>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</si>
  <si>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</si>
  <si>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</si>
  <si>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</si>
  <si>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</si>
  <si>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</si>
  <si>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</si>
  <si>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</si>
  <si>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</si>
  <si>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</si>
  <si>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</si>
  <si>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</si>
  <si>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</si>
  <si>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</si>
  <si>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</si>
  <si>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</si>
  <si>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</si>
  <si>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</si>
  <si>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</si>
  <si>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</si>
  <si>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</si>
  <si>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</si>
  <si>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</si>
  <si>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</si>
  <si>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</si>
  <si>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</si>
  <si>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</si>
  <si>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</si>
  <si>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</si>
  <si>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</si>
  <si>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</si>
  <si>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</si>
  <si>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</si>
  <si>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</si>
  <si>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</si>
  <si>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</si>
  <si>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</si>
  <si>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</si>
  <si>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</si>
  <si>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</si>
  <si>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</si>
  <si>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</si>
  <si>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</si>
  <si>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</si>
  <si>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</si>
  <si>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</si>
  <si>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</si>
  <si>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</si>
  <si>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</si>
  <si>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</si>
  <si>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</si>
  <si>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</si>
  <si>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</si>
  <si>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</si>
  <si>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</si>
  <si>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</si>
  <si>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</si>
  <si>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</si>
  <si>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</si>
  <si>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</si>
  <si>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</si>
  <si>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</si>
  <si>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</si>
  <si>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</si>
  <si>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</si>
  <si>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</si>
  <si>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</si>
  <si>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</si>
  <si>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</si>
  <si>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</si>
  <si>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</si>
  <si>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</si>
  <si>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</si>
  <si>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</si>
  <si>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</si>
  <si>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</si>
  <si>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</si>
  <si>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</si>
  <si>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</si>
  <si>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</si>
  <si>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</si>
  <si>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</si>
  <si>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</si>
  <si>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</si>
  <si>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</si>
  <si>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</si>
  <si>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</si>
  <si>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</si>
  <si>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</si>
  <si>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</si>
  <si>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</si>
  <si>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</si>
  <si>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</si>
  <si>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</si>
  <si>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</si>
  <si>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</si>
  <si>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</si>
  <si>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</si>
  <si>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</si>
  <si>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</si>
  <si>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</si>
  <si>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</si>
  <si>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</si>
  <si>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</si>
  <si>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</si>
  <si>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</si>
  <si>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</si>
  <si>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</si>
  <si>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</si>
  <si>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</si>
  <si>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</si>
  <si>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</si>
  <si>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</si>
  <si>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</si>
  <si>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</si>
  <si>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</si>
  <si>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</si>
  <si>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</si>
  <si>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</si>
  <si>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</si>
  <si>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</si>
  <si>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</si>
  <si>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</si>
  <si>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</si>
  <si>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</si>
  <si>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</si>
  <si>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</si>
  <si>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</si>
  <si>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</si>
  <si>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</si>
  <si>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</si>
  <si>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</si>
  <si>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</si>
  <si>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</si>
  <si>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</si>
  <si>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</si>
  <si>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</si>
  <si>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</si>
  <si>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</si>
  <si>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</si>
  <si>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</si>
  <si>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</si>
  <si>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</si>
  <si>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</si>
  <si>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</si>
  <si>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</si>
  <si>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</si>
  <si>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</si>
  <si>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</si>
  <si>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</si>
  <si>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</si>
  <si>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</si>
  <si>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</si>
  <si>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</si>
  <si>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</si>
  <si>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</si>
  <si>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</si>
  <si>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</si>
  <si>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</si>
  <si>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</si>
  <si>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</si>
  <si>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</si>
  <si>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</si>
  <si>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</si>
  <si>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</si>
  <si>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</si>
  <si>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</si>
  <si>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</si>
  <si>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</si>
  <si>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</si>
  <si>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</si>
  <si>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</si>
  <si>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</si>
  <si>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</si>
  <si>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</si>
  <si>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</si>
  <si>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</si>
  <si>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</si>
  <si>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</si>
  <si>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</si>
  <si>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</si>
  <si>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</si>
  <si>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</si>
  <si>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</si>
  <si>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</si>
  <si>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</si>
  <si>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</si>
  <si>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</si>
  <si>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</si>
  <si>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</si>
  <si>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</si>
  <si>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</si>
  <si>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</si>
  <si>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</si>
  <si>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</si>
  <si>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</si>
  <si>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</si>
  <si>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</si>
  <si>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</si>
  <si>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</si>
  <si>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</si>
  <si>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</si>
  <si>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</si>
  <si>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</si>
  <si>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</si>
  <si>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</si>
  <si>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</si>
  <si>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</si>
  <si>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</si>
  <si>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</si>
  <si>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</si>
  <si>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</si>
  <si>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</si>
  <si>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</si>
  <si>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</si>
  <si>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</si>
  <si>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</si>
  <si>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</si>
  <si>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</si>
  <si>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</si>
  <si>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</si>
  <si>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</si>
  <si>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</si>
  <si>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</si>
  <si>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</si>
  <si>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</si>
  <si>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</si>
  <si>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</si>
  <si>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</si>
  <si>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</si>
  <si>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</si>
  <si>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</si>
  <si>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</si>
  <si>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</si>
  <si>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</si>
  <si>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</si>
  <si>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</si>
  <si>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</si>
  <si>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</si>
  <si>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</si>
  <si>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</si>
  <si>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</si>
  <si>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</si>
  <si>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</si>
  <si>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</si>
  <si>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</si>
  <si>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</si>
  <si>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</si>
  <si>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</si>
  <si>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</si>
  <si>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</si>
  <si>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</si>
  <si>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</si>
  <si>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</si>
  <si>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</si>
  <si>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</si>
  <si>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</si>
  <si>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</si>
  <si>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</si>
  <si>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</si>
  <si>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</si>
  <si>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</si>
  <si>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</si>
  <si>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</si>
  <si>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</si>
  <si>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</si>
  <si>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</si>
  <si>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</si>
  <si>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</si>
  <si>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</si>
  <si>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</si>
  <si>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</si>
  <si>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</si>
  <si>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</si>
  <si>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</si>
  <si>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</si>
  <si>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</si>
  <si>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</si>
  <si>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</si>
  <si>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</si>
  <si>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</si>
  <si>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</si>
  <si>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</si>
  <si>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</si>
  <si>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</si>
  <si>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</si>
  <si>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</si>
  <si>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</si>
  <si>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</si>
  <si>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</si>
  <si>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</si>
  <si>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</si>
  <si>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</si>
  <si>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</si>
  <si>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</si>
  <si>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</si>
  <si>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</si>
  <si>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</si>
  <si>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</si>
  <si>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</si>
  <si>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</si>
  <si>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</si>
  <si>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</si>
  <si>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</si>
  <si>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</si>
  <si>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</si>
  <si>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</si>
  <si>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</si>
  <si>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</si>
  <si>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</si>
  <si>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</si>
  <si>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</si>
  <si>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</si>
  <si>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</si>
  <si>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</si>
  <si>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</si>
  <si>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</si>
  <si>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</si>
  <si>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</si>
  <si>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</si>
  <si>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</si>
  <si>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</si>
  <si>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</si>
  <si>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</si>
  <si>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</si>
  <si>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</si>
  <si>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</si>
  <si>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</si>
  <si>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</si>
  <si>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</si>
  <si>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</si>
  <si>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</si>
  <si>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</si>
  <si>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</si>
  <si>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</si>
  <si>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</si>
  <si>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</si>
  <si>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</si>
  <si>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</si>
  <si>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</si>
  <si>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</si>
  <si>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</si>
  <si>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</si>
  <si>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</si>
  <si>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</si>
  <si>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</si>
  <si>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</si>
  <si>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</si>
  <si>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</si>
  <si>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</si>
  <si>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</si>
  <si>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</si>
  <si>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</si>
  <si>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</si>
  <si>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</si>
  <si>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</si>
  <si>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</si>
  <si>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</si>
  <si>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</si>
  <si>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</si>
  <si>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</si>
  <si>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</si>
  <si>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</si>
  <si>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</si>
  <si>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</si>
  <si>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</si>
  <si>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</si>
  <si>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</si>
  <si>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</si>
  <si>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</si>
  <si>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</si>
  <si>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</si>
  <si>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</si>
  <si>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</si>
  <si>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</si>
  <si>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</si>
  <si>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</si>
  <si>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</si>
  <si>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</si>
  <si>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</si>
  <si>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</si>
  <si>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</si>
  <si>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</si>
  <si>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</si>
  <si>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</si>
  <si>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</si>
  <si>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</si>
  <si>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</si>
  <si>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</si>
  <si>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</si>
  <si>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</si>
  <si>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</si>
  <si>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</si>
  <si>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</si>
  <si>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</si>
  <si>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</si>
  <si>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</si>
  <si>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</si>
  <si>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</si>
  <si>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</si>
  <si>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</si>
  <si>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</si>
  <si>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</si>
  <si>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</si>
  <si>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</si>
  <si>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</si>
  <si>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</si>
  <si>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</si>
  <si>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</si>
  <si>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</si>
  <si>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</si>
  <si>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</si>
  <si>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</si>
  <si>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</si>
  <si>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</si>
  <si>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</si>
  <si>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</si>
  <si>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</si>
  <si>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</si>
  <si>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</si>
  <si>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</si>
  <si>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</si>
  <si>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</si>
  <si>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</si>
  <si>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</si>
  <si>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</si>
  <si>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</si>
  <si>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</si>
  <si>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</si>
  <si>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</si>
  <si>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</si>
  <si>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</si>
  <si>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</si>
  <si>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</si>
  <si>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</si>
  <si>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</si>
  <si>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</si>
  <si>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</si>
  <si>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</si>
  <si>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</si>
  <si>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</si>
  <si>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</si>
  <si>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</si>
  <si>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</si>
  <si>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</si>
  <si>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</si>
  <si>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</si>
  <si>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</si>
  <si>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</si>
  <si>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</si>
  <si>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</si>
  <si>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</si>
  <si>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</si>
  <si>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</si>
  <si>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</si>
  <si>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</si>
  <si>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</si>
  <si>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</si>
  <si>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</si>
  <si>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</si>
  <si>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</si>
  <si>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</si>
  <si>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</si>
  <si>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</si>
  <si>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</si>
  <si>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</si>
  <si>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</si>
  <si>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</si>
  <si>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</si>
  <si>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</si>
  <si>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</si>
  <si>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</si>
  <si>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</si>
  <si>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</si>
  <si>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</si>
  <si>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</si>
  <si>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</si>
  <si>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</si>
  <si>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</si>
  <si>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</si>
  <si>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</si>
  <si>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</si>
  <si>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</si>
  <si>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</si>
  <si>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</si>
  <si>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</si>
  <si>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</si>
  <si>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</si>
  <si>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</si>
  <si>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</si>
  <si>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</si>
  <si>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</si>
  <si>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</si>
  <si>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</si>
  <si>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</si>
  <si>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</si>
  <si>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</si>
  <si>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</si>
  <si>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</si>
  <si>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</si>
  <si>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</si>
  <si>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</si>
  <si>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</si>
  <si>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</si>
  <si>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</si>
  <si>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</si>
  <si>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</si>
  <si>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</si>
  <si>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</si>
  <si>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</si>
  <si>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</si>
  <si>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</si>
  <si>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</si>
  <si>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</si>
  <si>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</si>
  <si>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</si>
  <si>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</si>
  <si>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</si>
  <si>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</si>
  <si>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</si>
  <si>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</si>
  <si>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</si>
  <si>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</si>
  <si>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</si>
  <si>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</si>
  <si>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</si>
  <si>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</si>
  <si>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</si>
  <si>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</si>
  <si>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</si>
  <si>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</si>
  <si>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</si>
  <si>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</si>
  <si>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</si>
  <si>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</si>
  <si>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</si>
  <si>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</si>
  <si>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</si>
  <si>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</si>
  <si>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</si>
  <si>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</si>
  <si>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</si>
  <si>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</si>
  <si>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</si>
  <si>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</si>
  <si>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</si>
  <si>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</si>
  <si>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</si>
  <si>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</si>
  <si>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</si>
  <si>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</si>
  <si>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</si>
  <si>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</si>
  <si>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</si>
  <si>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</si>
  <si>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</si>
  <si>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</si>
  <si>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</si>
  <si>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</si>
  <si>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</si>
  <si>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</si>
  <si>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</si>
  <si>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</si>
  <si>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</si>
  <si>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</si>
  <si>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</si>
  <si>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</si>
  <si>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</si>
  <si>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</si>
  <si>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</si>
  <si>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</si>
  <si>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</si>
  <si>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</si>
  <si>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</si>
  <si>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</si>
  <si>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</si>
  <si>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</si>
  <si>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</si>
  <si>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</si>
  <si>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</si>
  <si>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</si>
  <si>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</si>
  <si>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</si>
  <si>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</si>
  <si>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</si>
  <si>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</si>
  <si>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</si>
  <si>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</si>
  <si>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</si>
  <si>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</si>
  <si>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</si>
  <si>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</si>
  <si>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</si>
  <si>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</si>
  <si>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</si>
  <si>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</si>
  <si>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</si>
  <si>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</si>
  <si>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</si>
  <si>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</si>
  <si>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</si>
  <si>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</si>
  <si>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</si>
  <si>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</si>
  <si>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</si>
  <si>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</si>
  <si>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</si>
  <si>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</si>
  <si>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</si>
  <si>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</si>
  <si>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</si>
  <si>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</si>
  <si>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</si>
  <si>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</si>
  <si>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</si>
  <si>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</si>
  <si>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</si>
  <si>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</si>
  <si>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</si>
  <si>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</si>
  <si>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</si>
  <si>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</si>
  <si>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</si>
  <si>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</si>
  <si>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</si>
  <si>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</si>
  <si>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</si>
  <si>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</si>
  <si>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</si>
  <si>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</si>
  <si>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</si>
  <si>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</si>
  <si>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</si>
  <si>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</si>
  <si>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</si>
  <si>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</si>
  <si>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</si>
  <si>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</si>
  <si>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</si>
  <si>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</si>
  <si>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</si>
  <si>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</si>
  <si>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</si>
  <si>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</si>
  <si>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</si>
  <si>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</si>
  <si>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</si>
  <si>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</si>
  <si>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</si>
  <si>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</si>
  <si>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</si>
  <si>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</si>
  <si>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</si>
  <si>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</si>
  <si>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</si>
  <si>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</si>
  <si>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</si>
  <si>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</si>
  <si>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</si>
  <si>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</si>
  <si>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</si>
  <si>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</si>
  <si>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</si>
  <si>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</si>
  <si>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</si>
  <si>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</si>
  <si>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</si>
  <si>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</si>
  <si>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</si>
  <si>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</si>
  <si>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</si>
  <si>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</si>
  <si>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</si>
  <si>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</si>
  <si>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</si>
  <si>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</si>
  <si>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</si>
  <si>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</si>
  <si>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</si>
  <si>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</si>
  <si>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</si>
  <si>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</si>
  <si>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</si>
  <si>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</si>
  <si>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</si>
  <si>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</si>
  <si>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</si>
  <si>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</si>
  <si>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</si>
  <si>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</si>
  <si>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</si>
  <si>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</si>
  <si>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</si>
  <si>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</si>
  <si>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</si>
  <si>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</si>
  <si>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</si>
  <si>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</si>
  <si>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</si>
  <si>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</si>
  <si>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</si>
  <si>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</si>
  <si>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</si>
  <si>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</si>
  <si>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</si>
  <si>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</si>
  <si>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</si>
  <si>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</si>
  <si>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</si>
  <si>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</si>
  <si>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</si>
  <si>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</si>
  <si>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</si>
  <si>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</si>
  <si>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</si>
  <si>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</si>
  <si>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</si>
  <si>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</si>
  <si>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</si>
  <si>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</si>
  <si>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</si>
  <si>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</si>
  <si>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</si>
  <si>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</si>
  <si>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</si>
  <si>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</si>
  <si>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</si>
  <si>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</si>
  <si>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</si>
  <si>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</si>
  <si>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</si>
  <si>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</si>
  <si>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</si>
  <si>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</si>
  <si>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</si>
  <si>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</si>
  <si>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</si>
  <si>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</si>
  <si>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</si>
  <si>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</si>
  <si>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</si>
  <si>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</si>
  <si>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</si>
  <si>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</si>
  <si>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</si>
  <si>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</si>
  <si>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</si>
  <si>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</si>
  <si>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</si>
  <si>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</si>
  <si>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</si>
  <si>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</si>
  <si>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</si>
  <si>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</si>
  <si>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</si>
  <si>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</si>
  <si>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</si>
  <si>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</si>
  <si>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</si>
  <si>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</si>
  <si>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</si>
  <si>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</si>
  <si>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</si>
  <si>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</si>
  <si>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</si>
  <si>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</si>
  <si>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</si>
  <si>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</si>
  <si>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</si>
  <si>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</si>
  <si>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</si>
  <si>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</si>
  <si>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</si>
  <si>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</si>
  <si>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</si>
  <si>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</si>
  <si>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</si>
  <si>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</si>
  <si>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</si>
  <si>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</si>
  <si>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</si>
  <si>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</si>
  <si>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</si>
  <si>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</si>
  <si>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</si>
  <si>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</si>
  <si>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</si>
  <si>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</si>
  <si>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</si>
  <si>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</si>
  <si>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</si>
  <si>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</si>
  <si>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</si>
  <si>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</si>
  <si>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</si>
  <si>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</si>
  <si>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</si>
  <si>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</si>
  <si>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</si>
  <si>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</si>
  <si>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</si>
  <si>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</si>
  <si>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</si>
  <si>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</si>
  <si>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</si>
  <si>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</si>
  <si>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</si>
  <si>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</si>
  <si>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</si>
  <si>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</si>
  <si>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</si>
  <si>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</si>
  <si>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</si>
  <si>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</si>
  <si>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</si>
  <si>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</si>
  <si>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</si>
  <si>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</si>
  <si>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</si>
  <si>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</si>
  <si>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</si>
  <si>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</si>
  <si>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</si>
  <si>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</si>
  <si>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</si>
  <si>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</si>
  <si>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</si>
  <si>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</si>
  <si>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</si>
  <si>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</si>
  <si>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</si>
  <si>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</si>
  <si>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</si>
  <si>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</si>
  <si>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</si>
  <si>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</si>
  <si>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</si>
  <si>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</si>
  <si>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</si>
  <si>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</si>
  <si>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</si>
  <si>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</si>
  <si>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</si>
  <si>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</si>
  <si>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</si>
  <si>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</si>
  <si>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</si>
  <si>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</si>
  <si>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</si>
  <si>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</si>
  <si>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</si>
  <si>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</si>
  <si>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</si>
  <si>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</si>
  <si>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</si>
  <si>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</si>
  <si>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</si>
  <si>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</si>
  <si>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</si>
  <si>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</si>
  <si>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</si>
  <si>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</si>
  <si>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</si>
  <si>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</si>
  <si>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</si>
  <si>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</si>
  <si>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</si>
  <si>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</si>
  <si>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</si>
  <si>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</si>
  <si>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</si>
  <si>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</si>
  <si>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</si>
  <si>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</si>
  <si>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</si>
  <si>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</si>
  <si>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</si>
  <si>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</si>
  <si>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</si>
  <si>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</si>
  <si>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</si>
  <si>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</si>
  <si>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</si>
  <si>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</si>
  <si>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</si>
  <si>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</si>
  <si>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</si>
  <si>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</si>
  <si>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</si>
  <si>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</si>
  <si>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</si>
  <si>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</si>
  <si>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</si>
  <si>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</si>
  <si>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</si>
  <si>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</si>
  <si>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</si>
  <si>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</si>
  <si>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</si>
  <si>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</si>
  <si>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</si>
  <si>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</si>
  <si>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</si>
  <si>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</si>
  <si>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</si>
  <si>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</si>
  <si>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</si>
  <si>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</si>
  <si>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</si>
  <si>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</si>
  <si>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</si>
  <si>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</si>
  <si>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</si>
  <si>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</si>
  <si>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</si>
  <si>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</si>
  <si>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</si>
  <si>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</si>
  <si>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</si>
  <si>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</si>
  <si>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</si>
  <si>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</si>
  <si>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</si>
  <si>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</si>
  <si>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</si>
  <si>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</si>
  <si>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</si>
  <si>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</si>
  <si>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</si>
  <si>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</si>
  <si>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</si>
  <si>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</si>
  <si>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</si>
  <si>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</si>
  <si>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</si>
  <si>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</si>
  <si>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</si>
  <si>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</si>
  <si>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</si>
  <si>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</si>
  <si>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</si>
  <si>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</si>
  <si>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</si>
  <si>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</si>
  <si>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</si>
  <si>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</si>
  <si>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</si>
  <si>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</si>
  <si>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</si>
  <si>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</si>
  <si>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</si>
  <si>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</si>
  <si>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</si>
  <si>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</si>
  <si>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</si>
  <si>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</si>
  <si>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</si>
  <si>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</si>
  <si>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</si>
  <si>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</si>
  <si>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</si>
  <si>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</si>
  <si>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</si>
  <si>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</si>
  <si>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</si>
  <si>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</si>
  <si>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</si>
  <si>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崔锴</t>
  </si>
  <si>
    <t>恒丰银行股份有限公司北京分行</t>
    <phoneticPr fontId="6" type="noConversion"/>
  </si>
  <si>
    <t>抵押</t>
  </si>
  <si>
    <t>房地产抵押价值</t>
  </si>
  <si>
    <t>北京市</t>
  </si>
  <si>
    <t>企业</t>
  </si>
  <si>
    <t>北京市东风保健营养品有限责任公司</t>
  </si>
  <si>
    <t>北京市东风保健营养品有限责任公司</t>
    <phoneticPr fontId="6" type="noConversion"/>
  </si>
  <si>
    <r>
      <t>平谷区兴谷街道兴谷路</t>
    </r>
    <r>
      <rPr>
        <sz val="10"/>
        <color theme="9" tint="-0.249977111117893"/>
        <rFont val="Arial"/>
        <family val="2"/>
      </rPr>
      <t>29</t>
    </r>
    <r>
      <rPr>
        <sz val="10"/>
        <color theme="9" tint="-0.249977111117893"/>
        <rFont val="宋体"/>
        <family val="3"/>
        <charset val="134"/>
      </rPr>
      <t>号院</t>
    </r>
  </si>
  <si>
    <t>工业</t>
    <phoneticPr fontId="6" type="noConversion"/>
  </si>
  <si>
    <t>是</t>
  </si>
  <si>
    <t>北京农业融资担保公司</t>
    <phoneticPr fontId="6" type="noConversion"/>
  </si>
  <si>
    <r>
      <rPr>
        <sz val="10"/>
        <color theme="9" tint="-0.249977111117893"/>
        <rFont val="宋体"/>
        <family val="3"/>
        <charset val="134"/>
      </rPr>
      <t>平谷区兴谷街道兴谷路</t>
    </r>
    <r>
      <rPr>
        <sz val="10"/>
        <color theme="9" tint="-0.249977111117893"/>
        <rFont val="Arial"/>
        <family val="2"/>
      </rPr>
      <t>29</t>
    </r>
    <r>
      <rPr>
        <sz val="10"/>
        <color theme="9" tint="-0.249977111117893"/>
        <rFont val="宋体"/>
        <family val="3"/>
        <charset val="134"/>
      </rPr>
      <t>号院</t>
    </r>
    <phoneticPr fontId="6" type="noConversion"/>
  </si>
  <si>
    <t>工业项目</t>
  </si>
  <si>
    <t>现房</t>
  </si>
  <si>
    <t>Ⅹ-平1</t>
  </si>
  <si>
    <t>不动产权证信息</t>
  </si>
  <si>
    <t>权利人</t>
  </si>
  <si>
    <t>不动产权证号</t>
  </si>
  <si>
    <t>坐落</t>
  </si>
  <si>
    <t>楼号</t>
  </si>
  <si>
    <t>面积</t>
  </si>
  <si>
    <t>使用期限</t>
  </si>
  <si>
    <t>结构</t>
  </si>
  <si>
    <t>总层数</t>
  </si>
  <si>
    <t>所在层数</t>
  </si>
  <si>
    <t>建安单价</t>
  </si>
  <si>
    <t>北京市东风保健营养品有限责任公司</t>
    <phoneticPr fontId="134" type="noConversion"/>
  </si>
  <si>
    <t>京（2019）平不动产权第0005321号</t>
    <phoneticPr fontId="134" type="noConversion"/>
  </si>
  <si>
    <t>平谷区兴谷街道兴谷路29号院1号楼1至3层01</t>
    <phoneticPr fontId="134" type="noConversion"/>
  </si>
  <si>
    <t>1号楼</t>
  </si>
  <si>
    <t>车间</t>
  </si>
  <si>
    <t>混合</t>
  </si>
  <si>
    <r>
      <rPr>
        <sz val="11"/>
        <color theme="1"/>
        <rFont val="宋体"/>
        <family val="3"/>
        <charset val="134"/>
        <scheme val="minor"/>
      </rPr>
      <t>1</t>
    </r>
    <r>
      <rPr>
        <sz val="11"/>
        <color theme="1"/>
        <rFont val="宋体"/>
        <family val="3"/>
        <charset val="134"/>
        <scheme val="minor"/>
      </rPr>
      <t>-3</t>
    </r>
  </si>
  <si>
    <r>
      <t>3</t>
    </r>
    <r>
      <rPr>
        <sz val="11"/>
        <color theme="1"/>
        <rFont val="宋体"/>
        <family val="3"/>
        <charset val="134"/>
        <scheme val="minor"/>
      </rPr>
      <t>#车间</t>
    </r>
    <phoneticPr fontId="134" type="noConversion"/>
  </si>
  <si>
    <r>
      <t>3层（局部</t>
    </r>
    <r>
      <rPr>
        <sz val="11"/>
        <color theme="1"/>
        <rFont val="宋体"/>
        <family val="3"/>
        <charset val="134"/>
        <scheme val="minor"/>
      </rPr>
      <t>2层），11.55米</t>
    </r>
    <phoneticPr fontId="134" type="noConversion"/>
  </si>
  <si>
    <r>
      <t>3</t>
    </r>
    <r>
      <rPr>
        <sz val="11"/>
        <color theme="1"/>
        <rFont val="宋体"/>
        <family val="3"/>
        <charset val="134"/>
        <scheme val="minor"/>
      </rPr>
      <t>.85米</t>
    </r>
    <phoneticPr fontId="134" type="noConversion"/>
  </si>
  <si>
    <r>
      <t>局部二层层高8</t>
    </r>
    <r>
      <rPr>
        <sz val="11"/>
        <color theme="1"/>
        <rFont val="宋体"/>
        <family val="3"/>
        <charset val="134"/>
        <scheme val="minor"/>
      </rPr>
      <t>.25</t>
    </r>
    <phoneticPr fontId="134" type="noConversion"/>
  </si>
  <si>
    <t>京（2019）平不动产权第0005323号</t>
    <phoneticPr fontId="134" type="noConversion"/>
  </si>
  <si>
    <t>平谷区兴谷街道兴谷路29号院2号楼1至2层01</t>
    <phoneticPr fontId="134" type="noConversion"/>
  </si>
  <si>
    <t>2号楼</t>
  </si>
  <si>
    <t>钢混</t>
  </si>
  <si>
    <r>
      <rPr>
        <sz val="11"/>
        <color theme="1"/>
        <rFont val="宋体"/>
        <family val="3"/>
        <charset val="134"/>
        <scheme val="minor"/>
      </rPr>
      <t>1</t>
    </r>
    <r>
      <rPr>
        <sz val="11"/>
        <color theme="1"/>
        <rFont val="宋体"/>
        <family val="3"/>
        <charset val="134"/>
        <scheme val="minor"/>
      </rPr>
      <t>-2</t>
    </r>
  </si>
  <si>
    <r>
      <t>4</t>
    </r>
    <r>
      <rPr>
        <sz val="11"/>
        <color theme="1"/>
        <rFont val="宋体"/>
        <family val="3"/>
        <charset val="134"/>
        <scheme val="minor"/>
      </rPr>
      <t>#车间</t>
    </r>
    <phoneticPr fontId="134" type="noConversion"/>
  </si>
  <si>
    <r>
      <t>2层</t>
    </r>
    <r>
      <rPr>
        <sz val="11"/>
        <color theme="1"/>
        <rFont val="宋体"/>
        <family val="3"/>
        <charset val="134"/>
        <scheme val="minor"/>
      </rPr>
      <t>9.3米</t>
    </r>
    <phoneticPr fontId="134" type="noConversion"/>
  </si>
  <si>
    <r>
      <t>4</t>
    </r>
    <r>
      <rPr>
        <sz val="11"/>
        <color theme="1"/>
        <rFont val="宋体"/>
        <family val="3"/>
        <charset val="134"/>
        <scheme val="minor"/>
      </rPr>
      <t>.65米</t>
    </r>
    <phoneticPr fontId="134" type="noConversion"/>
  </si>
  <si>
    <r>
      <t>局部层高5</t>
    </r>
    <r>
      <rPr>
        <sz val="11"/>
        <color theme="1"/>
        <rFont val="宋体"/>
        <family val="3"/>
        <charset val="134"/>
        <scheme val="minor"/>
      </rPr>
      <t>.4米</t>
    </r>
    <phoneticPr fontId="134" type="noConversion"/>
  </si>
  <si>
    <t>京（2019）平不动产权第0005324号</t>
    <phoneticPr fontId="134" type="noConversion"/>
  </si>
  <si>
    <t>平谷区兴谷街道兴谷路29号院3号楼1至2层01</t>
    <phoneticPr fontId="134" type="noConversion"/>
  </si>
  <si>
    <t>3号楼</t>
  </si>
  <si>
    <t>钢结构</t>
  </si>
  <si>
    <r>
      <t>1</t>
    </r>
    <r>
      <rPr>
        <sz val="11"/>
        <color theme="1"/>
        <rFont val="宋体"/>
        <family val="3"/>
        <charset val="134"/>
        <scheme val="minor"/>
      </rPr>
      <t>#车间</t>
    </r>
    <phoneticPr fontId="134" type="noConversion"/>
  </si>
  <si>
    <r>
      <t>2层</t>
    </r>
    <r>
      <rPr>
        <sz val="11"/>
        <color theme="1"/>
        <rFont val="宋体"/>
        <family val="3"/>
        <charset val="134"/>
        <scheme val="minor"/>
      </rPr>
      <t>15.35米</t>
    </r>
    <phoneticPr fontId="134" type="noConversion"/>
  </si>
  <si>
    <r>
      <t>7</t>
    </r>
    <r>
      <rPr>
        <sz val="11"/>
        <color theme="1"/>
        <rFont val="宋体"/>
        <family val="3"/>
        <charset val="134"/>
        <scheme val="minor"/>
      </rPr>
      <t>.68米</t>
    </r>
    <phoneticPr fontId="134" type="noConversion"/>
  </si>
  <si>
    <r>
      <t>京（2</t>
    </r>
    <r>
      <rPr>
        <sz val="11"/>
        <color theme="1"/>
        <rFont val="宋体"/>
        <family val="3"/>
        <charset val="134"/>
        <scheme val="minor"/>
      </rPr>
      <t>019）平不动产权第0005322号</t>
    </r>
    <phoneticPr fontId="134" type="noConversion"/>
  </si>
  <si>
    <r>
      <t>平谷区兴谷街道兴谷路2</t>
    </r>
    <r>
      <rPr>
        <sz val="11"/>
        <color theme="1"/>
        <rFont val="宋体"/>
        <family val="3"/>
        <charset val="134"/>
        <scheme val="minor"/>
      </rPr>
      <t>9号院5号1层01</t>
    </r>
    <phoneticPr fontId="134" type="noConversion"/>
  </si>
  <si>
    <t>5号</t>
  </si>
  <si>
    <t>燃气锅炉房</t>
  </si>
  <si>
    <t>合计</t>
  </si>
  <si>
    <r>
      <t>京平国用（2</t>
    </r>
    <r>
      <rPr>
        <sz val="11"/>
        <color theme="1"/>
        <rFont val="宋体"/>
        <family val="3"/>
        <charset val="134"/>
        <scheme val="minor"/>
      </rPr>
      <t>014出）第00020号</t>
    </r>
    <phoneticPr fontId="134" type="noConversion"/>
  </si>
  <si>
    <r>
      <rPr>
        <sz val="11"/>
        <color theme="1"/>
        <rFont val="宋体"/>
        <family val="3"/>
        <charset val="134"/>
        <scheme val="minor"/>
      </rPr>
      <t>北京市平谷区新城北部产业用地M</t>
    </r>
    <r>
      <rPr>
        <sz val="11"/>
        <color theme="1"/>
        <rFont val="宋体"/>
        <family val="3"/>
        <charset val="134"/>
        <scheme val="minor"/>
      </rPr>
      <t>2-2区6号</t>
    </r>
  </si>
  <si>
    <t>1号楼</t>
    <phoneticPr fontId="134" type="noConversion"/>
  </si>
  <si>
    <t>主体</t>
    <phoneticPr fontId="134" type="noConversion"/>
  </si>
  <si>
    <t>装修</t>
    <phoneticPr fontId="134" type="noConversion"/>
  </si>
  <si>
    <t>机电设备</t>
    <phoneticPr fontId="134" type="noConversion"/>
  </si>
  <si>
    <t>抵押权登记证明信息</t>
  </si>
  <si>
    <t>义务人</t>
  </si>
  <si>
    <t>抵押权种类</t>
  </si>
  <si>
    <t>最高债券额</t>
  </si>
  <si>
    <t>宗地使用权证号</t>
  </si>
  <si>
    <t>债券期限</t>
  </si>
  <si>
    <t>北京农业融资担保有限公司</t>
  </si>
  <si>
    <r>
      <rPr>
        <sz val="11"/>
        <color theme="1"/>
        <rFont val="宋体"/>
        <family val="3"/>
        <charset val="134"/>
        <scheme val="minor"/>
      </rPr>
      <t>平谷区兴谷街道兴谷路2</t>
    </r>
    <r>
      <rPr>
        <sz val="11"/>
        <color theme="1"/>
        <rFont val="宋体"/>
        <family val="3"/>
        <charset val="134"/>
        <scheme val="minor"/>
      </rPr>
      <t>9号院1号楼1至3层01</t>
    </r>
  </si>
  <si>
    <t>最高额抵押</t>
  </si>
  <si>
    <r>
      <rPr>
        <sz val="11"/>
        <color theme="1"/>
        <rFont val="宋体"/>
        <family val="3"/>
        <charset val="134"/>
        <scheme val="minor"/>
      </rPr>
      <t>2</t>
    </r>
    <r>
      <rPr>
        <sz val="11"/>
        <color theme="1"/>
        <rFont val="宋体"/>
        <family val="3"/>
        <charset val="134"/>
        <scheme val="minor"/>
      </rPr>
      <t>023-8-3至2025-8-3</t>
    </r>
  </si>
  <si>
    <t>2号楼</t>
    <phoneticPr fontId="134" type="noConversion"/>
  </si>
  <si>
    <t>3号楼</t>
    <phoneticPr fontId="134" type="noConversion"/>
  </si>
  <si>
    <t>建设工程规划许可证信息</t>
  </si>
  <si>
    <t>项目性质</t>
  </si>
  <si>
    <t>总建筑面积</t>
  </si>
  <si>
    <t>对应现在的楼号</t>
  </si>
  <si>
    <t>5号</t>
    <phoneticPr fontId="134" type="noConversion"/>
  </si>
  <si>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</si>
  <si>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</si>
  <si>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</si>
  <si>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</si>
  <si>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</si>
  <si>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</si>
  <si>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</si>
  <si>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已建土地面积</t>
    <phoneticPr fontId="134" type="noConversion"/>
  </si>
  <si>
    <t>空地土地面积</t>
    <phoneticPr fontId="134" type="noConversion"/>
  </si>
  <si>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</si>
  <si>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</si>
  <si>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</si>
  <si>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</si>
  <si>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</si>
  <si>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</si>
  <si>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</si>
  <si>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</si>
  <si>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</si>
  <si>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</si>
  <si>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</si>
  <si>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</si>
  <si>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</si>
  <si>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</si>
  <si>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</si>
  <si>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</si>
  <si>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</si>
  <si>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</si>
  <si>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</si>
  <si>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</si>
  <si>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</si>
  <si>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</si>
  <si>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</si>
  <si>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</si>
  <si>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</si>
  <si>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</si>
  <si>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</si>
  <si>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</si>
  <si>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</si>
  <si>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t>否</t>
  </si>
  <si>
    <t>地上</t>
  </si>
  <si>
    <t>建成年代</t>
  </si>
  <si>
    <r>
      <rPr>
        <sz val="10"/>
        <color indexed="8"/>
        <rFont val="Arial"/>
        <family val="2"/>
      </rPr>
      <t>1</t>
    </r>
    <r>
      <rPr>
        <sz val="10"/>
        <color indexed="8"/>
        <rFont val="宋体"/>
        <family val="3"/>
        <charset val="134"/>
      </rPr>
      <t>号楼钢混</t>
    </r>
  </si>
  <si>
    <t>直线</t>
  </si>
  <si>
    <r>
      <rPr>
        <sz val="10"/>
        <color indexed="8"/>
        <rFont val="Arial"/>
        <family val="2"/>
      </rPr>
      <t>2</t>
    </r>
    <r>
      <rPr>
        <sz val="10"/>
        <color indexed="8"/>
        <rFont val="宋体"/>
        <family val="3"/>
        <charset val="134"/>
      </rPr>
      <t>号楼钢混</t>
    </r>
  </si>
  <si>
    <r>
      <rPr>
        <sz val="10"/>
        <color indexed="8"/>
        <rFont val="Arial"/>
        <family val="2"/>
      </rPr>
      <t>3</t>
    </r>
    <r>
      <rPr>
        <sz val="10"/>
        <color indexed="8"/>
        <rFont val="宋体"/>
        <family val="3"/>
        <charset val="134"/>
      </rPr>
      <t>号楼钢结构</t>
    </r>
  </si>
  <si>
    <r>
      <t>5</t>
    </r>
    <r>
      <rPr>
        <sz val="10"/>
        <color rgb="FF000000"/>
        <rFont val="宋体"/>
        <family val="3"/>
        <charset val="134"/>
      </rPr>
      <t>号钢混</t>
    </r>
  </si>
  <si>
    <t>综合成新</t>
  </si>
  <si>
    <t>成新度</t>
  </si>
  <si>
    <t>建筑物日租金</t>
    <phoneticPr fontId="134" type="noConversion"/>
  </si>
  <si>
    <t>土地日租金</t>
    <phoneticPr fontId="134" type="noConversion"/>
  </si>
  <si>
    <t>合计日租金</t>
    <phoneticPr fontId="134" type="noConversion"/>
  </si>
  <si>
    <t>收益法</t>
  </si>
  <si>
    <t>成本法</t>
  </si>
  <si>
    <t>总价</t>
  </si>
  <si>
    <t>情况3</t>
  </si>
  <si>
    <t>正常</t>
  </si>
  <si>
    <t>自行开发建设</t>
  </si>
  <si>
    <t>仅含出让金</t>
  </si>
  <si>
    <t>企业提供（在右侧录入）</t>
  </si>
  <si>
    <t>未包含在土地购买价格中</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</si>
  <si>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</si>
  <si>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</si>
  <si>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</si>
  <si>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</si>
  <si>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</si>
  <si>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</si>
  <si>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</si>
  <si>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</si>
  <si>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</si>
  <si>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</si>
  <si>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</si>
  <si>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</si>
  <si>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</si>
  <si>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</si>
  <si>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</si>
  <si>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</si>
  <si>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</si>
  <si>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</si>
  <si>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</si>
  <si>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</si>
  <si>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</si>
  <si>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中关村平谷农业科技园区(一期)土地一级开发 项目PG04-0102-6002工业研发用地</t>
    <phoneticPr fontId="134" type="noConversion"/>
  </si>
  <si>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</si>
  <si>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</si>
  <si>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</si>
  <si>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</si>
  <si>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</si>
  <si>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</si>
  <si>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</si>
  <si>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2024-04-29 15:00</t>
  </si>
  <si>
    <t>中关村平谷农业科技园区(一期)土地一级开发 项目PG04-0102-6004、6006地块工业研发用地</t>
  </si>
  <si>
    <t>京规自挂(平)工业[2024]005号</t>
  </si>
  <si>
    <t>楼面价</t>
    <phoneticPr fontId="134" type="noConversion"/>
  </si>
  <si>
    <t>地面价</t>
    <phoneticPr fontId="134" type="noConversion"/>
  </si>
  <si>
    <t>修正后地面价</t>
    <phoneticPr fontId="134" type="noConversion"/>
  </si>
  <si>
    <t>中关村平谷农业科技园区(一期)土地一级开发项目PG04-0102-6001地块工业研发用地</t>
  </si>
  <si>
    <t>京规自挂(平)工业[2024]003号</t>
  </si>
  <si>
    <t>年期修正</t>
    <phoneticPr fontId="134" type="noConversion"/>
  </si>
  <si>
    <t>容积率修正</t>
    <phoneticPr fontId="134" type="noConversion"/>
  </si>
  <si>
    <t>平谷新城0105街区PG00-0105-0009地块(平谷区兴谷智慧产业赋能中心项目)M1工业用地</t>
  </si>
  <si>
    <t>京规自挂(平)工业[2023]004号</t>
  </si>
  <si>
    <t xml:space="preserve"> ≤1.2 </t>
    <phoneticPr fontId="134" type="noConversion"/>
  </si>
  <si>
    <t xml:space="preserve"> M1工业用地 </t>
  </si>
  <si>
    <t xml:space="preserve"> 北京兴谷源亚科技发展有限公司  </t>
  </si>
  <si>
    <t>2023-07-06 15:00</t>
  </si>
  <si>
    <t>北京市平谷新城北部产业用地D02-01地块M1工业用地国有建设用地使用权出让公告</t>
  </si>
  <si>
    <t>京土整储挂(平)工业【2021】003号</t>
  </si>
  <si>
    <t xml:space="preserve"> ≤1.1 </t>
    <phoneticPr fontId="134" type="noConversion"/>
  </si>
  <si>
    <t xml:space="preserve"> 北京同生科技有限公司  </t>
  </si>
  <si>
    <t>北京市平谷新城北部产业用地F01地块M1工业用地国有建设用地使用权出让公告</t>
  </si>
  <si>
    <t>京土整储挂(平)工业【2021】004号</t>
  </si>
  <si>
    <t xml:space="preserve"> ≤1.0 </t>
    <phoneticPr fontId="134" type="noConversion"/>
  </si>
  <si>
    <t xml:space="preserve"> 北京二十二城一号供应链管理有限公司  </t>
  </si>
  <si>
    <t>北京市平谷新城北部产业用地F05-05地块M2工业用地</t>
  </si>
  <si>
    <t>京土整储挂(平)工业【2020】001号</t>
  </si>
  <si>
    <t xml:space="preserve"> ≤1 </t>
  </si>
  <si>
    <t xml:space="preserve"> M2工业用地 </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</si>
  <si>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</si>
  <si>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</si>
  <si>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</si>
  <si>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</si>
  <si>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</si>
  <si>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</si>
  <si>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 </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</si>
  <si>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</si>
  <si>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</si>
  <si>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</si>
  <si>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</si>
  <si>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</si>
  <si>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</si>
  <si>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 </t>
  </si>
  <si>
    <t xml:space="preserve"> 北京兴谷中心企业创新投资管理有限公司  </t>
  </si>
  <si>
    <t>平谷区新城北部产业用地D02、D04地块工业用地</t>
  </si>
  <si>
    <t>京土整储工挂(平)【2014】01号</t>
  </si>
  <si>
    <t xml:space="preserve"> ≤1.2 </t>
  </si>
  <si>
    <t xml:space="preserve"> M1-3工业用地 </t>
  </si>
  <si>
    <t xml:space="preserve"> 北京联东金平投资管理有限公司  </t>
  </si>
  <si>
    <t>平谷区新城北部产业用地M2-2区6号工业用地</t>
  </si>
  <si>
    <t>京土整储工挂(平)【2013】07号</t>
  </si>
  <si>
    <t xml:space="preserve"> 0.8-1.2 </t>
  </si>
  <si>
    <t xml:space="preserve"> M1-M3工业用地 </t>
  </si>
  <si>
    <t xml:space="preserve"> 北京市东风保健营养品有限责任公司  </t>
  </si>
  <si>
    <t>平谷区马坊工业园E19-04A号地块工业用地</t>
  </si>
  <si>
    <t>京土整储工挂(平)【2013】05号</t>
  </si>
  <si>
    <t xml:space="preserve"> 0.8-1.5 </t>
  </si>
  <si>
    <t xml:space="preserve"> M1一类工业用地 </t>
  </si>
  <si>
    <t xml:space="preserve"> 北京爱美客生物科技有限公司  </t>
  </si>
  <si>
    <t>平谷区马坊工业园E19-04B号地块工业用地</t>
  </si>
  <si>
    <t>京土整储工挂(平)【2013】06号</t>
  </si>
  <si>
    <t xml:space="preserve"> 北京格兰特膜分离设备有限公司  </t>
  </si>
  <si>
    <t>兴谷工业区</t>
  </si>
  <si>
    <t>开发商租，清盘</t>
  </si>
  <si>
    <t>租金</t>
  </si>
  <si>
    <t>含税0.9元</t>
  </si>
  <si>
    <t>毛坯</t>
  </si>
  <si>
    <t>不含物业供暖，物业0.1元，供暖可市政供暖或中央空调</t>
  </si>
  <si>
    <r>
      <rPr>
        <sz val="11"/>
        <color theme="1"/>
        <rFont val="宋体"/>
        <family val="3"/>
        <charset val="134"/>
        <scheme val="minor"/>
      </rPr>
      <t>首层7</t>
    </r>
    <r>
      <rPr>
        <sz val="11"/>
        <color theme="1"/>
        <rFont val="宋体"/>
        <family val="3"/>
        <charset val="134"/>
        <scheme val="minor"/>
      </rPr>
      <t>.96米，2、3层4.5米层高</t>
    </r>
  </si>
  <si>
    <t>较好</t>
  </si>
  <si>
    <t>一般</t>
  </si>
  <si>
    <t>较差</t>
  </si>
  <si>
    <t>五通</t>
  </si>
  <si>
    <t>十级</t>
    <phoneticPr fontId="32" type="noConversion"/>
  </si>
  <si>
    <t>规则</t>
  </si>
  <si>
    <t>较规则</t>
  </si>
  <si>
    <t>七通</t>
  </si>
  <si>
    <t>六通</t>
  </si>
  <si>
    <t>四通</t>
  </si>
  <si>
    <t>三通</t>
  </si>
  <si>
    <t>好</t>
  </si>
  <si>
    <t>差</t>
  </si>
  <si>
    <t>十级</t>
    <phoneticPr fontId="24" type="noConversion"/>
  </si>
  <si>
    <t>押一</t>
  </si>
  <si>
    <t>生产用房</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</si>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</sst>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_);[Red]\(0.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9" borderId="1" xfId="0" applyFont="1" applyFill="1" applyBorder="1" applyAlignment="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269" fillId="0" borderId="24" xfId="0" applyFont="1" applyBorder="1" applyAlignment="1" applyProtection="1">
      <alignment vertical="center" wrapText="1"/>
      <protection locked="0"/>
    </xf>
    <xf numFmtId="0" fontId="95" fillId="5" borderId="0" xfId="0" applyFont="1" applyFill="1" applyAlignment="1">
      <alignment horizontal="left" vertical="center"/>
    </xf>
    <xf numFmtId="0" fontId="0" fillId="0" borderId="1" xfId="0" applyBorder="1" applyAlignment="1">
      <alignment horizontal="left" vertical="center"/>
    </xf>
    <xf numFmtId="49" fontId="95" fillId="0" borderId="1" xfId="0" applyNumberFormat="1" applyFont="1" applyBorder="1" applyAlignment="1">
      <alignment horizontal="left" vertical="center"/>
    </xf>
    <xf numFmtId="0" fontId="95" fillId="18" borderId="0" xfId="0" applyFont="1" applyFill="1" applyAlignment="1">
      <alignment horizontal="left" vertical="center"/>
    </xf>
    <xf numFmtId="0" fontId="0" fillId="18" borderId="0" xfId="0" applyFill="1" applyAlignment="1">
      <alignment horizontal="left" vertical="center"/>
    </xf>
    <xf numFmtId="14" fontId="0" fillId="0" borderId="1" xfId="0" applyNumberFormat="1" applyBorder="1" applyAlignment="1">
      <alignment horizontal="left" vertical="center"/>
    </xf>
    <xf numFmtId="49" fontId="0" fillId="0" borderId="1" xfId="0" applyNumberFormat="1" applyBorder="1" applyAlignment="1">
      <alignment horizontal="left" vertical="center"/>
    </xf>
    <xf numFmtId="0" fontId="0" fillId="16" borderId="0" xfId="0" applyFill="1" applyAlignment="1">
      <alignment horizontal="left" vertical="center"/>
    </xf>
    <xf numFmtId="49" fontId="0" fillId="0" borderId="0" xfId="0" applyNumberFormat="1" applyAlignment="1">
      <alignment horizontal="left" vertical="center"/>
    </xf>
    <xf numFmtId="181" fontId="98" fillId="0" borderId="0" xfId="17" applyNumberFormat="1" applyFont="1" applyAlignment="1">
      <alignment horizontal="left" vertical="center"/>
    </xf>
    <xf numFmtId="0" fontId="95" fillId="8" borderId="1" xfId="0" applyFont="1" applyFill="1" applyBorder="1" applyAlignment="1">
      <alignment horizontal="left" vertical="center"/>
    </xf>
    <xf numFmtId="179" fontId="0" fillId="0" borderId="1" xfId="0" applyNumberFormat="1" applyBorder="1" applyAlignment="1">
      <alignment horizontal="left" vertical="center"/>
    </xf>
    <xf numFmtId="179" fontId="0" fillId="0" borderId="0" xfId="0" applyNumberFormat="1" applyAlignment="1">
      <alignment horizontal="left" vertical="center"/>
    </xf>
    <xf numFmtId="178" fontId="0" fillId="0" borderId="0" xfId="0" applyNumberFormat="1" applyAlignment="1">
      <alignment horizontal="left" vertical="center"/>
    </xf>
    <xf numFmtId="177" fontId="0" fillId="0" borderId="1" xfId="0" applyNumberFormat="1" applyBorder="1" applyAlignment="1">
      <alignment horizontal="left" vertical="center"/>
    </xf>
    <xf numFmtId="177" fontId="0" fillId="0" borderId="0" xfId="0" applyNumberFormat="1" applyAlignment="1">
      <alignment horizontal="left" vertical="center"/>
    </xf>
    <xf numFmtId="179" fontId="47" fillId="3" borderId="5" xfId="0" applyNumberFormat="1" applyFont="1" applyFill="1" applyBorder="1" applyAlignment="1" applyProtection="1">
      <alignment horizontal="center" vertical="center" wrapText="1"/>
      <protection locked="0"/>
    </xf>
    <xf numFmtId="181" fontId="47" fillId="18" borderId="10" xfId="0" applyNumberFormat="1" applyFont="1" applyFill="1" applyBorder="1" applyAlignment="1" applyProtection="1">
      <alignment horizontal="center" vertical="center"/>
      <protection locked="0"/>
    </xf>
    <xf numFmtId="0" fontId="77" fillId="12" borderId="0" xfId="0" applyFont="1" applyFill="1" applyProtection="1">
      <alignment vertical="center"/>
      <protection locked="0"/>
    </xf>
    <xf numFmtId="0" fontId="164" fillId="12" borderId="0" xfId="0" applyFont="1" applyFill="1" applyAlignment="1" applyProtection="1">
      <alignment horizontal="center" vertical="center"/>
      <protection locked="0"/>
    </xf>
    <xf numFmtId="0" fontId="163" fillId="0" borderId="0" xfId="0" applyFont="1" applyProtection="1">
      <alignment vertical="center"/>
      <protection locked="0"/>
    </xf>
    <xf numFmtId="0" fontId="47" fillId="16" borderId="0" xfId="0" applyFont="1" applyFill="1" applyProtection="1">
      <alignment vertical="center"/>
      <protection locked="0"/>
    </xf>
    <xf numFmtId="179" fontId="44" fillId="18" borderId="23" xfId="0" applyNumberFormat="1" applyFont="1" applyFill="1" applyBorder="1" applyAlignment="1" applyProtection="1">
      <alignment horizontal="center" vertical="center"/>
      <protection locked="0"/>
    </xf>
    <xf numFmtId="0" fontId="47" fillId="18"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0" fillId="0" borderId="0" xfId="0" applyAlignment="1">
      <alignment wrapText="1"/>
    </xf>
    <xf numFmtId="0" fontId="95" fillId="0" borderId="0" xfId="0" applyFont="1" applyAlignment="1">
      <alignment wrapText="1"/>
    </xf>
    <xf numFmtId="14" fontId="0" fillId="0" borderId="0" xfId="0" applyNumberFormat="1" applyAlignment="1">
      <alignment wrapText="1"/>
    </xf>
    <xf numFmtId="0" fontId="0" fillId="5" borderId="0" xfId="0" applyFill="1" applyAlignment="1">
      <alignment wrapText="1"/>
    </xf>
    <xf numFmtId="0" fontId="95" fillId="5" borderId="0" xfId="0" applyFont="1" applyFill="1" applyAlignment="1">
      <alignment wrapText="1"/>
    </xf>
    <xf numFmtId="14" fontId="0" fillId="5" borderId="0" xfId="0" applyNumberFormat="1" applyFill="1" applyAlignment="1">
      <alignment wrapText="1"/>
    </xf>
    <xf numFmtId="0" fontId="94" fillId="0" borderId="44"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32" xfId="10" applyFont="1" applyBorder="1" applyAlignment="1" applyProtection="1">
      <alignment horizontal="center" vertical="center" wrapText="1"/>
      <protection locked="0"/>
    </xf>
    <xf numFmtId="0" fontId="51" fillId="0" borderId="32"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0" borderId="1" xfId="1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0" borderId="49" xfId="0" applyFont="1" applyBorder="1" applyAlignment="1" applyProtection="1">
      <alignment vertical="center" wrapText="1"/>
      <protection locked="0"/>
    </xf>
    <xf numFmtId="196" fontId="251" fillId="6" borderId="1" xfId="3" applyNumberFormat="1" applyFont="1" applyFill="1" applyBorder="1" applyAlignment="1">
      <alignment horizontal="left" vertical="center"/>
    </xf>
    <xf numFmtId="196" fontId="251" fillId="6" borderId="32" xfId="3" applyNumberFormat="1" applyFont="1" applyFill="1" applyBorder="1" applyAlignment="1">
      <alignment horizontal="left" vertical="center"/>
    </xf>
    <xf numFmtId="179" fontId="47" fillId="8" borderId="1" xfId="0" applyNumberFormat="1" applyFont="1" applyFill="1" applyBorder="1" applyAlignment="1">
      <alignment horizontal="center" vertical="center" wrapText="1"/>
    </xf>
    <xf numFmtId="10" fontId="44" fillId="8" borderId="1" xfId="0" applyNumberFormat="1" applyFont="1" applyFill="1" applyBorder="1" applyAlignment="1" applyProtection="1">
      <alignment horizontal="center" vertical="center"/>
      <protection locked="0"/>
    </xf>
    <xf numFmtId="181" fontId="44" fillId="8" borderId="24" xfId="0" applyNumberFormat="1" applyFont="1" applyFill="1" applyBorder="1" applyAlignment="1" applyProtection="1">
      <alignment horizontal="center" vertical="center"/>
      <protection locked="0"/>
    </xf>
    <xf numFmtId="182" fontId="44" fillId="8" borderId="1" xfId="0" applyNumberFormat="1" applyFont="1" applyFill="1" applyBorder="1" applyAlignment="1" applyProtection="1">
      <alignment horizontal="center" vertical="center"/>
      <protection locked="0"/>
    </xf>
    <xf numFmtId="0" fontId="0" fillId="8" borderId="1" xfId="0" applyFill="1" applyBorder="1" applyAlignment="1">
      <alignment horizontal="left" vertical="center"/>
    </xf>
    <xf numFmtId="0" fontId="0" fillId="8" borderId="0" xfId="0" applyFill="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179" fontId="0" fillId="0" borderId="1" xfId="0" applyNumberFormat="1" applyBorder="1" applyAlignment="1">
      <alignment horizontal="left" vertical="center"/>
    </xf>
    <xf numFmtId="0" fontId="0" fillId="0" borderId="1" xfId="0"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53" fillId="8"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patternType="solid">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210397</xdr:colOff>
      <xdr:row>5</xdr:row>
      <xdr:rowOff>100753</xdr:rowOff>
    </xdr:from>
    <xdr:to>
      <xdr:col>22</xdr:col>
      <xdr:colOff>134183</xdr:colOff>
      <xdr:row>41</xdr:row>
      <xdr:rowOff>63500</xdr:rowOff>
    </xdr:to>
    <xdr:pic>
      <xdr:nvPicPr>
        <xdr:cNvPr id="2" name="图片 1">
          <a:extLst>
            <a:ext uri="{FF2B5EF4-FFF2-40B4-BE49-F238E27FC236}">
              <a16:creationId xmlns:a16="http://schemas.microsoft.com/office/drawing/2014/main" xmlns="" id="{DA592257-1B11-485F-AA2E-8A11DC14BE41}"/>
            </a:ext>
          </a:extLst>
        </xdr:cNvPr>
        <xdr:cNvPicPr>
          <a:picLocks noChangeAspect="1"/>
        </xdr:cNvPicPr>
      </xdr:nvPicPr>
      <xdr:blipFill>
        <a:blip xmlns:r="http://schemas.openxmlformats.org/officeDocument/2006/relationships" r:embed="rId1"/>
        <a:stretch>
          <a:fillRect/>
        </a:stretch>
      </xdr:blipFill>
      <xdr:spPr>
        <a:xfrm>
          <a:off x="13367597" y="4113953"/>
          <a:ext cx="2362186" cy="67826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610263</xdr:colOff>
      <xdr:row>44</xdr:row>
      <xdr:rowOff>160462</xdr:rowOff>
    </xdr:to>
    <xdr:pic>
      <xdr:nvPicPr>
        <xdr:cNvPr id="2" name="图片 1">
          <a:extLst>
            <a:ext uri="{FF2B5EF4-FFF2-40B4-BE49-F238E27FC236}">
              <a16:creationId xmlns:a16="http://schemas.microsoft.com/office/drawing/2014/main" xmlns="" id="{620E2239-72C3-4BDE-92C0-EDD71C6A8EF2}"/>
            </a:ext>
          </a:extLst>
        </xdr:cNvPr>
        <xdr:cNvPicPr>
          <a:picLocks noChangeAspect="1"/>
        </xdr:cNvPicPr>
      </xdr:nvPicPr>
      <xdr:blipFill>
        <a:blip xmlns:r="http://schemas.openxmlformats.org/officeDocument/2006/relationships" r:embed="rId1"/>
        <a:stretch>
          <a:fillRect/>
        </a:stretch>
      </xdr:blipFill>
      <xdr:spPr>
        <a:xfrm>
          <a:off x="0" y="6035040"/>
          <a:ext cx="7651143" cy="5098222"/>
        </a:xfrm>
        <a:prstGeom prst="rect">
          <a:avLst/>
        </a:prstGeom>
      </xdr:spPr>
    </xdr:pic>
    <xdr:clientData/>
  </xdr:twoCellAnchor>
  <xdr:twoCellAnchor editAs="oneCell">
    <xdr:from>
      <xdr:col>0</xdr:col>
      <xdr:colOff>0</xdr:colOff>
      <xdr:row>46</xdr:row>
      <xdr:rowOff>0</xdr:rowOff>
    </xdr:from>
    <xdr:to>
      <xdr:col>5</xdr:col>
      <xdr:colOff>214051</xdr:colOff>
      <xdr:row>74</xdr:row>
      <xdr:rowOff>69030</xdr:rowOff>
    </xdr:to>
    <xdr:pic>
      <xdr:nvPicPr>
        <xdr:cNvPr id="3" name="图片 2">
          <a:extLst>
            <a:ext uri="{FF2B5EF4-FFF2-40B4-BE49-F238E27FC236}">
              <a16:creationId xmlns:a16="http://schemas.microsoft.com/office/drawing/2014/main" xmlns="" id="{5454FE16-C870-483F-8246-9496E6EF9534}"/>
            </a:ext>
          </a:extLst>
        </xdr:cNvPr>
        <xdr:cNvPicPr>
          <a:picLocks noChangeAspect="1"/>
        </xdr:cNvPicPr>
      </xdr:nvPicPr>
      <xdr:blipFill>
        <a:blip xmlns:r="http://schemas.openxmlformats.org/officeDocument/2006/relationships" r:embed="rId2"/>
        <a:stretch>
          <a:fillRect/>
        </a:stretch>
      </xdr:blipFill>
      <xdr:spPr>
        <a:xfrm>
          <a:off x="0" y="11887200"/>
          <a:ext cx="7971211" cy="5189670"/>
        </a:xfrm>
        <a:prstGeom prst="rect">
          <a:avLst/>
        </a:prstGeom>
      </xdr:spPr>
    </xdr:pic>
    <xdr:clientData/>
  </xdr:twoCellAnchor>
  <xdr:twoCellAnchor editAs="oneCell">
    <xdr:from>
      <xdr:col>0</xdr:col>
      <xdr:colOff>0</xdr:colOff>
      <xdr:row>75</xdr:row>
      <xdr:rowOff>0</xdr:rowOff>
    </xdr:from>
    <xdr:to>
      <xdr:col>5</xdr:col>
      <xdr:colOff>709394</xdr:colOff>
      <xdr:row>102</xdr:row>
      <xdr:rowOff>145220</xdr:rowOff>
    </xdr:to>
    <xdr:pic>
      <xdr:nvPicPr>
        <xdr:cNvPr id="4" name="图片 3">
          <a:extLst>
            <a:ext uri="{FF2B5EF4-FFF2-40B4-BE49-F238E27FC236}">
              <a16:creationId xmlns:a16="http://schemas.microsoft.com/office/drawing/2014/main" xmlns="" id="{5A14E2E2-C488-48D5-AC0D-8479B1005356}"/>
            </a:ext>
          </a:extLst>
        </xdr:cNvPr>
        <xdr:cNvPicPr>
          <a:picLocks noChangeAspect="1"/>
        </xdr:cNvPicPr>
      </xdr:nvPicPr>
      <xdr:blipFill>
        <a:blip xmlns:r="http://schemas.openxmlformats.org/officeDocument/2006/relationships" r:embed="rId3"/>
        <a:stretch>
          <a:fillRect/>
        </a:stretch>
      </xdr:blipFill>
      <xdr:spPr>
        <a:xfrm>
          <a:off x="0" y="17190720"/>
          <a:ext cx="8466554" cy="5082980"/>
        </a:xfrm>
        <a:prstGeom prst="rect">
          <a:avLst/>
        </a:prstGeom>
      </xdr:spPr>
    </xdr:pic>
    <xdr:clientData/>
  </xdr:twoCellAnchor>
  <xdr:twoCellAnchor editAs="oneCell">
    <xdr:from>
      <xdr:col>7</xdr:col>
      <xdr:colOff>137160</xdr:colOff>
      <xdr:row>30</xdr:row>
      <xdr:rowOff>91440</xdr:rowOff>
    </xdr:from>
    <xdr:to>
      <xdr:col>14</xdr:col>
      <xdr:colOff>122735</xdr:colOff>
      <xdr:row>59</xdr:row>
      <xdr:rowOff>137624</xdr:rowOff>
    </xdr:to>
    <xdr:pic>
      <xdr:nvPicPr>
        <xdr:cNvPr id="5" name="图片 4">
          <a:extLst>
            <a:ext uri="{FF2B5EF4-FFF2-40B4-BE49-F238E27FC236}">
              <a16:creationId xmlns:a16="http://schemas.microsoft.com/office/drawing/2014/main" xmlns="" id="{3B066C68-722E-4B86-923E-95D677DF9C50}"/>
            </a:ext>
          </a:extLst>
        </xdr:cNvPr>
        <xdr:cNvPicPr>
          <a:picLocks noChangeAspect="1"/>
        </xdr:cNvPicPr>
      </xdr:nvPicPr>
      <xdr:blipFill>
        <a:blip xmlns:r="http://schemas.openxmlformats.org/officeDocument/2006/relationships" r:embed="rId4"/>
        <a:stretch>
          <a:fillRect/>
        </a:stretch>
      </xdr:blipFill>
      <xdr:spPr>
        <a:xfrm>
          <a:off x="9959340" y="9052560"/>
          <a:ext cx="9403895" cy="5349704"/>
        </a:xfrm>
        <a:prstGeom prst="rect">
          <a:avLst/>
        </a:prstGeom>
      </xdr:spPr>
    </xdr:pic>
    <xdr:clientData/>
  </xdr:twoCellAnchor>
  <xdr:twoCellAnchor editAs="oneCell">
    <xdr:from>
      <xdr:col>7</xdr:col>
      <xdr:colOff>0</xdr:colOff>
      <xdr:row>61</xdr:row>
      <xdr:rowOff>0</xdr:rowOff>
    </xdr:from>
    <xdr:to>
      <xdr:col>11</xdr:col>
      <xdr:colOff>671830</xdr:colOff>
      <xdr:row>110</xdr:row>
      <xdr:rowOff>160020</xdr:rowOff>
    </xdr:to>
    <xdr:pic>
      <xdr:nvPicPr>
        <xdr:cNvPr id="6" name="图片 5">
          <a:extLst>
            <a:ext uri="{FF2B5EF4-FFF2-40B4-BE49-F238E27FC236}">
              <a16:creationId xmlns:a16="http://schemas.microsoft.com/office/drawing/2014/main" xmlns="" id="{29F4B42D-576B-4B09-8FE9-F915FC42305A}"/>
            </a:ext>
          </a:extLst>
        </xdr:cNvPr>
        <xdr:cNvPicPr>
          <a:picLocks noChangeAspect="1"/>
        </xdr:cNvPicPr>
      </xdr:nvPicPr>
      <xdr:blipFill>
        <a:blip xmlns:r="http://schemas.openxmlformats.org/officeDocument/2006/relationships" r:embed="rId5"/>
        <a:stretch>
          <a:fillRect/>
        </a:stretch>
      </xdr:blipFill>
      <xdr:spPr>
        <a:xfrm>
          <a:off x="9822180" y="14630400"/>
          <a:ext cx="5518150" cy="9121140"/>
        </a:xfrm>
        <a:prstGeom prst="rect">
          <a:avLst/>
        </a:prstGeom>
        <a:noFill/>
        <a:ln w="9525">
          <a:noFill/>
        </a:ln>
      </xdr:spPr>
    </xdr:pic>
    <xdr:clientData/>
  </xdr:twoCellAnchor>
  <xdr:twoCellAnchor editAs="oneCell">
    <xdr:from>
      <xdr:col>11</xdr:col>
      <xdr:colOff>314325</xdr:colOff>
      <xdr:row>60</xdr:row>
      <xdr:rowOff>167640</xdr:rowOff>
    </xdr:from>
    <xdr:to>
      <xdr:col>14</xdr:col>
      <xdr:colOff>925830</xdr:colOff>
      <xdr:row>107</xdr:row>
      <xdr:rowOff>60960</xdr:rowOff>
    </xdr:to>
    <xdr:pic>
      <xdr:nvPicPr>
        <xdr:cNvPr id="7" name="图片 6">
          <a:extLst>
            <a:ext uri="{FF2B5EF4-FFF2-40B4-BE49-F238E27FC236}">
              <a16:creationId xmlns:a16="http://schemas.microsoft.com/office/drawing/2014/main" xmlns="" id="{52955A73-7A0C-4136-B03E-8A375A0C244E}"/>
            </a:ext>
          </a:extLst>
        </xdr:cNvPr>
        <xdr:cNvPicPr>
          <a:picLocks noChangeAspect="1"/>
        </xdr:cNvPicPr>
      </xdr:nvPicPr>
      <xdr:blipFill>
        <a:blip xmlns:r="http://schemas.openxmlformats.org/officeDocument/2006/relationships" r:embed="rId6"/>
        <a:stretch>
          <a:fillRect/>
        </a:stretch>
      </xdr:blipFill>
      <xdr:spPr>
        <a:xfrm>
          <a:off x="14982825" y="14615160"/>
          <a:ext cx="5183505" cy="8488680"/>
        </a:xfrm>
        <a:prstGeom prst="rect">
          <a:avLst/>
        </a:prstGeom>
        <a:noFill/>
        <a:ln w="9525">
          <a:noFill/>
        </a:ln>
      </xdr:spPr>
    </xdr:pic>
    <xdr:clientData/>
  </xdr:twoCellAnchor>
  <xdr:twoCellAnchor editAs="oneCell">
    <xdr:from>
      <xdr:col>0</xdr:col>
      <xdr:colOff>0</xdr:colOff>
      <xdr:row>106</xdr:row>
      <xdr:rowOff>0</xdr:rowOff>
    </xdr:from>
    <xdr:to>
      <xdr:col>3</xdr:col>
      <xdr:colOff>584835</xdr:colOff>
      <xdr:row>129</xdr:row>
      <xdr:rowOff>66675</xdr:rowOff>
    </xdr:to>
    <xdr:pic>
      <xdr:nvPicPr>
        <xdr:cNvPr id="8" name="图片 7">
          <a:extLst>
            <a:ext uri="{FF2B5EF4-FFF2-40B4-BE49-F238E27FC236}">
              <a16:creationId xmlns:a16="http://schemas.microsoft.com/office/drawing/2014/main" xmlns="" id="{BA56FF9B-9973-4142-B065-4457063D8CAB}"/>
            </a:ext>
          </a:extLst>
        </xdr:cNvPr>
        <xdr:cNvPicPr>
          <a:picLocks noChangeAspect="1"/>
        </xdr:cNvPicPr>
      </xdr:nvPicPr>
      <xdr:blipFill>
        <a:blip xmlns:r="http://schemas.openxmlformats.org/officeDocument/2006/relationships" r:embed="rId7"/>
        <a:stretch>
          <a:fillRect/>
        </a:stretch>
      </xdr:blipFill>
      <xdr:spPr>
        <a:xfrm>
          <a:off x="0" y="22860000"/>
          <a:ext cx="6688455" cy="4272915"/>
        </a:xfrm>
        <a:prstGeom prst="rect">
          <a:avLst/>
        </a:prstGeom>
        <a:noFill/>
        <a:ln w="9525">
          <a:noFill/>
        </a:ln>
      </xdr:spPr>
    </xdr:pic>
    <xdr:clientData/>
  </xdr:twoCellAnchor>
  <xdr:twoCellAnchor editAs="oneCell">
    <xdr:from>
      <xdr:col>0</xdr:col>
      <xdr:colOff>1844041</xdr:colOff>
      <xdr:row>87</xdr:row>
      <xdr:rowOff>76201</xdr:rowOff>
    </xdr:from>
    <xdr:to>
      <xdr:col>2</xdr:col>
      <xdr:colOff>1676401</xdr:colOff>
      <xdr:row>99</xdr:row>
      <xdr:rowOff>57109</xdr:rowOff>
    </xdr:to>
    <xdr:pic>
      <xdr:nvPicPr>
        <xdr:cNvPr id="9" name="图片 8">
          <a:extLst>
            <a:ext uri="{FF2B5EF4-FFF2-40B4-BE49-F238E27FC236}">
              <a16:creationId xmlns:a16="http://schemas.microsoft.com/office/drawing/2014/main" xmlns="" id="{30A13998-2EA1-4E41-9C54-D65AC252F504}"/>
            </a:ext>
          </a:extLst>
        </xdr:cNvPr>
        <xdr:cNvPicPr>
          <a:picLocks noChangeAspect="1"/>
        </xdr:cNvPicPr>
      </xdr:nvPicPr>
      <xdr:blipFill>
        <a:blip xmlns:r="http://schemas.openxmlformats.org/officeDocument/2006/relationships" r:embed="rId8"/>
        <a:stretch>
          <a:fillRect/>
        </a:stretch>
      </xdr:blipFill>
      <xdr:spPr>
        <a:xfrm>
          <a:off x="1844041" y="19461481"/>
          <a:ext cx="3589020" cy="2175468"/>
        </a:xfrm>
        <a:prstGeom prst="rect">
          <a:avLst/>
        </a:prstGeom>
      </xdr:spPr>
    </xdr:pic>
    <xdr:clientData/>
  </xdr:twoCellAnchor>
  <xdr:twoCellAnchor editAs="oneCell">
    <xdr:from>
      <xdr:col>0</xdr:col>
      <xdr:colOff>2758440</xdr:colOff>
      <xdr:row>58</xdr:row>
      <xdr:rowOff>121920</xdr:rowOff>
    </xdr:from>
    <xdr:to>
      <xdr:col>2</xdr:col>
      <xdr:colOff>1928114</xdr:colOff>
      <xdr:row>75</xdr:row>
      <xdr:rowOff>23121</xdr:rowOff>
    </xdr:to>
    <xdr:pic>
      <xdr:nvPicPr>
        <xdr:cNvPr id="10" name="图片 9">
          <a:extLst>
            <a:ext uri="{FF2B5EF4-FFF2-40B4-BE49-F238E27FC236}">
              <a16:creationId xmlns:a16="http://schemas.microsoft.com/office/drawing/2014/main" xmlns="" id="{8CC3A615-5C15-4617-9417-71137313F07F}"/>
            </a:ext>
          </a:extLst>
        </xdr:cNvPr>
        <xdr:cNvPicPr>
          <a:picLocks noChangeAspect="1"/>
        </xdr:cNvPicPr>
      </xdr:nvPicPr>
      <xdr:blipFill>
        <a:blip xmlns:r="http://schemas.openxmlformats.org/officeDocument/2006/relationships" r:embed="rId9"/>
        <a:stretch>
          <a:fillRect/>
        </a:stretch>
      </xdr:blipFill>
      <xdr:spPr>
        <a:xfrm>
          <a:off x="2758440" y="14203680"/>
          <a:ext cx="2926334" cy="3010161"/>
        </a:xfrm>
        <a:prstGeom prst="rect">
          <a:avLst/>
        </a:prstGeom>
      </xdr:spPr>
    </xdr:pic>
    <xdr:clientData/>
  </xdr:twoCellAnchor>
  <xdr:twoCellAnchor editAs="oneCell">
    <xdr:from>
      <xdr:col>0</xdr:col>
      <xdr:colOff>2065021</xdr:colOff>
      <xdr:row>26</xdr:row>
      <xdr:rowOff>167640</xdr:rowOff>
    </xdr:from>
    <xdr:to>
      <xdr:col>2</xdr:col>
      <xdr:colOff>1584961</xdr:colOff>
      <xdr:row>39</xdr:row>
      <xdr:rowOff>145621</xdr:rowOff>
    </xdr:to>
    <xdr:pic>
      <xdr:nvPicPr>
        <xdr:cNvPr id="11" name="图片 10">
          <a:extLst>
            <a:ext uri="{FF2B5EF4-FFF2-40B4-BE49-F238E27FC236}">
              <a16:creationId xmlns:a16="http://schemas.microsoft.com/office/drawing/2014/main" xmlns="" id="{BFD5B466-473A-442D-A1D9-BC7E5CACD90A}"/>
            </a:ext>
          </a:extLst>
        </xdr:cNvPr>
        <xdr:cNvPicPr>
          <a:picLocks noChangeAspect="1"/>
        </xdr:cNvPicPr>
      </xdr:nvPicPr>
      <xdr:blipFill>
        <a:blip xmlns:r="http://schemas.openxmlformats.org/officeDocument/2006/relationships" r:embed="rId10"/>
        <a:stretch>
          <a:fillRect/>
        </a:stretch>
      </xdr:blipFill>
      <xdr:spPr>
        <a:xfrm>
          <a:off x="2065021" y="8214360"/>
          <a:ext cx="3276600" cy="2355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38810118-add7-4731-8881-a7509ede793f\2024-1-0534&#20852;&#35895;&#36335;29&#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信息台账"/>
      <sheetName val="估价对象房地状况"/>
      <sheetName val="系统读取表"/>
      <sheetName val="结果表"/>
      <sheetName val="成本法"/>
      <sheetName val="成本法 (元)"/>
      <sheetName val="假设开发法"/>
      <sheetName val="土地案例"/>
      <sheetName val="Sheet1"/>
      <sheetName val="土地比较法-工业"/>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收益法3号楼"/>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9558.83</v>
          </cell>
        </row>
      </sheetData>
      <sheetData sheetId="13">
        <row r="3">
          <cell r="E3">
            <v>6436.4900000000007</v>
          </cell>
        </row>
      </sheetData>
      <sheetData sheetId="14">
        <row r="6">
          <cell r="H6">
            <v>0.05</v>
          </cell>
        </row>
        <row r="19">
          <cell r="U19">
            <v>1</v>
          </cell>
        </row>
      </sheetData>
      <sheetData sheetId="15">
        <row r="9">
          <cell r="F9">
            <v>9558.83</v>
          </cell>
        </row>
        <row r="31">
          <cell r="D31">
            <v>3399.2816666666668</v>
          </cell>
          <cell r="F31">
            <v>6159.5483333333332</v>
          </cell>
        </row>
        <row r="48">
          <cell r="A48">
            <v>5761386</v>
          </cell>
        </row>
        <row r="49">
          <cell r="A49">
            <v>1242914</v>
          </cell>
        </row>
        <row r="51">
          <cell r="A51">
            <v>757086</v>
          </cell>
        </row>
      </sheetData>
      <sheetData sheetId="16"/>
      <sheetData sheetId="17"/>
      <sheetData sheetId="18"/>
      <sheetData sheetId="19"/>
      <sheetData sheetId="20"/>
      <sheetData sheetId="21"/>
      <sheetData sheetId="22">
        <row r="5">
          <cell r="A5" t="str">
            <v>平谷新城0105街区PG00-0105-0009地块(平谷区兴谷智慧产业赋能中心项目)M1工业用地</v>
          </cell>
        </row>
        <row r="6">
          <cell r="A6" t="str">
            <v>北京市平谷新城北部产业用地D02-01地块M1工业用地国有建设用地使用权出让公告</v>
          </cell>
        </row>
        <row r="7">
          <cell r="A7" t="str">
            <v>北京市平谷新城北部产业用地F01地块M1工业用地国有建设用地使用权出让公告</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北京市平谷区兴谷街道兴谷路29号院房地产抵押价值预评估</v>
      </c>
    </row>
    <row r="3" spans="1:2">
      <c r="A3" s="1116" t="s">
        <v>523</v>
      </c>
      <c r="B3" s="1117" t="str">
        <f>'预评函-封皮'!B40</f>
        <v>恒丰银行股份有限公司北京分行</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受贵公司委托，我公司对北京市平谷区兴谷街道兴谷路29号院房地产抵押价值进行了预评估。</v>
      </c>
    </row>
    <row r="7" spans="1:2">
      <c r="A7" s="1116" t="s">
        <v>566</v>
      </c>
      <c r="B7" s="1117" t="str">
        <f>'预评函-1'!A7</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为估价委托人在向办理贷款手续过程中，确定房地产抵押贷款额度提供参考依据而评估房地产抵押价值。</v>
      </c>
    </row>
    <row r="12" spans="1:2">
      <c r="A12" s="1116" t="s">
        <v>528</v>
      </c>
      <c r="B12" s="1117" t="str">
        <f>'预评函-1'!A15</f>
        <v>2024年9月12日（评估专业人员实地查勘之日）</v>
      </c>
    </row>
    <row r="13" spans="1:2">
      <c r="A13" s="1116" t="s">
        <v>529</v>
      </c>
      <c r="B13" s="1117" t="str">
        <f>'预评函-1'!A18</f>
        <v>本次估价的“房地产价值”是指在正常市场情况下，在价值时点2024年9月12日，估价对象规划用途为工业，土地取得方式为出让，出让国有建设用地使用权剩余土地使用年限为39.23，假定未设立法定优先受偿款下的房地产市场价值。</v>
      </c>
    </row>
    <row r="14" spans="1:2">
      <c r="A14" s="1116" t="s">
        <v>530</v>
      </c>
      <c r="B14" s="1117" t="str">
        <f>'预评函-1'!A19</f>
        <v>其中，“出让国有建设用地使用权价值”是指估价对象用途为工业，实际开发程度为宗地红线外“七通”（即、、、、、、）、红线内场地平整条件下，剩余土地使用年限为39.23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3730</v>
      </c>
    </row>
    <row r="21" spans="1:2">
      <c r="A21" s="1116" t="s">
        <v>537</v>
      </c>
      <c r="B21" s="1117">
        <f ca="1">'预评函-2'!D7</f>
        <v>5795</v>
      </c>
    </row>
    <row r="22" spans="1:2">
      <c r="A22" s="1116" t="s">
        <v>538</v>
      </c>
      <c r="B22" s="1117" t="str">
        <f ca="1">'预评函-2'!D6</f>
        <v>叁仟柒佰叁拾万元整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3730</v>
      </c>
    </row>
    <row r="31" spans="1:2">
      <c r="A31" s="1116" t="s">
        <v>576</v>
      </c>
      <c r="B31" s="1117">
        <f ca="1">'预评函-2'!D15</f>
        <v>5795</v>
      </c>
    </row>
    <row r="32" spans="1:2">
      <c r="A32" s="1116" t="s">
        <v>543</v>
      </c>
      <c r="B32" s="1117" t="str">
        <f ca="1">'预评函-2'!D14</f>
        <v>叁仟柒佰叁拾万元整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3311</v>
      </c>
    </row>
    <row r="39" spans="1:2">
      <c r="A39" s="1116" t="s">
        <v>545</v>
      </c>
      <c r="B39" s="1117">
        <f ca="1">'预评函-2'!D21</f>
        <v>5144</v>
      </c>
    </row>
    <row r="40" spans="1:2">
      <c r="A40" s="1116" t="s">
        <v>546</v>
      </c>
      <c r="B40" s="1117" t="str">
        <f ca="1">'预评函-2'!D20</f>
        <v>叁仟叁佰壹拾壹万元整</v>
      </c>
    </row>
    <row r="41" spans="1:2">
      <c r="A41" s="1116" t="s">
        <v>592</v>
      </c>
      <c r="B41" s="1117" t="str">
        <f>'预评函-3'!A4</f>
        <v>北京市平谷区兴谷街道兴谷路29号院房地产</v>
      </c>
    </row>
    <row r="42" spans="1:2">
      <c r="A42" s="1116" t="s">
        <v>590</v>
      </c>
      <c r="B42" s="1117" t="str">
        <f>'预评函-3'!B2</f>
        <v>建筑面积</v>
      </c>
    </row>
    <row r="43" spans="1:2">
      <c r="A43" s="1116" t="s">
        <v>591</v>
      </c>
      <c r="B43" s="1117">
        <f>'预评函-3'!B4</f>
        <v>6436.4900000000007</v>
      </c>
    </row>
    <row r="44" spans="1:2">
      <c r="A44" s="1116" t="s">
        <v>575</v>
      </c>
      <c r="B44" s="1117" t="str">
        <f>'预评函-3'!C2</f>
        <v>(分摊)土地面积</v>
      </c>
    </row>
    <row r="45" spans="1:2">
      <c r="A45" s="1116" t="s">
        <v>547</v>
      </c>
      <c r="B45" s="1117">
        <f>'预评函-3'!C4</f>
        <v>9558.83</v>
      </c>
    </row>
    <row r="46" spans="1:2">
      <c r="A46" s="1116" t="s">
        <v>573</v>
      </c>
      <c r="B46" s="1117" t="str">
        <f>'预评函-3'!D2</f>
        <v>出让国有建设用地使用权价值</v>
      </c>
    </row>
    <row r="47" spans="1:2">
      <c r="A47" s="1116" t="s">
        <v>548</v>
      </c>
      <c r="B47" s="1117">
        <f ca="1">'预评函-3'!D4</f>
        <v>1755</v>
      </c>
    </row>
    <row r="48" spans="1:2">
      <c r="A48" s="1116" t="s">
        <v>549</v>
      </c>
      <c r="B48" s="1117">
        <f ca="1">'预评函-3'!E4</f>
        <v>2727</v>
      </c>
    </row>
    <row r="49" spans="1:2">
      <c r="A49" s="1116" t="s">
        <v>550</v>
      </c>
      <c r="B49" s="1117" t="str">
        <f ca="1">'预评函-3'!D5</f>
        <v>壹仟柒佰伍拾伍万元整</v>
      </c>
    </row>
    <row r="50" spans="1:2">
      <c r="A50" s="1116" t="s">
        <v>574</v>
      </c>
      <c r="B50" s="1117" t="str">
        <f>'预评函-3'!F2</f>
        <v>在建建筑物价值</v>
      </c>
    </row>
    <row r="51" spans="1:2">
      <c r="A51" s="1116" t="s">
        <v>551</v>
      </c>
      <c r="B51" s="1117">
        <f ca="1">'预评函-3'!F4</f>
        <v>1975</v>
      </c>
    </row>
    <row r="52" spans="1:2">
      <c r="A52" s="1116" t="s">
        <v>552</v>
      </c>
      <c r="B52" s="1117">
        <f ca="1">'预评函-3'!G4</f>
        <v>3068</v>
      </c>
    </row>
    <row r="53" spans="1:2">
      <c r="A53" s="1116" t="s">
        <v>580</v>
      </c>
      <c r="B53" s="1117" t="str">
        <f ca="1">'预评函-3'!F5</f>
        <v>壹仟玖佰柒拾伍万元整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3340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3341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3343</v>
      </c>
    </row>
    <row r="8" spans="1:23">
      <c r="A8" s="1438" t="s">
        <v>1026</v>
      </c>
      <c r="B8" s="1438" t="s">
        <v>1027</v>
      </c>
      <c r="C8" s="1439" t="s">
        <v>319</v>
      </c>
      <c r="F8" s="1440" t="s">
        <v>1028</v>
      </c>
      <c r="H8" s="1440" t="s">
        <v>2578</v>
      </c>
      <c r="I8" s="1440" t="s">
        <v>3344</v>
      </c>
    </row>
    <row r="9" spans="1:23">
      <c r="A9" s="1438" t="s">
        <v>1029</v>
      </c>
      <c r="B9" s="1438" t="s">
        <v>1030</v>
      </c>
      <c r="C9" s="1439" t="s">
        <v>320</v>
      </c>
      <c r="F9" s="1440" t="s">
        <v>1031</v>
      </c>
      <c r="H9" s="1440"/>
      <c r="I9" s="1442" t="s">
        <v>3345</v>
      </c>
    </row>
    <row r="10" spans="1:23">
      <c r="A10" s="1438" t="s">
        <v>1032</v>
      </c>
      <c r="B10" s="1438" t="s">
        <v>1033</v>
      </c>
      <c r="C10" s="1439" t="s">
        <v>321</v>
      </c>
      <c r="F10" s="1440" t="s">
        <v>2579</v>
      </c>
      <c r="I10" s="1442" t="s">
        <v>3346</v>
      </c>
    </row>
    <row r="11" spans="1:23">
      <c r="A11" s="1438" t="s">
        <v>1034</v>
      </c>
      <c r="B11" s="1438" t="s">
        <v>1035</v>
      </c>
      <c r="C11" s="1439" t="s">
        <v>322</v>
      </c>
      <c r="F11" s="1440" t="s">
        <v>13</v>
      </c>
      <c r="I11" s="1442" t="s">
        <v>3347</v>
      </c>
    </row>
    <row r="12" spans="1:23">
      <c r="A12" s="1438" t="s">
        <v>1036</v>
      </c>
      <c r="B12" s="1438" t="s">
        <v>1037</v>
      </c>
      <c r="C12" s="1439" t="s">
        <v>323</v>
      </c>
      <c r="I12" s="1442" t="s">
        <v>3348</v>
      </c>
    </row>
    <row r="13" spans="1:23">
      <c r="A13" s="1438" t="s">
        <v>1038</v>
      </c>
      <c r="B13" s="1438" t="s">
        <v>1039</v>
      </c>
      <c r="C13" s="1439" t="s">
        <v>324</v>
      </c>
      <c r="I13" s="1442" t="s">
        <v>3349</v>
      </c>
    </row>
    <row r="14" spans="1:23">
      <c r="A14" s="1438" t="s">
        <v>1040</v>
      </c>
      <c r="B14" s="1438" t="s">
        <v>1041</v>
      </c>
      <c r="C14" s="1440" t="s">
        <v>13</v>
      </c>
      <c r="I14" s="1442" t="s">
        <v>3350</v>
      </c>
    </row>
    <row r="15" spans="1:23">
      <c r="A15" s="1438" t="s">
        <v>1042</v>
      </c>
      <c r="B15" s="1438" t="s">
        <v>1043</v>
      </c>
      <c r="C15" s="1439"/>
      <c r="I15" s="1442" t="s">
        <v>3351</v>
      </c>
    </row>
    <row r="16" spans="1:23">
      <c r="A16" s="1438" t="s">
        <v>1044</v>
      </c>
      <c r="B16" s="1438" t="s">
        <v>312</v>
      </c>
      <c r="C16" s="1439"/>
    </row>
    <row r="17" spans="1:3">
      <c r="A17" s="1438" t="s">
        <v>1045</v>
      </c>
      <c r="B17" s="1438" t="s">
        <v>2292</v>
      </c>
      <c r="C17" s="1439"/>
    </row>
    <row r="18" spans="1:3">
      <c r="A18" s="1438" t="s">
        <v>1046</v>
      </c>
      <c r="B18" s="1438" t="s">
        <v>2434</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街道兴谷路29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30"/>
      <c r="B54" s="1444" t="s">
        <v>385</v>
      </c>
      <c r="C54" s="1442" t="s">
        <v>583</v>
      </c>
    </row>
    <row r="55" spans="1:4">
      <c r="A55" s="3230"/>
      <c r="B55" s="1444" t="s">
        <v>386</v>
      </c>
      <c r="C55" s="1442" t="s">
        <v>584</v>
      </c>
    </row>
    <row r="56" spans="1:4">
      <c r="A56" s="3230"/>
      <c r="B56" s="1444" t="s">
        <v>387</v>
      </c>
      <c r="C56" s="1442" t="s">
        <v>588</v>
      </c>
    </row>
    <row r="57" spans="1:4">
      <c r="A57" s="323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D15" sqref="D15"/>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2501</v>
      </c>
      <c r="B1" s="2749"/>
      <c r="C1" s="2749"/>
      <c r="D1" s="2749"/>
      <c r="E1" s="2749"/>
      <c r="F1" s="2750"/>
      <c r="I1" s="3127" t="s">
        <v>2594</v>
      </c>
      <c r="J1" s="2775"/>
      <c r="K1" s="2775"/>
      <c r="L1" s="2775"/>
      <c r="M1" s="2775"/>
      <c r="N1" s="2960"/>
      <c r="O1" s="2960"/>
      <c r="P1" s="2960"/>
      <c r="Q1" s="2960"/>
      <c r="R1" s="2960"/>
    </row>
    <row r="2" spans="1:18">
      <c r="A2" s="2752"/>
      <c r="B2" s="2753"/>
      <c r="C2" s="2753"/>
      <c r="D2" s="2753"/>
      <c r="E2" s="2753"/>
      <c r="F2" s="2754"/>
      <c r="I2" s="3231" t="s">
        <v>2581</v>
      </c>
      <c r="J2" s="3231"/>
      <c r="K2" s="3231"/>
      <c r="L2" s="3231"/>
      <c r="M2" s="3231"/>
      <c r="N2" s="3231"/>
      <c r="O2" s="3231"/>
      <c r="P2" s="3231"/>
      <c r="Q2" s="3231"/>
      <c r="R2" s="3231"/>
    </row>
    <row r="3" spans="1:18">
      <c r="A3" s="2755" t="s">
        <v>2502</v>
      </c>
      <c r="B3" s="2756">
        <f>项目基本情况!D3</f>
        <v>45547</v>
      </c>
      <c r="C3" s="2758"/>
      <c r="D3" s="2758"/>
      <c r="E3" s="2758"/>
      <c r="F3" s="2754"/>
      <c r="I3" s="2770"/>
      <c r="J3" s="2770" t="s">
        <v>2585</v>
      </c>
      <c r="K3" s="2770" t="s">
        <v>2586</v>
      </c>
      <c r="L3" s="2770" t="s">
        <v>2587</v>
      </c>
      <c r="M3" s="2770" t="s">
        <v>2588</v>
      </c>
      <c r="N3" s="3128" t="s">
        <v>2589</v>
      </c>
      <c r="O3" s="3128" t="s">
        <v>2590</v>
      </c>
      <c r="P3" s="3128" t="s">
        <v>2591</v>
      </c>
      <c r="Q3" s="3128" t="s">
        <v>2592</v>
      </c>
      <c r="R3" s="3128" t="s">
        <v>2593</v>
      </c>
    </row>
    <row r="4" spans="1:18">
      <c r="A4" s="2755" t="s">
        <v>2503</v>
      </c>
      <c r="B4" s="2758" t="s">
        <v>2504</v>
      </c>
      <c r="C4" s="2758" t="s">
        <v>2505</v>
      </c>
      <c r="D4" s="2758" t="s">
        <v>2506</v>
      </c>
      <c r="E4" s="2758" t="s">
        <v>2507</v>
      </c>
      <c r="F4" s="2754"/>
      <c r="I4" s="2770" t="s">
        <v>2582</v>
      </c>
      <c r="J4" s="2770">
        <v>80</v>
      </c>
      <c r="K4" s="2770">
        <v>70</v>
      </c>
      <c r="L4" s="2770">
        <v>20</v>
      </c>
      <c r="M4" s="2770">
        <v>30</v>
      </c>
      <c r="N4" s="2758">
        <v>45</v>
      </c>
      <c r="O4" s="2758">
        <v>60</v>
      </c>
      <c r="P4" s="2758">
        <v>50</v>
      </c>
      <c r="Q4" s="2758">
        <v>20</v>
      </c>
      <c r="R4" s="2758">
        <v>375</v>
      </c>
    </row>
    <row r="5" spans="1:18">
      <c r="A5" s="2759">
        <v>40</v>
      </c>
      <c r="B5" s="2756">
        <v>46375</v>
      </c>
      <c r="C5" s="2758">
        <f>ROUNDDOWN(MIN((B5-B3)/365,A5),2)</f>
        <v>2.2599999999999998</v>
      </c>
      <c r="D5" s="2760">
        <f>IF(ISERROR(ROUND(POWER(1+E5,A5-C5)*(POWER(1+E5,C5)-1)/(POWER(1+E5,A5)-1),3)),0,ROUND(POWER(1+E5,A5-C5)*(POWER(1+E5,C5)-1)/(POWER(1+E5,A5)-1),4))</f>
        <v>0.1071</v>
      </c>
      <c r="E5" s="2761">
        <v>0.04</v>
      </c>
      <c r="F5" s="2754"/>
      <c r="I5" s="2770" t="s">
        <v>2583</v>
      </c>
      <c r="J5" s="2770">
        <v>70</v>
      </c>
      <c r="K5" s="2770">
        <v>60</v>
      </c>
      <c r="L5" s="2770">
        <v>15</v>
      </c>
      <c r="M5" s="2770">
        <v>25</v>
      </c>
      <c r="N5" s="2758">
        <v>40</v>
      </c>
      <c r="O5" s="2758">
        <v>50</v>
      </c>
      <c r="P5" s="2758">
        <v>40</v>
      </c>
      <c r="Q5" s="2758">
        <v>15</v>
      </c>
      <c r="R5" s="2758">
        <v>315</v>
      </c>
    </row>
    <row r="6" spans="1:18">
      <c r="A6" s="2759">
        <v>50</v>
      </c>
      <c r="B6" s="2756">
        <v>50028</v>
      </c>
      <c r="C6" s="2758">
        <f>ROUNDDOWN(MIN((B6-B3)/365,A6),2)</f>
        <v>12.27</v>
      </c>
      <c r="D6" s="2760">
        <f>IF(ISERROR(ROUND(POWER(1+E6,A6-C6)*(POWER(1+E6,C6)-1)/(POWER(1+E6,A6)-1),3)),0,ROUND(POWER(1+E6,A6-C6)*(POWER(1+E6,C6)-1)/(POWER(1+E6,A6)-1),4))</f>
        <v>0.44450000000000001</v>
      </c>
      <c r="E6" s="2761">
        <v>0.04</v>
      </c>
      <c r="F6" s="2754"/>
      <c r="I6" s="2770" t="s">
        <v>2584</v>
      </c>
      <c r="J6" s="2770">
        <v>60</v>
      </c>
      <c r="K6" s="2770">
        <v>50</v>
      </c>
      <c r="L6" s="2770">
        <v>10</v>
      </c>
      <c r="M6" s="2770">
        <v>20</v>
      </c>
      <c r="N6" s="2758">
        <v>35</v>
      </c>
      <c r="O6" s="2758">
        <v>40</v>
      </c>
      <c r="P6" s="2758">
        <v>30</v>
      </c>
      <c r="Q6" s="2758">
        <v>10</v>
      </c>
      <c r="R6" s="2758">
        <v>255</v>
      </c>
    </row>
    <row r="7" spans="1:18">
      <c r="A7" s="2759">
        <v>70</v>
      </c>
      <c r="B7" s="2756">
        <v>57333</v>
      </c>
      <c r="C7" s="2758">
        <f>ROUNDDOWN(MIN((B7-B3)/365,A7),2)</f>
        <v>32.29</v>
      </c>
      <c r="D7" s="2760">
        <f>IF(ISERROR(ROUND(POWER(1+E7,A7-C7)*(POWER(1+E7,C7)-1)/(POWER(1+E7,A7)-1),3)),0,ROUND(POWER(1+E7,A7-C7)*(POWER(1+E7,C7)-1)/(POWER(1+E7,A7)-1),4))</f>
        <v>0.76749999999999996</v>
      </c>
      <c r="E7" s="2761">
        <v>0.04</v>
      </c>
      <c r="F7" s="2754"/>
    </row>
    <row r="8" spans="1:18">
      <c r="A8" s="2752"/>
      <c r="B8" s="2753"/>
      <c r="C8" s="2753"/>
      <c r="D8" s="2753"/>
      <c r="E8" s="2753"/>
      <c r="F8" s="2754"/>
    </row>
    <row r="9" spans="1:18">
      <c r="A9" s="2755" t="s">
        <v>2508</v>
      </c>
      <c r="B9" s="2758"/>
      <c r="C9" s="2758"/>
      <c r="D9" s="2758"/>
      <c r="E9" s="2758"/>
      <c r="F9" s="2762"/>
    </row>
    <row r="10" spans="1:18">
      <c r="A10" s="2755" t="s">
        <v>2509</v>
      </c>
      <c r="B10" s="2758"/>
      <c r="C10" s="2758"/>
      <c r="D10" s="2758" t="s">
        <v>2507</v>
      </c>
      <c r="E10" s="2758"/>
      <c r="F10" s="2762" t="s">
        <v>2506</v>
      </c>
    </row>
    <row r="11" spans="1:18">
      <c r="A11" s="2755" t="s">
        <v>2510</v>
      </c>
      <c r="B11" s="2763">
        <v>50</v>
      </c>
      <c r="C11" s="2758" t="s">
        <v>2511</v>
      </c>
      <c r="D11" s="2763">
        <f>'[2]数据-取费表'!H6</f>
        <v>0.05</v>
      </c>
      <c r="E11" s="2758" t="s">
        <v>2512</v>
      </c>
      <c r="F11" s="2764">
        <f>ROUND(1-(1/(POWER(1+D11,B11))),4)</f>
        <v>0.91279999999999994</v>
      </c>
    </row>
    <row r="12" spans="1:18">
      <c r="A12" s="2755" t="s">
        <v>2513</v>
      </c>
      <c r="B12" s="2763">
        <v>20</v>
      </c>
      <c r="C12" s="2758" t="s">
        <v>2514</v>
      </c>
      <c r="D12" s="2763">
        <f>'[2]数据-取费表'!H6</f>
        <v>0.05</v>
      </c>
      <c r="E12" s="2758" t="s">
        <v>2515</v>
      </c>
      <c r="F12" s="2764">
        <f>ROUND(1-(1/(POWER(1+D12,B12))),4)</f>
        <v>0.62309999999999999</v>
      </c>
    </row>
    <row r="13" spans="1:18">
      <c r="A13" s="2755" t="s">
        <v>2516</v>
      </c>
      <c r="B13" s="2758"/>
      <c r="C13" s="2758"/>
      <c r="D13" s="2753"/>
      <c r="E13" s="2753"/>
      <c r="F13" s="2754"/>
    </row>
    <row r="14" spans="1:18">
      <c r="A14" s="2755" t="s">
        <v>2517</v>
      </c>
      <c r="B14" s="2763">
        <v>5000</v>
      </c>
      <c r="C14" s="2757"/>
      <c r="D14" s="2753"/>
      <c r="E14" s="2753"/>
      <c r="F14" s="2754"/>
    </row>
    <row r="15" spans="1:18">
      <c r="A15" s="2755" t="s">
        <v>2518</v>
      </c>
      <c r="B15" s="2758">
        <f>ROUND(B14*F12/F11,2)</f>
        <v>3413.12</v>
      </c>
      <c r="C15" s="2758">
        <f>ROUND(F12/F11,4)</f>
        <v>0.68259999999999998</v>
      </c>
      <c r="D15" s="2753"/>
      <c r="E15" s="2753"/>
      <c r="F15" s="2754"/>
    </row>
    <row r="16" spans="1:18">
      <c r="A16" s="2755" t="s">
        <v>2519</v>
      </c>
      <c r="B16" s="2758"/>
      <c r="C16" s="2758"/>
      <c r="D16" s="2753"/>
      <c r="E16" s="2753"/>
      <c r="F16" s="2754"/>
    </row>
    <row r="17" spans="1:13">
      <c r="A17" s="2755" t="s">
        <v>2518</v>
      </c>
      <c r="B17" s="2763">
        <v>4810</v>
      </c>
      <c r="C17" s="2757"/>
      <c r="D17" s="2753"/>
      <c r="E17" s="2753"/>
      <c r="F17" s="2754"/>
    </row>
    <row r="18" spans="1:13" ht="14.25" thickBot="1">
      <c r="A18" s="2765" t="s">
        <v>2517</v>
      </c>
      <c r="B18" s="2766">
        <f>ROUND(B17*F11/F12,2)</f>
        <v>7046.33</v>
      </c>
      <c r="C18" s="2766">
        <f>ROUND(F11/F12,4)</f>
        <v>1.4649000000000001</v>
      </c>
      <c r="D18" s="2767"/>
      <c r="E18" s="2767"/>
      <c r="F18" s="2768"/>
    </row>
    <row r="19" spans="1:13" ht="14.25" thickBot="1"/>
    <row r="20" spans="1:13" s="2801" customFormat="1" ht="14.25" thickTop="1">
      <c r="A20" s="2798" t="s">
        <v>2520</v>
      </c>
      <c r="B20" s="2799"/>
      <c r="C20" s="2799"/>
      <c r="D20" s="2799"/>
      <c r="E20" s="2799"/>
      <c r="F20" s="2799"/>
      <c r="G20" s="2800"/>
      <c r="I20" s="2802" t="s">
        <v>2565</v>
      </c>
      <c r="J20" s="2802" t="s">
        <v>2570</v>
      </c>
      <c r="K20" s="2802"/>
      <c r="L20" s="2802"/>
      <c r="M20" s="2802"/>
    </row>
    <row r="21" spans="1:13">
      <c r="A21" s="2769"/>
      <c r="B21" s="2770" t="s">
        <v>2521</v>
      </c>
      <c r="C21" s="2770" t="s">
        <v>2522</v>
      </c>
      <c r="D21" s="2770" t="s">
        <v>2523</v>
      </c>
      <c r="E21" s="2770" t="s">
        <v>2524</v>
      </c>
      <c r="F21" s="2770" t="s">
        <v>2525</v>
      </c>
      <c r="G21" s="2771" t="s">
        <v>2526</v>
      </c>
      <c r="I21" s="2792">
        <v>5</v>
      </c>
      <c r="J21" s="2792">
        <v>54.2</v>
      </c>
    </row>
    <row r="22" spans="1:13">
      <c r="A22" s="2769" t="s">
        <v>2527</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2528</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2568</v>
      </c>
      <c r="M23" s="2792" t="s">
        <v>2569</v>
      </c>
    </row>
    <row r="24" spans="1:13">
      <c r="A24" s="2769" t="s">
        <v>2529</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2567</v>
      </c>
      <c r="M24" s="2792">
        <v>10</v>
      </c>
    </row>
    <row r="25" spans="1:13">
      <c r="A25" s="2769" t="s">
        <v>2530</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2571</v>
      </c>
      <c r="M25" s="2792">
        <v>8</v>
      </c>
    </row>
    <row r="26" spans="1:13">
      <c r="A26" s="2774"/>
      <c r="B26" s="2775"/>
      <c r="C26" s="2775"/>
      <c r="D26" s="2775"/>
      <c r="E26" s="2775"/>
      <c r="F26" s="2775"/>
      <c r="G26" s="2776"/>
      <c r="I26" s="2792">
        <v>30</v>
      </c>
      <c r="J26" s="2792">
        <v>90.5</v>
      </c>
      <c r="K26" s="2792">
        <f t="shared" si="2"/>
        <v>4.2000000000000028</v>
      </c>
      <c r="L26" s="2792" t="s">
        <v>2572</v>
      </c>
      <c r="M26" s="2792">
        <v>5</v>
      </c>
    </row>
    <row r="27" spans="1:13">
      <c r="A27" s="2774" t="s">
        <v>2531</v>
      </c>
      <c r="B27" s="2775"/>
      <c r="C27" s="2775"/>
      <c r="D27" s="2775"/>
      <c r="E27" s="2775"/>
      <c r="F27" s="2775"/>
      <c r="G27" s="2776"/>
      <c r="I27" s="2792">
        <v>35</v>
      </c>
      <c r="J27" s="2792">
        <v>93.8</v>
      </c>
      <c r="K27" s="2792">
        <f t="shared" si="2"/>
        <v>3.2999999999999972</v>
      </c>
      <c r="L27" s="2792" t="s">
        <v>2573</v>
      </c>
      <c r="M27" s="2792">
        <v>3</v>
      </c>
    </row>
    <row r="28" spans="1:13">
      <c r="A28" s="2774" t="s">
        <v>2532</v>
      </c>
      <c r="B28" s="2775"/>
      <c r="C28" s="2775"/>
      <c r="D28" s="2775"/>
      <c r="E28" s="2775"/>
      <c r="F28" s="2775"/>
      <c r="G28" s="2776"/>
      <c r="I28" s="2792">
        <v>40</v>
      </c>
      <c r="J28" s="2792">
        <v>96.4</v>
      </c>
      <c r="K28" s="2792">
        <f t="shared" si="2"/>
        <v>2.6000000000000085</v>
      </c>
      <c r="L28" s="2792" t="s">
        <v>2574</v>
      </c>
      <c r="M28" s="2792">
        <v>2</v>
      </c>
    </row>
    <row r="29" spans="1:13">
      <c r="A29" s="2774" t="s">
        <v>2533</v>
      </c>
      <c r="B29" s="2775"/>
      <c r="C29" s="2775"/>
      <c r="D29" s="2775"/>
      <c r="E29" s="2775"/>
      <c r="F29" s="2775"/>
      <c r="G29" s="2776"/>
      <c r="I29" s="2792">
        <v>45</v>
      </c>
      <c r="J29" s="2792">
        <v>98.4</v>
      </c>
      <c r="K29" s="2792">
        <f t="shared" si="2"/>
        <v>2</v>
      </c>
    </row>
    <row r="30" spans="1:13">
      <c r="A30" s="2774" t="s">
        <v>2534</v>
      </c>
      <c r="B30" s="2775"/>
      <c r="C30" s="2775"/>
      <c r="D30" s="2775"/>
      <c r="E30" s="2775"/>
      <c r="F30" s="2775"/>
      <c r="G30" s="2776"/>
      <c r="I30" s="2792">
        <v>50</v>
      </c>
      <c r="J30" s="2792">
        <v>100</v>
      </c>
      <c r="K30" s="2792">
        <f t="shared" si="2"/>
        <v>1.5999999999999943</v>
      </c>
    </row>
    <row r="31" spans="1:13">
      <c r="A31" s="2774" t="s">
        <v>2535</v>
      </c>
      <c r="B31" s="2775"/>
      <c r="C31" s="2775"/>
      <c r="D31" s="2775"/>
      <c r="E31" s="2775"/>
      <c r="F31" s="2775"/>
      <c r="G31" s="2776"/>
      <c r="I31" s="2792" t="s">
        <v>2566</v>
      </c>
    </row>
    <row r="32" spans="1:13">
      <c r="A32" s="2774" t="s">
        <v>2536</v>
      </c>
      <c r="B32" s="2775"/>
      <c r="C32" s="2775"/>
      <c r="D32" s="2775"/>
      <c r="E32" s="2775"/>
      <c r="F32" s="2775"/>
      <c r="G32" s="2776"/>
    </row>
    <row r="33" spans="1:13">
      <c r="A33" s="2774" t="s">
        <v>2537</v>
      </c>
      <c r="B33" s="2775"/>
      <c r="C33" s="2775"/>
      <c r="D33" s="2775"/>
      <c r="E33" s="2775"/>
      <c r="F33" s="2775"/>
      <c r="G33" s="2776"/>
      <c r="I33" s="2792" t="s">
        <v>2565</v>
      </c>
      <c r="J33" s="2792" t="s">
        <v>2575</v>
      </c>
    </row>
    <row r="34" spans="1:13">
      <c r="A34" s="2774" t="s">
        <v>2538</v>
      </c>
      <c r="B34" s="2775"/>
      <c r="C34" s="2775"/>
      <c r="D34" s="2775"/>
      <c r="E34" s="2775"/>
      <c r="F34" s="2775"/>
      <c r="G34" s="2776"/>
      <c r="I34" s="2792">
        <v>5</v>
      </c>
      <c r="J34" s="2792">
        <v>55.1</v>
      </c>
    </row>
    <row r="35" spans="1:13">
      <c r="A35" s="2774" t="s">
        <v>2539</v>
      </c>
      <c r="B35" s="2775"/>
      <c r="C35" s="2775"/>
      <c r="D35" s="2775"/>
      <c r="E35" s="2775"/>
      <c r="F35" s="2775"/>
      <c r="G35" s="2776"/>
      <c r="I35" s="2792">
        <v>10</v>
      </c>
      <c r="J35" s="2792">
        <v>67</v>
      </c>
      <c r="K35" s="2792">
        <f>J35-J34</f>
        <v>11.899999999999999</v>
      </c>
    </row>
    <row r="36" spans="1:13">
      <c r="A36" s="2774" t="s">
        <v>2540</v>
      </c>
      <c r="B36" s="2775"/>
      <c r="C36" s="2775"/>
      <c r="D36" s="2775"/>
      <c r="E36" s="2775"/>
      <c r="F36" s="2775"/>
      <c r="G36" s="2776"/>
      <c r="I36" s="2792">
        <v>15</v>
      </c>
      <c r="J36" s="2792">
        <v>76.3</v>
      </c>
      <c r="K36" s="2792">
        <f t="shared" ref="K36:K41" si="3">J36-J35</f>
        <v>9.2999999999999972</v>
      </c>
      <c r="L36" s="2792" t="s">
        <v>2568</v>
      </c>
      <c r="M36" s="2792" t="s">
        <v>2569</v>
      </c>
    </row>
    <row r="37" spans="1:13">
      <c r="A37" s="2774" t="s">
        <v>2541</v>
      </c>
      <c r="B37" s="2775"/>
      <c r="C37" s="2775"/>
      <c r="D37" s="2775"/>
      <c r="E37" s="2775"/>
      <c r="F37" s="2775"/>
      <c r="G37" s="2776"/>
      <c r="I37" s="2792">
        <v>20</v>
      </c>
      <c r="J37" s="2792">
        <v>83.6</v>
      </c>
      <c r="K37" s="2792">
        <f t="shared" si="3"/>
        <v>7.2999999999999972</v>
      </c>
      <c r="L37" s="2792" t="s">
        <v>2567</v>
      </c>
      <c r="M37" s="2792">
        <v>10</v>
      </c>
    </row>
    <row r="38" spans="1:13">
      <c r="A38" s="2774" t="s">
        <v>2542</v>
      </c>
      <c r="B38" s="2775"/>
      <c r="C38" s="2775"/>
      <c r="D38" s="2775"/>
      <c r="E38" s="2775"/>
      <c r="F38" s="2775"/>
      <c r="G38" s="2776"/>
      <c r="I38" s="2792">
        <v>25</v>
      </c>
      <c r="J38" s="2792">
        <v>89.3</v>
      </c>
      <c r="K38" s="2792">
        <f t="shared" si="3"/>
        <v>5.7000000000000028</v>
      </c>
      <c r="L38" s="2792" t="s">
        <v>2571</v>
      </c>
      <c r="M38" s="2792">
        <v>8</v>
      </c>
    </row>
    <row r="39" spans="1:13">
      <c r="A39" s="2774"/>
      <c r="B39" s="2775"/>
      <c r="C39" s="2775"/>
      <c r="D39" s="2775"/>
      <c r="E39" s="2775"/>
      <c r="F39" s="2775"/>
      <c r="G39" s="2776"/>
      <c r="I39" s="2792">
        <v>30</v>
      </c>
      <c r="J39" s="2792">
        <v>93.8</v>
      </c>
      <c r="K39" s="2792">
        <f t="shared" si="3"/>
        <v>4.5</v>
      </c>
      <c r="L39" s="2792" t="s">
        <v>2572</v>
      </c>
      <c r="M39" s="2792">
        <v>6</v>
      </c>
    </row>
    <row r="40" spans="1:13">
      <c r="A40" s="2777" t="s">
        <v>2543</v>
      </c>
      <c r="B40" s="2778"/>
      <c r="C40" s="2778"/>
      <c r="D40" s="2778"/>
      <c r="E40" s="2778"/>
      <c r="F40" s="2778"/>
      <c r="G40" s="2779"/>
      <c r="I40" s="2792">
        <v>35</v>
      </c>
      <c r="J40" s="2792">
        <v>97.2</v>
      </c>
      <c r="K40" s="2792">
        <f t="shared" si="3"/>
        <v>3.4000000000000057</v>
      </c>
      <c r="L40" s="2792" t="s">
        <v>2573</v>
      </c>
      <c r="M40" s="2792">
        <v>3</v>
      </c>
    </row>
    <row r="41" spans="1:13">
      <c r="A41" s="2780" t="s">
        <v>2544</v>
      </c>
      <c r="B41" s="2781" t="s">
        <v>2545</v>
      </c>
      <c r="C41" s="2782" t="s">
        <v>2546</v>
      </c>
      <c r="D41" s="2782" t="s">
        <v>2547</v>
      </c>
      <c r="E41" s="2783"/>
      <c r="F41" s="2784"/>
      <c r="G41" s="2785"/>
      <c r="I41" s="2792">
        <v>40</v>
      </c>
      <c r="J41" s="2792">
        <v>100</v>
      </c>
      <c r="K41" s="2792">
        <f t="shared" si="3"/>
        <v>2.7999999999999972</v>
      </c>
    </row>
    <row r="42" spans="1:13">
      <c r="A42" s="2780" t="s">
        <v>2548</v>
      </c>
      <c r="B42" s="2781" t="s">
        <v>2549</v>
      </c>
      <c r="C42" s="2782" t="s">
        <v>2550</v>
      </c>
      <c r="D42" s="2786" t="s">
        <v>2551</v>
      </c>
      <c r="E42" s="2778" t="s">
        <v>2552</v>
      </c>
      <c r="F42" s="2778"/>
      <c r="G42" s="2779"/>
    </row>
    <row r="43" spans="1:13">
      <c r="A43" s="2780" t="s">
        <v>2553</v>
      </c>
      <c r="B43" s="2781" t="s">
        <v>2554</v>
      </c>
      <c r="C43" s="2782" t="s">
        <v>2555</v>
      </c>
      <c r="D43" s="2782" t="s">
        <v>2556</v>
      </c>
      <c r="E43" s="2783" t="s">
        <v>2557</v>
      </c>
      <c r="F43" s="2784"/>
      <c r="G43" s="2785"/>
      <c r="I43" s="2792" t="s">
        <v>2565</v>
      </c>
      <c r="J43" s="2792" t="s">
        <v>2576</v>
      </c>
    </row>
    <row r="44" spans="1:13">
      <c r="A44" s="2780" t="s">
        <v>2558</v>
      </c>
      <c r="B44" s="2781" t="s">
        <v>2559</v>
      </c>
      <c r="C44" s="2782" t="s">
        <v>2560</v>
      </c>
      <c r="D44" s="2786">
        <v>0.5</v>
      </c>
      <c r="E44" s="2783" t="s">
        <v>2561</v>
      </c>
      <c r="F44" s="2784"/>
      <c r="G44" s="2785"/>
      <c r="I44" s="2792">
        <v>30</v>
      </c>
      <c r="J44" s="2792">
        <v>81.7</v>
      </c>
    </row>
    <row r="45" spans="1:13" ht="14.25" thickBot="1">
      <c r="A45" s="2787" t="s">
        <v>2562</v>
      </c>
      <c r="B45" s="2788" t="s">
        <v>2549</v>
      </c>
      <c r="C45" s="2789" t="s">
        <v>2549</v>
      </c>
      <c r="D45" s="2789" t="s">
        <v>2563</v>
      </c>
      <c r="E45" s="2790" t="s">
        <v>2564</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F30" sqref="F3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2167</v>
      </c>
      <c r="B1" s="3232" t="str">
        <f>IF(B10="北京市","北京市",C10)&amp;F10&amp;IF(结果表!G1="在建","出让国有建设用地使用权及在建建筑物",IF(结果表!G1="土地","出让国有建设用地使用权",))&amp;B9&amp;"预评估"</f>
        <v>北京市平谷区兴谷街道兴谷路29号院房地产抵押价值预评估</v>
      </c>
      <c r="C1" s="3233"/>
      <c r="D1" s="3233"/>
      <c r="E1" s="3233"/>
      <c r="F1" s="3233"/>
      <c r="G1" s="3233"/>
      <c r="H1" s="3233"/>
      <c r="I1" s="3234"/>
      <c r="J1" s="2240"/>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北京市平谷区兴谷街道兴谷路29号院房地产抵押价值</v>
      </c>
      <c r="T1" s="1615"/>
      <c r="U1" s="1615"/>
      <c r="V1" s="1615"/>
      <c r="W1" s="1615"/>
      <c r="X1" s="1615"/>
      <c r="Y1" s="1615"/>
      <c r="Z1" s="1615"/>
      <c r="AA1" s="1615"/>
      <c r="AB1" s="1615"/>
    </row>
    <row r="2" spans="1:30">
      <c r="A2" s="2179" t="s">
        <v>2168</v>
      </c>
      <c r="B2" s="122"/>
      <c r="D2" s="2440"/>
      <c r="E2" s="2434"/>
      <c r="F2" s="2434"/>
      <c r="G2" s="2435"/>
      <c r="H2" s="2435"/>
      <c r="I2" s="2435"/>
      <c r="J2" s="2240"/>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北京市平谷区兴谷街道兴谷路29号院房地产</v>
      </c>
      <c r="T2" s="1615"/>
      <c r="U2" s="1615"/>
      <c r="V2" s="1615"/>
      <c r="W2" s="1615"/>
      <c r="X2" s="1615"/>
      <c r="Y2" s="1615"/>
      <c r="Z2" s="1615"/>
      <c r="AA2" s="1615"/>
      <c r="AB2" s="1615"/>
    </row>
    <row r="3" spans="1:30">
      <c r="A3" s="294" t="s">
        <v>2169</v>
      </c>
      <c r="B3" s="2182">
        <v>45547</v>
      </c>
      <c r="C3" s="2183" t="s">
        <v>2170</v>
      </c>
      <c r="D3" s="2182">
        <f>B3</f>
        <v>45547</v>
      </c>
      <c r="E3" s="2435"/>
      <c r="F3" s="2435"/>
      <c r="G3" s="2435"/>
      <c r="H3" s="2435"/>
      <c r="I3" s="2435"/>
      <c r="J3" s="2240"/>
      <c r="K3" s="2180"/>
      <c r="L3" s="2181"/>
      <c r="M3" s="2181"/>
      <c r="N3" s="2179"/>
      <c r="O3" s="1463"/>
      <c r="P3" s="2179"/>
      <c r="Q3" s="2179"/>
      <c r="R3" s="2179"/>
      <c r="S3" s="1558"/>
      <c r="T3" s="1615"/>
      <c r="U3" s="1615"/>
      <c r="V3" s="1615"/>
      <c r="W3" s="1615"/>
      <c r="X3" s="1615"/>
      <c r="Y3" s="1615"/>
      <c r="Z3" s="1615"/>
      <c r="AA3" s="1615"/>
      <c r="AB3" s="1615"/>
    </row>
    <row r="4" spans="1:30" ht="13.5" thickBot="1">
      <c r="A4" s="1025" t="s">
        <v>2171</v>
      </c>
      <c r="B4" s="2184" t="s">
        <v>3384</v>
      </c>
      <c r="C4" s="2185">
        <f ca="1">SUMIF(注册房地产估价师,B4,估价师及机构信息!B3:B24)</f>
        <v>1120070131</v>
      </c>
      <c r="D4" s="2184" t="s">
        <v>3385</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36.75" thickTop="1">
      <c r="A5" s="2187" t="s">
        <v>2172</v>
      </c>
      <c r="B5" s="3138" t="s">
        <v>3386</v>
      </c>
      <c r="C5" s="2188"/>
      <c r="D5" s="2189"/>
      <c r="E5" s="2435"/>
      <c r="F5" s="2435"/>
      <c r="G5" s="2435"/>
      <c r="H5" s="2435"/>
      <c r="I5" s="2435"/>
      <c r="J5" s="2240"/>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0" t="s">
        <v>2173</v>
      </c>
      <c r="B6" s="2191"/>
      <c r="C6" s="2192"/>
      <c r="D6" s="2193"/>
      <c r="E6" s="2434"/>
      <c r="F6" s="2435"/>
      <c r="G6" s="2435"/>
      <c r="H6" s="2435"/>
      <c r="I6" s="2435"/>
      <c r="J6" s="2240"/>
      <c r="K6" s="2394" t="str">
        <f>IF(COUNTIF(B6,"*上海银行*"),"上海银行","")</f>
        <v/>
      </c>
      <c r="L6" s="2392"/>
      <c r="M6" s="2392"/>
      <c r="N6" s="2240"/>
      <c r="O6" s="1667"/>
      <c r="P6" s="2240"/>
      <c r="Q6" s="2240"/>
      <c r="R6" s="2240"/>
    </row>
    <row r="7" spans="1:30">
      <c r="A7" s="2190" t="s">
        <v>2174</v>
      </c>
      <c r="B7" s="2194"/>
      <c r="C7" s="2192"/>
      <c r="D7" s="2193"/>
      <c r="E7" s="2434"/>
      <c r="F7" s="2435"/>
      <c r="G7" s="2435"/>
      <c r="H7" s="2435"/>
      <c r="I7" s="2435"/>
      <c r="J7" s="2240"/>
      <c r="K7" s="2395"/>
      <c r="L7" s="2392"/>
      <c r="M7" s="2392"/>
      <c r="N7" s="2240"/>
      <c r="O7" s="1667"/>
      <c r="P7" s="2240"/>
      <c r="Q7" s="2240"/>
      <c r="R7" s="2240"/>
    </row>
    <row r="8" spans="1:30">
      <c r="A8" s="2195" t="s">
        <v>2175</v>
      </c>
      <c r="B8" s="2196" t="s">
        <v>3387</v>
      </c>
      <c r="C8" s="2197"/>
      <c r="D8" s="3235" t="s">
        <v>2176</v>
      </c>
      <c r="E8" s="2198" t="s">
        <v>3388</v>
      </c>
      <c r="F8" s="2199"/>
      <c r="G8" s="2435"/>
      <c r="H8" s="2435"/>
      <c r="I8" s="2435"/>
      <c r="J8" s="2240"/>
      <c r="K8" s="2393"/>
      <c r="L8" s="2392"/>
      <c r="M8" s="2392"/>
      <c r="N8" s="2240"/>
      <c r="O8" s="1667"/>
      <c r="P8" s="2240"/>
      <c r="Q8" s="2240"/>
      <c r="R8" s="2240"/>
    </row>
    <row r="9" spans="1:30" ht="13.5" thickBot="1">
      <c r="A9" s="2200" t="s">
        <v>2177</v>
      </c>
      <c r="B9" s="2201" t="s">
        <v>3388</v>
      </c>
      <c r="C9" s="2202"/>
      <c r="D9" s="3236"/>
      <c r="E9" s="2201" t="s">
        <v>587</v>
      </c>
      <c r="F9" s="2203"/>
      <c r="G9" s="2436"/>
      <c r="H9" s="2436"/>
      <c r="I9" s="2436"/>
      <c r="J9" s="2240"/>
      <c r="K9" s="2395"/>
      <c r="L9" s="2392"/>
      <c r="M9" s="2392"/>
      <c r="N9" s="2240"/>
      <c r="O9" s="1667"/>
      <c r="P9" s="2240"/>
      <c r="Q9" s="2240"/>
      <c r="R9" s="2240"/>
    </row>
    <row r="10" spans="1:30" ht="13.5" thickTop="1">
      <c r="A10" s="2204" t="s">
        <v>2178</v>
      </c>
      <c r="B10" s="2205" t="s">
        <v>3389</v>
      </c>
      <c r="C10" s="2206"/>
      <c r="D10" s="2189"/>
      <c r="E10" s="2207" t="s">
        <v>2179</v>
      </c>
      <c r="F10" s="3140" t="s">
        <v>3393</v>
      </c>
      <c r="G10" s="2437"/>
      <c r="H10" s="2438"/>
      <c r="I10" s="2439"/>
      <c r="J10" s="2240"/>
      <c r="K10" s="2395"/>
      <c r="L10" s="2392"/>
      <c r="M10" s="2392"/>
      <c r="N10" s="2240"/>
      <c r="O10" s="1667"/>
      <c r="P10" s="2240"/>
      <c r="Q10" s="2240"/>
      <c r="R10" s="2240"/>
    </row>
    <row r="11" spans="1:30" ht="36">
      <c r="A11" s="2208" t="s">
        <v>2180</v>
      </c>
      <c r="B11" s="2209" t="s">
        <v>3390</v>
      </c>
      <c r="C11" s="3139" t="s">
        <v>3392</v>
      </c>
      <c r="D11" s="2210"/>
      <c r="E11" s="2179"/>
      <c r="F11" s="2179"/>
      <c r="G11" s="2179"/>
      <c r="H11" s="2179"/>
      <c r="I11" s="2179"/>
      <c r="J11" s="2794"/>
      <c r="K11" s="2392"/>
      <c r="L11" s="2392"/>
      <c r="M11" s="2392"/>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3" t="s">
        <v>2577</v>
      </c>
      <c r="J12" s="2795"/>
      <c r="K12" s="2392"/>
      <c r="L12" s="2392"/>
      <c r="M12" s="2240"/>
      <c r="N12" s="1667"/>
      <c r="O12" s="2240"/>
      <c r="P12" s="2240"/>
      <c r="Q12" s="2240"/>
      <c r="AD12" s="1615"/>
    </row>
    <row r="13" spans="1:30">
      <c r="A13" s="3114" t="s">
        <v>3333</v>
      </c>
      <c r="B13" s="2213" t="s">
        <v>2189</v>
      </c>
      <c r="C13" s="802"/>
      <c r="D13" s="802"/>
      <c r="E13" s="802"/>
      <c r="F13" s="802"/>
      <c r="G13" s="802"/>
      <c r="H13" s="802">
        <v>59867</v>
      </c>
      <c r="I13" s="802"/>
      <c r="J13" s="2795"/>
      <c r="K13" s="2392"/>
      <c r="L13" s="2392"/>
      <c r="M13" s="2240"/>
      <c r="N13" s="1667"/>
      <c r="O13" s="2240"/>
      <c r="P13" s="2240"/>
      <c r="Q13" s="2240"/>
      <c r="AD13" s="1615"/>
    </row>
    <row r="14" spans="1:30">
      <c r="A14" s="1016"/>
      <c r="B14" s="2213" t="s">
        <v>2190</v>
      </c>
      <c r="C14" s="2214"/>
      <c r="D14" s="2214"/>
      <c r="E14" s="2214"/>
      <c r="F14" s="2214"/>
      <c r="G14" s="2214"/>
      <c r="H14" s="2214">
        <v>50</v>
      </c>
      <c r="I14" s="2214"/>
      <c r="J14" s="2796"/>
      <c r="K14" s="2392"/>
      <c r="L14" s="2392"/>
      <c r="M14" s="2240"/>
      <c r="N14" s="1667"/>
      <c r="O14" s="2240"/>
      <c r="P14" s="2240"/>
      <c r="Q14" s="2240"/>
      <c r="AD14" s="1615"/>
    </row>
    <row r="15" spans="1:30">
      <c r="A15" s="312"/>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3184">
        <f>IF(A13="出让",IF(H13="","",ROUNDDOWN(MIN((H13-$D$3)/365,H14),2)),H14)</f>
        <v>39.229999999999997</v>
      </c>
      <c r="I15" s="2216" t="str">
        <f>IF(A13="出让",IF(I13="","",ROUNDDOWN(MIN((I13-$D$3)/365,I14),2)),I14)</f>
        <v/>
      </c>
      <c r="J15" s="2797"/>
      <c r="K15" s="1667"/>
      <c r="L15" s="1667"/>
      <c r="M15" s="2240"/>
      <c r="N15" s="1667"/>
      <c r="O15" s="2240"/>
      <c r="P15" s="2240"/>
      <c r="Q15" s="2240"/>
      <c r="AD15" s="1615"/>
    </row>
    <row r="16" spans="1:30">
      <c r="A16" s="2207" t="s">
        <v>2192</v>
      </c>
      <c r="B16" s="3242" t="s">
        <v>3394</v>
      </c>
      <c r="C16" s="3243"/>
      <c r="D16" s="3244"/>
      <c r="E16" s="2217" t="s">
        <v>2193</v>
      </c>
      <c r="F16" s="3245">
        <f>H15</f>
        <v>39.229999999999997</v>
      </c>
      <c r="G16" s="3246"/>
      <c r="H16" s="3246"/>
      <c r="I16" s="3247"/>
      <c r="J16" s="2240"/>
      <c r="K16" s="2396"/>
      <c r="L16" s="1667"/>
      <c r="M16" s="1667"/>
      <c r="N16" s="2240"/>
      <c r="O16" s="1667"/>
      <c r="P16" s="2240"/>
      <c r="Q16" s="2240"/>
      <c r="R16" s="2240"/>
    </row>
    <row r="17" spans="1:28">
      <c r="A17" s="305" t="s">
        <v>2194</v>
      </c>
      <c r="B17" s="294" t="s">
        <v>2195</v>
      </c>
      <c r="C17" s="8">
        <f>'数据-汇总表'!E3</f>
        <v>6436.4900000000007</v>
      </c>
      <c r="D17" s="1253" t="s">
        <v>2196</v>
      </c>
      <c r="E17" s="3248" t="s">
        <v>2197</v>
      </c>
      <c r="F17" s="3249"/>
      <c r="G17" s="3249"/>
      <c r="H17" s="3249"/>
      <c r="I17" s="3250"/>
      <c r="J17" s="2240"/>
      <c r="K17" s="2397"/>
      <c r="L17" s="1667"/>
      <c r="M17" s="1667"/>
      <c r="N17" s="2240"/>
      <c r="O17" s="1667"/>
      <c r="P17" s="2240"/>
      <c r="Q17" s="2240"/>
      <c r="R17" s="2240"/>
      <c r="S17" s="2240"/>
      <c r="T17" s="2240"/>
      <c r="U17" s="2240"/>
      <c r="V17" s="2240"/>
    </row>
    <row r="18" spans="1:28" ht="24.75" thickBot="1">
      <c r="A18" s="2218" t="s">
        <v>2198</v>
      </c>
      <c r="B18" s="1025" t="s">
        <v>2199</v>
      </c>
      <c r="C18" s="2219">
        <f>'数据-汇总表'!D3</f>
        <v>9558.83</v>
      </c>
      <c r="D18" s="1027" t="s">
        <v>2200</v>
      </c>
      <c r="E18" s="3251" t="s">
        <v>2201</v>
      </c>
      <c r="F18" s="3252"/>
      <c r="G18" s="3252"/>
      <c r="H18" s="3252"/>
      <c r="I18" s="3253"/>
      <c r="J18" s="2240"/>
      <c r="K18" s="2397"/>
      <c r="L18" s="1667"/>
      <c r="M18" s="1667"/>
      <c r="N18" s="2240"/>
      <c r="O18" s="1667"/>
      <c r="P18" s="2240"/>
      <c r="Q18" s="2240"/>
      <c r="R18" s="2240"/>
      <c r="S18" s="2240"/>
      <c r="T18" s="2240"/>
      <c r="U18" s="2240"/>
      <c r="V18" s="2240"/>
    </row>
    <row r="19" spans="1:28" ht="37.5" thickTop="1" thickBot="1">
      <c r="A19" s="319" t="s">
        <v>1055</v>
      </c>
      <c r="B19" s="299" t="s">
        <v>2202</v>
      </c>
      <c r="C19" s="1452" t="s">
        <v>3395</v>
      </c>
      <c r="D19" s="1453" t="s">
        <v>2203</v>
      </c>
      <c r="E19" s="1454" t="s">
        <v>3395</v>
      </c>
      <c r="F19" s="1455" t="str">
        <f>IF(AND(C19="是",E19="否"),"是否提供他项权证或相关说明","")</f>
        <v/>
      </c>
      <c r="G19" s="1456"/>
      <c r="H19" s="2435"/>
      <c r="I19" s="2435"/>
      <c r="J19" s="2240"/>
      <c r="K19" s="2395"/>
      <c r="L19" s="2392"/>
      <c r="M19" s="2392"/>
      <c r="N19" s="2240"/>
      <c r="O19" s="1667"/>
      <c r="P19" s="2240"/>
      <c r="Q19" s="2240"/>
      <c r="R19" s="2240"/>
      <c r="S19" s="2240"/>
      <c r="T19" s="2240"/>
      <c r="U19" s="2240"/>
      <c r="V19" s="2240"/>
    </row>
    <row r="20" spans="1:28">
      <c r="A20" s="2410" t="s">
        <v>2204</v>
      </c>
      <c r="B20" s="3238" t="s">
        <v>2205</v>
      </c>
      <c r="C20" s="3239"/>
      <c r="D20" s="3240" t="s">
        <v>2206</v>
      </c>
      <c r="E20" s="3241"/>
      <c r="F20" s="2423" t="s">
        <v>1056</v>
      </c>
      <c r="G20" s="2435"/>
      <c r="H20" s="2435"/>
      <c r="I20" s="2435"/>
      <c r="J20" s="2240"/>
      <c r="K20" s="323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24.75" thickBot="1">
      <c r="A21" s="2410"/>
      <c r="B21" s="2411" t="s">
        <v>2208</v>
      </c>
      <c r="C21" s="2291" t="s">
        <v>1057</v>
      </c>
      <c r="D21" s="1457" t="s">
        <v>2209</v>
      </c>
      <c r="E21" s="2412" t="s">
        <v>1057</v>
      </c>
      <c r="F21" s="2424"/>
      <c r="G21" s="2435"/>
      <c r="H21" s="2435"/>
      <c r="I21" s="2435"/>
      <c r="J21" s="2240"/>
      <c r="K21" s="32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上述抵押权设定日期为2023年8月3日，权利人为北京农业融资担保公司，权利范围为平谷区兴谷街道兴谷路29号院，权利价值为3720000。</v>
      </c>
      <c r="M21" s="2181"/>
      <c r="N21" s="2179"/>
      <c r="O21" s="1463"/>
      <c r="P21" s="2179"/>
      <c r="Q21" s="2179"/>
      <c r="R21" s="2179"/>
      <c r="S21" s="2179"/>
      <c r="T21" s="2179"/>
      <c r="U21" s="2179"/>
      <c r="V21" s="2179"/>
      <c r="W21" s="1615"/>
      <c r="X21" s="1615"/>
      <c r="Y21" s="1615"/>
      <c r="Z21" s="1615"/>
      <c r="AA21" s="1615"/>
      <c r="AB21" s="1615"/>
    </row>
    <row r="22" spans="1:28" ht="24.75" thickBot="1">
      <c r="A22" s="2410"/>
      <c r="B22" s="2413" t="s">
        <v>2210</v>
      </c>
      <c r="C22" s="2291" t="s">
        <v>1058</v>
      </c>
      <c r="D22" s="2435"/>
      <c r="E22" s="2435"/>
      <c r="F22" s="2435"/>
      <c r="G22" s="2435"/>
      <c r="H22" s="2435"/>
      <c r="I22" s="2435"/>
      <c r="J22" s="2240"/>
      <c r="K22" s="32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4" t="s">
        <v>2211</v>
      </c>
      <c r="B23" s="2288" t="s">
        <v>2212</v>
      </c>
      <c r="C23" s="2415">
        <v>45141</v>
      </c>
      <c r="D23" s="2416" t="s">
        <v>2212</v>
      </c>
      <c r="E23" s="2417"/>
      <c r="F23" s="2435"/>
      <c r="G23" s="2435"/>
      <c r="H23" s="2435"/>
      <c r="I23" s="2435"/>
      <c r="J23" s="2240"/>
      <c r="K23" s="2394"/>
      <c r="L23" s="121"/>
      <c r="M23" s="2392"/>
      <c r="N23" s="2240"/>
      <c r="O23" s="1667"/>
      <c r="P23" s="2240"/>
      <c r="Q23" s="2240"/>
      <c r="R23" s="2240"/>
      <c r="S23" s="2240"/>
      <c r="T23" s="2240"/>
      <c r="U23" s="2240"/>
      <c r="V23" s="2240"/>
    </row>
    <row r="24" spans="1:28" ht="24">
      <c r="A24" s="2414"/>
      <c r="B24" s="2288" t="s">
        <v>1059</v>
      </c>
      <c r="C24" s="3141" t="s">
        <v>3396</v>
      </c>
      <c r="D24" s="2414" t="s">
        <v>1059</v>
      </c>
      <c r="E24" s="2418"/>
      <c r="F24" s="2435"/>
      <c r="G24" s="2435"/>
      <c r="H24" s="2435"/>
      <c r="I24" s="2435"/>
      <c r="J24" s="2240"/>
      <c r="K24" s="2394"/>
      <c r="L24" s="121"/>
      <c r="M24" s="2392"/>
      <c r="N24" s="2240"/>
      <c r="O24" s="1667"/>
      <c r="P24" s="2240"/>
      <c r="Q24" s="2240"/>
      <c r="R24" s="2240"/>
      <c r="S24" s="2240"/>
      <c r="T24" s="2240"/>
      <c r="U24" s="2240"/>
      <c r="V24" s="2240"/>
    </row>
    <row r="25" spans="1:28" ht="36.75">
      <c r="A25" s="2414"/>
      <c r="B25" s="2288" t="s">
        <v>1060</v>
      </c>
      <c r="C25" s="3142" t="s">
        <v>3397</v>
      </c>
      <c r="D25" s="2414" t="s">
        <v>1060</v>
      </c>
      <c r="E25" s="2418"/>
      <c r="F25" s="2435"/>
      <c r="G25" s="2435"/>
      <c r="H25" s="2435"/>
      <c r="I25" s="2435"/>
      <c r="J25" s="2240"/>
      <c r="K25" s="2395"/>
      <c r="L25" s="2392"/>
      <c r="M25" s="2392"/>
      <c r="N25" s="2240"/>
      <c r="O25" s="1667"/>
      <c r="P25" s="2240"/>
      <c r="Q25" s="2240"/>
      <c r="R25" s="2240"/>
      <c r="S25" s="2240"/>
      <c r="T25" s="2240"/>
      <c r="U25" s="2240"/>
      <c r="V25" s="2240"/>
    </row>
    <row r="26" spans="1:28" ht="13.5" thickBot="1">
      <c r="A26" s="2419"/>
      <c r="B26" s="2420" t="s">
        <v>1061</v>
      </c>
      <c r="C26" s="2421">
        <f>信息台账!F15</f>
        <v>3720000</v>
      </c>
      <c r="D26" s="2419" t="s">
        <v>1061</v>
      </c>
      <c r="E26" s="2422"/>
      <c r="F26" s="2436"/>
      <c r="G26" s="2436"/>
      <c r="H26" s="2436"/>
      <c r="I26" s="2436"/>
      <c r="J26" s="2240"/>
      <c r="K26" s="2395"/>
      <c r="L26" s="2392"/>
      <c r="M26" s="2392"/>
      <c r="N26" s="2240"/>
      <c r="O26" s="1667"/>
      <c r="P26" s="2240"/>
      <c r="Q26" s="2240"/>
      <c r="R26" s="2240"/>
      <c r="S26" s="2240"/>
      <c r="T26" s="2240"/>
      <c r="U26" s="2240"/>
      <c r="V26" s="2240"/>
    </row>
    <row r="27" spans="1:28" ht="13.5" thickTop="1">
      <c r="A27" s="3255" t="s">
        <v>2213</v>
      </c>
      <c r="B27" s="312" t="s">
        <v>2214</v>
      </c>
      <c r="C27" s="2220" t="s">
        <v>3398</v>
      </c>
      <c r="D27" s="2221"/>
      <c r="E27" s="2435"/>
      <c r="F27" s="2435"/>
      <c r="G27" s="2435"/>
      <c r="H27" s="2435"/>
      <c r="I27" s="2435"/>
      <c r="J27" s="2240"/>
      <c r="K27" s="2396"/>
      <c r="L27" s="1667"/>
      <c r="M27" s="1667"/>
      <c r="N27" s="2240"/>
      <c r="O27" s="1667"/>
      <c r="P27" s="2240"/>
      <c r="Q27" s="2240"/>
      <c r="R27" s="2240"/>
      <c r="S27" s="2240"/>
      <c r="T27" s="2240"/>
      <c r="U27" s="2240"/>
      <c r="V27" s="2240"/>
    </row>
    <row r="28" spans="1:28">
      <c r="A28" s="3255"/>
      <c r="B28" s="294" t="s">
        <v>2215</v>
      </c>
      <c r="C28" s="2222"/>
      <c r="D28" s="2223"/>
      <c r="E28" s="2435"/>
      <c r="F28" s="2435"/>
      <c r="G28" s="2435"/>
      <c r="H28" s="2435"/>
      <c r="I28" s="2435"/>
      <c r="J28" s="2240"/>
      <c r="K28" s="2395"/>
      <c r="L28" s="2392"/>
      <c r="M28" s="2392"/>
      <c r="N28" s="2240"/>
      <c r="O28" s="1667"/>
      <c r="P28" s="2240"/>
      <c r="Q28" s="2240"/>
      <c r="R28" s="2240"/>
      <c r="S28" s="2240"/>
      <c r="T28" s="2240"/>
      <c r="U28" s="2240"/>
      <c r="V28" s="2240"/>
    </row>
    <row r="29" spans="1:28">
      <c r="A29" s="3255"/>
      <c r="B29" s="294" t="s">
        <v>2216</v>
      </c>
      <c r="C29" s="2224"/>
      <c r="D29" s="2225"/>
      <c r="E29" s="2435"/>
      <c r="F29" s="2435"/>
      <c r="G29" s="2435"/>
      <c r="H29" s="2435"/>
      <c r="I29" s="2435"/>
      <c r="J29" s="2240"/>
      <c r="K29" s="2395"/>
      <c r="L29" s="2392"/>
      <c r="M29" s="2392"/>
      <c r="N29" s="2240"/>
      <c r="O29" s="1667"/>
      <c r="P29" s="2240"/>
      <c r="Q29" s="2240"/>
      <c r="R29" s="2240"/>
      <c r="S29" s="2240"/>
      <c r="T29" s="2240"/>
      <c r="U29" s="2240"/>
      <c r="V29" s="2240"/>
    </row>
    <row r="30" spans="1:28">
      <c r="A30" s="3256"/>
      <c r="B30" s="294" t="s">
        <v>2217</v>
      </c>
      <c r="C30" s="3257"/>
      <c r="D30" s="3258"/>
      <c r="E30" s="2435"/>
      <c r="F30" s="2435"/>
      <c r="G30" s="2435"/>
      <c r="H30" s="2435"/>
      <c r="I30" s="2435"/>
      <c r="J30" s="2240"/>
      <c r="K30" s="2395"/>
      <c r="L30" s="2392"/>
      <c r="M30" s="2392"/>
      <c r="N30" s="2240"/>
      <c r="O30" s="1667"/>
      <c r="P30" s="2240"/>
      <c r="Q30" s="2240"/>
      <c r="R30" s="2240"/>
      <c r="S30" s="2240"/>
      <c r="T30" s="2240"/>
      <c r="U30" s="2240"/>
      <c r="V30" s="2240"/>
    </row>
    <row r="31" spans="1:28">
      <c r="A31" s="3259" t="s">
        <v>2218</v>
      </c>
      <c r="B31" s="2226" t="s">
        <v>3399</v>
      </c>
      <c r="C31" s="12" t="str">
        <f>IF(B31="现房","成新及维护状况正常否",IF(B31="在建","工程状态是否正常",IF(B31="土地","是否闲置","-")))</f>
        <v>成新及维护状况正常否</v>
      </c>
      <c r="D31" s="1278"/>
      <c r="E31" s="2227"/>
      <c r="F31" s="2435"/>
      <c r="G31" s="2435"/>
      <c r="H31" s="2435"/>
      <c r="I31" s="2435"/>
      <c r="J31" s="2240"/>
      <c r="K31" s="2394"/>
      <c r="L31" s="2392"/>
      <c r="M31" s="2392"/>
      <c r="N31" s="2240"/>
      <c r="O31" s="1667"/>
      <c r="P31" s="2240"/>
      <c r="Q31" s="2240"/>
      <c r="R31" s="2240"/>
      <c r="S31" s="2240"/>
      <c r="T31" s="2240"/>
      <c r="U31" s="2240"/>
      <c r="V31" s="2240"/>
    </row>
    <row r="32" spans="1:28">
      <c r="A32" s="3260"/>
      <c r="B32" s="2226"/>
      <c r="C32" s="12" t="str">
        <f>IF(B32="现房","成新及维护状况是否正常",IF(B32="在建","工程状态是否正常",IF(B32="土地","是否闲置","-")))</f>
        <v>-</v>
      </c>
      <c r="D32" s="1278"/>
      <c r="E32" s="2227"/>
      <c r="F32" s="2435"/>
      <c r="G32" s="2435"/>
      <c r="H32" s="2435"/>
      <c r="I32" s="2435"/>
      <c r="J32" s="2240"/>
      <c r="K32" s="2395"/>
      <c r="L32" s="2392"/>
      <c r="M32" s="2392"/>
      <c r="N32" s="2240"/>
      <c r="O32" s="1667"/>
      <c r="P32" s="2240"/>
      <c r="Q32" s="2240"/>
      <c r="R32" s="2240"/>
      <c r="S32" s="2240"/>
      <c r="T32" s="2240"/>
      <c r="U32" s="2240"/>
      <c r="V32" s="2240"/>
    </row>
    <row r="33" spans="1:30">
      <c r="A33" s="3260"/>
      <c r="B33" s="2229"/>
      <c r="C33" s="1475" t="str">
        <f>IF(B33="现房","成新及维护状况是否正常",IF(B33="在建","工程状态是否正常",IF(B33="土地","是否闲置","-")))</f>
        <v>-</v>
      </c>
      <c r="D33" s="1271"/>
      <c r="E33" s="2230"/>
      <c r="F33" s="2435"/>
      <c r="G33" s="2435"/>
      <c r="H33" s="2435"/>
      <c r="I33" s="2435"/>
      <c r="J33" s="2240"/>
      <c r="K33" s="2395"/>
      <c r="L33" s="2392"/>
      <c r="M33" s="2392"/>
      <c r="N33" s="2240"/>
      <c r="O33" s="1667"/>
      <c r="P33" s="2240"/>
      <c r="Q33" s="2240"/>
      <c r="R33" s="2240"/>
      <c r="S33" s="2240"/>
      <c r="T33" s="2240"/>
      <c r="U33" s="2240"/>
      <c r="V33" s="2240"/>
    </row>
    <row r="34" spans="1:30">
      <c r="A34" s="294" t="s">
        <v>2219</v>
      </c>
      <c r="B34" s="1867"/>
      <c r="C34" s="1867"/>
      <c r="D34" s="1867"/>
      <c r="E34" s="1867"/>
      <c r="F34" s="1867"/>
      <c r="G34" s="1867"/>
      <c r="H34" s="1867"/>
      <c r="I34" s="2435"/>
      <c r="J34" s="2240"/>
      <c r="K34" s="8">
        <f>COUNTIF(B34:H34,"——")</f>
        <v>0</v>
      </c>
      <c r="L34" s="315" t="s">
        <v>2220</v>
      </c>
      <c r="M34" s="315" t="s">
        <v>2221</v>
      </c>
      <c r="N34" s="315" t="s">
        <v>2222</v>
      </c>
      <c r="O34" s="315" t="s">
        <v>2223</v>
      </c>
      <c r="P34" s="315" t="s">
        <v>2224</v>
      </c>
      <c r="Q34" s="315" t="s">
        <v>2225</v>
      </c>
      <c r="R34" s="315" t="s">
        <v>2226</v>
      </c>
      <c r="S34" s="3254" t="s">
        <v>2227</v>
      </c>
      <c r="T34" s="315" t="str">
        <f>NUMBERSTRING(7-K34,1)&amp;"通"</f>
        <v>七通</v>
      </c>
      <c r="U34" s="2240"/>
      <c r="V34" s="2240"/>
    </row>
    <row r="35" spans="1:30">
      <c r="A35" s="2231"/>
      <c r="B35" s="3254" t="s">
        <v>2228</v>
      </c>
      <c r="C35" s="3254"/>
      <c r="D35" s="3254"/>
      <c r="E35" s="3254"/>
      <c r="F35" s="8">
        <f>C10</f>
        <v>0</v>
      </c>
      <c r="G35" s="2435"/>
      <c r="H35" s="2435"/>
      <c r="I35" s="2435"/>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4"/>
      <c r="T35" s="138" t="str">
        <f>IF(T34="一通",L35,IF(T34="二通",M35,IF(T34="三通",N35,IF(T34="四通",O35,IF(T34="五通",P35,IF(T34="六通",Q35,R35))))))</f>
        <v>、、、、、、</v>
      </c>
      <c r="U35" s="2240"/>
      <c r="V35" s="2240"/>
    </row>
    <row r="36" spans="1:30">
      <c r="A36" s="2180"/>
      <c r="B36" s="8" t="s">
        <v>2184</v>
      </c>
      <c r="C36" s="8" t="s">
        <v>2185</v>
      </c>
      <c r="D36" s="8" t="s">
        <v>2183</v>
      </c>
      <c r="E36" s="8" t="s">
        <v>2188</v>
      </c>
      <c r="F36" s="2793" t="s">
        <v>2580</v>
      </c>
      <c r="G36" s="2435"/>
      <c r="H36" s="2435"/>
      <c r="I36" s="2435"/>
      <c r="J36" s="2240"/>
      <c r="K36" s="2395"/>
      <c r="L36" s="2392"/>
      <c r="M36" s="2392"/>
      <c r="N36" s="2240"/>
      <c r="O36" s="1667"/>
      <c r="P36" s="2240"/>
      <c r="Q36" s="2240"/>
      <c r="R36" s="2240"/>
      <c r="S36" s="2240"/>
      <c r="T36" s="2240"/>
      <c r="U36" s="2240"/>
      <c r="V36" s="2240"/>
    </row>
    <row r="37" spans="1:30">
      <c r="A37" s="2408" t="s">
        <v>2229</v>
      </c>
      <c r="B37" s="2232"/>
      <c r="C37" s="2232"/>
      <c r="D37" s="2232"/>
      <c r="E37" s="2232" t="s">
        <v>307</v>
      </c>
      <c r="F37" s="2232"/>
      <c r="G37" s="2435"/>
      <c r="H37" s="2435"/>
      <c r="I37" s="2435"/>
      <c r="J37" s="2240"/>
      <c r="K37" s="2395"/>
      <c r="L37" s="2392"/>
      <c r="M37" s="2392"/>
      <c r="N37" s="2240"/>
      <c r="O37" s="1667"/>
      <c r="P37" s="2240"/>
      <c r="Q37" s="2240"/>
      <c r="R37" s="2240"/>
      <c r="S37" s="2240"/>
      <c r="T37" s="2240"/>
      <c r="U37" s="2240"/>
      <c r="V37" s="2240"/>
    </row>
    <row r="38" spans="1:30" ht="13.5" thickBot="1">
      <c r="A38" s="2409" t="s">
        <v>2230</v>
      </c>
      <c r="B38" s="2233"/>
      <c r="C38" s="2233"/>
      <c r="D38" s="2233"/>
      <c r="E38" s="2233" t="s">
        <v>3400</v>
      </c>
      <c r="F38" s="2233"/>
      <c r="G38" s="2436"/>
      <c r="H38" s="2436"/>
      <c r="I38" s="2436"/>
      <c r="J38" s="2240"/>
      <c r="K38" s="2395"/>
      <c r="L38" s="2392"/>
      <c r="M38" s="2392"/>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3"/>
      <c r="J40" s="2240"/>
      <c r="K40" s="2394"/>
      <c r="L40" s="1667"/>
      <c r="M40" s="1667"/>
      <c r="N40" s="2240"/>
      <c r="O40" s="1667"/>
      <c r="P40" s="2240"/>
      <c r="Q40" s="2240"/>
      <c r="R40" s="2240"/>
      <c r="S40" s="2240"/>
      <c r="T40" s="2240"/>
      <c r="U40" s="2240"/>
      <c r="V40" s="2240"/>
    </row>
    <row r="41" spans="1:30">
      <c r="A41" s="2237" t="s">
        <v>2232</v>
      </c>
      <c r="B41" s="1624"/>
      <c r="C41" s="1278"/>
      <c r="D41" s="2179"/>
      <c r="E41" s="2179"/>
      <c r="F41" s="2179"/>
      <c r="G41" s="2179"/>
      <c r="H41" s="2179"/>
      <c r="I41" s="1463"/>
      <c r="J41" s="2240"/>
      <c r="K41" s="2395"/>
      <c r="L41" s="2392"/>
      <c r="M41" s="2392"/>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3" customFormat="1">
      <c r="A43" s="1459"/>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3" customFormat="1">
      <c r="A44" s="1459"/>
      <c r="B44" s="1459"/>
      <c r="C44" s="628"/>
      <c r="D44" s="628"/>
      <c r="E44" s="628"/>
      <c r="F44" s="628"/>
      <c r="G44" s="628"/>
      <c r="H44" s="628"/>
      <c r="I44" s="628"/>
      <c r="J44" s="2238"/>
      <c r="K44" s="2239"/>
      <c r="L44" s="2239"/>
      <c r="M44" s="628"/>
      <c r="N44" s="628"/>
      <c r="O44" s="628"/>
      <c r="P44" s="628"/>
      <c r="Q44" s="628"/>
      <c r="R44" s="628"/>
      <c r="S44" s="2240"/>
      <c r="T44" s="2240"/>
      <c r="U44" s="2240"/>
      <c r="V44" s="2240"/>
    </row>
    <row r="45" spans="1:30" s="1613" customFormat="1">
      <c r="A45" s="1459"/>
      <c r="B45" s="1459"/>
      <c r="C45" s="628"/>
      <c r="D45" s="628"/>
      <c r="E45" s="628"/>
      <c r="F45" s="628"/>
      <c r="G45" s="628"/>
      <c r="H45" s="628"/>
      <c r="I45" s="628"/>
      <c r="J45" s="2238"/>
      <c r="K45" s="2239"/>
      <c r="L45" s="2239"/>
      <c r="M45" s="628"/>
      <c r="N45" s="628"/>
      <c r="O45" s="628"/>
      <c r="P45" s="628"/>
      <c r="Q45" s="628"/>
      <c r="R45" s="628"/>
      <c r="S45" s="2240"/>
      <c r="T45" s="2240"/>
      <c r="U45" s="2240"/>
      <c r="V45" s="2240"/>
    </row>
    <row r="46" spans="1:30" s="1613" customFormat="1">
      <c r="A46" s="1459"/>
      <c r="B46" s="1459"/>
      <c r="C46" s="628"/>
      <c r="D46" s="628"/>
      <c r="E46" s="628"/>
      <c r="F46" s="628"/>
      <c r="G46" s="628"/>
      <c r="H46" s="628"/>
      <c r="I46" s="628"/>
      <c r="J46" s="2238"/>
      <c r="K46" s="2239"/>
      <c r="L46" s="2239"/>
      <c r="M46" s="628"/>
      <c r="N46" s="628"/>
      <c r="O46" s="628"/>
      <c r="P46" s="628"/>
      <c r="Q46" s="628"/>
      <c r="R46" s="628"/>
      <c r="S46" s="2240"/>
      <c r="T46" s="2240"/>
      <c r="U46" s="2240"/>
      <c r="V46" s="2240"/>
    </row>
    <row r="47" spans="1:30" s="1613" customFormat="1">
      <c r="A47" s="1459"/>
      <c r="B47" s="1459"/>
      <c r="C47" s="628"/>
      <c r="D47" s="628"/>
      <c r="E47" s="628"/>
      <c r="F47" s="628"/>
      <c r="G47" s="628"/>
      <c r="H47" s="628"/>
      <c r="I47" s="628"/>
      <c r="J47" s="2238"/>
      <c r="K47" s="2239"/>
      <c r="L47" s="2239"/>
      <c r="M47" s="628"/>
      <c r="N47" s="628"/>
      <c r="O47" s="628"/>
      <c r="P47" s="628"/>
      <c r="Q47" s="628"/>
      <c r="R47" s="628"/>
      <c r="S47" s="2240"/>
      <c r="T47" s="2240"/>
      <c r="U47" s="2240"/>
      <c r="V47" s="2240"/>
    </row>
    <row r="48" spans="1:30" s="1613" customFormat="1">
      <c r="A48" s="1459"/>
      <c r="B48" s="1459"/>
      <c r="C48" s="628"/>
      <c r="D48" s="628"/>
      <c r="E48" s="628"/>
      <c r="F48" s="628"/>
      <c r="G48" s="628"/>
      <c r="H48" s="628"/>
      <c r="I48" s="628"/>
      <c r="J48" s="2238"/>
      <c r="K48" s="2239"/>
      <c r="L48" s="2239"/>
      <c r="M48" s="628"/>
      <c r="N48" s="628"/>
      <c r="O48" s="628"/>
      <c r="P48" s="628"/>
      <c r="Q48" s="628"/>
      <c r="R48" s="628"/>
      <c r="S48" s="2240"/>
      <c r="T48" s="2240"/>
      <c r="U48" s="2240"/>
      <c r="V48" s="2240"/>
    </row>
    <row r="49" spans="1:22" s="1613" customFormat="1">
      <c r="A49" s="1459"/>
      <c r="B49" s="1459"/>
      <c r="C49" s="628"/>
      <c r="D49" s="628"/>
      <c r="E49" s="628"/>
      <c r="F49" s="628"/>
      <c r="G49" s="628"/>
      <c r="H49" s="628"/>
      <c r="I49" s="628"/>
      <c r="J49" s="2238"/>
      <c r="K49" s="2239"/>
      <c r="L49" s="2239"/>
      <c r="M49" s="628"/>
      <c r="N49" s="628"/>
      <c r="O49" s="628"/>
      <c r="P49" s="628"/>
      <c r="Q49" s="628"/>
      <c r="R49" s="628"/>
      <c r="S49" s="2240"/>
      <c r="T49" s="2240"/>
      <c r="U49" s="2240"/>
      <c r="V49" s="2240"/>
    </row>
    <row r="50" spans="1:22" s="1613" customFormat="1">
      <c r="A50" s="1459"/>
      <c r="B50" s="1459"/>
      <c r="C50" s="628"/>
      <c r="D50" s="628"/>
      <c r="E50" s="628"/>
      <c r="F50" s="628"/>
      <c r="G50" s="628"/>
      <c r="H50" s="628"/>
      <c r="I50" s="628"/>
      <c r="J50" s="2238"/>
      <c r="K50" s="2239"/>
      <c r="L50" s="2239"/>
      <c r="M50" s="628"/>
      <c r="N50" s="628"/>
      <c r="O50" s="628"/>
      <c r="P50" s="628"/>
      <c r="Q50" s="628"/>
      <c r="R50" s="628"/>
      <c r="S50" s="2240"/>
      <c r="T50" s="2240"/>
      <c r="U50" s="2240"/>
      <c r="V50" s="2240"/>
    </row>
    <row r="51" spans="1:22" s="1613" customFormat="1">
      <c r="A51" s="1459"/>
      <c r="B51" s="1459"/>
      <c r="C51" s="628"/>
      <c r="D51" s="628"/>
      <c r="E51" s="628"/>
      <c r="F51" s="628"/>
      <c r="G51" s="628"/>
      <c r="H51" s="628"/>
      <c r="I51" s="628"/>
      <c r="J51" s="2238"/>
      <c r="K51" s="2239"/>
      <c r="L51" s="2239"/>
      <c r="M51" s="628"/>
      <c r="N51" s="628"/>
      <c r="O51" s="628"/>
      <c r="P51" s="628"/>
      <c r="Q51" s="628"/>
      <c r="R51" s="628"/>
    </row>
    <row r="52" spans="1:22" s="1613" customFormat="1">
      <c r="A52" s="1459"/>
      <c r="B52" s="1459"/>
      <c r="C52" s="1459"/>
      <c r="D52" s="1459"/>
      <c r="E52" s="1459"/>
      <c r="F52" s="628"/>
      <c r="G52" s="1459"/>
      <c r="H52" s="1459"/>
      <c r="I52" s="1459"/>
      <c r="J52" s="2241"/>
      <c r="K52" s="2239"/>
      <c r="L52" s="2239"/>
      <c r="M52" s="2239"/>
      <c r="N52" s="1459"/>
      <c r="O52" s="1459"/>
      <c r="P52" s="1459"/>
      <c r="Q52" s="1459"/>
      <c r="R52" s="1459"/>
    </row>
    <row r="53" spans="1:22" s="1613" customFormat="1">
      <c r="A53" s="1459"/>
      <c r="B53" s="1459"/>
      <c r="C53" s="1459"/>
      <c r="D53" s="1459"/>
      <c r="E53" s="1459"/>
      <c r="F53" s="628"/>
      <c r="G53" s="1459"/>
      <c r="H53" s="1459"/>
      <c r="I53" s="1459"/>
      <c r="J53" s="2241"/>
      <c r="K53" s="2239"/>
      <c r="L53" s="2239"/>
      <c r="M53" s="2239"/>
      <c r="N53" s="1459"/>
      <c r="O53" s="1459"/>
      <c r="P53" s="1459"/>
      <c r="Q53" s="1459"/>
      <c r="R53" s="1459"/>
    </row>
    <row r="54" spans="1:22" s="1613" customFormat="1">
      <c r="A54" s="1459"/>
      <c r="B54" s="1459"/>
      <c r="C54" s="1459"/>
      <c r="D54" s="1459"/>
      <c r="E54" s="1459"/>
      <c r="F54" s="628"/>
      <c r="G54" s="1459"/>
      <c r="H54" s="1459"/>
      <c r="I54" s="1459"/>
      <c r="J54" s="2241"/>
      <c r="K54" s="2239"/>
      <c r="L54" s="2239"/>
      <c r="M54" s="2239"/>
      <c r="N54" s="1459"/>
      <c r="O54" s="1459"/>
      <c r="P54" s="1459"/>
      <c r="Q54" s="1459"/>
      <c r="R54" s="1459"/>
    </row>
    <row r="55" spans="1:22" s="1613" customFormat="1">
      <c r="A55" s="1459"/>
      <c r="B55" s="1459"/>
      <c r="C55" s="1459"/>
      <c r="D55" s="1459"/>
      <c r="E55" s="1459"/>
      <c r="F55" s="628"/>
      <c r="G55" s="1459"/>
      <c r="H55" s="1459"/>
      <c r="I55" s="1459"/>
      <c r="J55" s="2241"/>
      <c r="K55" s="2239"/>
      <c r="L55" s="2239"/>
      <c r="M55" s="2239"/>
      <c r="N55" s="1459"/>
      <c r="O55" s="1459"/>
      <c r="P55" s="1459"/>
      <c r="Q55" s="1459"/>
      <c r="R55" s="1459"/>
    </row>
    <row r="56" spans="1:22" s="1613" customFormat="1">
      <c r="A56" s="1459"/>
      <c r="B56" s="1459"/>
      <c r="C56" s="1459"/>
      <c r="D56" s="1459"/>
      <c r="E56" s="1459"/>
      <c r="F56" s="628"/>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N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5" t="s">
        <v>1067</v>
      </c>
      <c r="AZ2" s="986"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[2]信息台账!F9</f>
        <v>9558.83</v>
      </c>
      <c r="B3" s="11">
        <f>IF(C3="否",G5-AT5,G5)</f>
        <v>11528.980000000001</v>
      </c>
      <c r="C3" s="1466" t="s">
        <v>3395</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59">
        <f>A3</f>
        <v>9558.83</v>
      </c>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1070</v>
      </c>
      <c r="B5" s="1256"/>
      <c r="C5" s="1256"/>
      <c r="D5" s="1257"/>
      <c r="E5" s="13" t="s">
        <v>0</v>
      </c>
      <c r="F5" s="13">
        <f>SUM(F13:F587)</f>
        <v>0</v>
      </c>
      <c r="G5" s="13">
        <f>SUM(G13:G587)</f>
        <v>11528.980000000001</v>
      </c>
      <c r="H5" s="13">
        <f t="shared" ref="H5:AT5" si="0">SUM(H13:H656)</f>
        <v>11528.980000000001</v>
      </c>
      <c r="I5" s="13">
        <f t="shared" si="0"/>
        <v>11528.980000000001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6436.4900000000007</v>
      </c>
      <c r="BA5" s="15">
        <f t="shared" si="1"/>
        <v>6436.4900000000007</v>
      </c>
      <c r="BB5" s="15">
        <f t="shared" si="1"/>
        <v>6436.4900000000007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1071</v>
      </c>
      <c r="B6" s="1471"/>
      <c r="C6" s="1471"/>
      <c r="D6" s="1472"/>
      <c r="E6" s="13">
        <f>H6+AC6+AT6</f>
        <v>9558.83</v>
      </c>
      <c r="F6" s="13" t="s">
        <v>0</v>
      </c>
      <c r="G6" s="13" t="s">
        <v>1</v>
      </c>
      <c r="H6" s="17">
        <f>SUMIF(I$12:AB$12,"总值",I6:AB6)</f>
        <v>9558.83</v>
      </c>
      <c r="I6" s="13">
        <f t="shared" ref="I6:AB6" si="2">ROUND($A$3*I5/$B$3,2)</f>
        <v>9558.83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9558.83</v>
      </c>
      <c r="AZ6" s="13" t="s">
        <v>2</v>
      </c>
      <c r="BA6" s="13">
        <f>ROUND($AY$6*BA5/$AZ$5,2)</f>
        <v>9558.83</v>
      </c>
      <c r="BB6" s="13">
        <f>ROUND($AY$6*BB5/$AZ$5,2)</f>
        <v>9558.83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60" t="s">
        <v>1085</v>
      </c>
      <c r="AD8" s="1485"/>
      <c r="AE8" s="1477"/>
      <c r="AF8" s="1266"/>
      <c r="AG8" s="1266"/>
      <c r="AH8" s="1266"/>
      <c r="AI8" s="1266"/>
      <c r="AJ8" s="1266"/>
      <c r="AK8" s="1266"/>
      <c r="AL8" s="1266"/>
      <c r="AM8" s="1266"/>
      <c r="AN8" s="1266"/>
      <c r="AO8" s="1266"/>
      <c r="AP8" s="1266"/>
      <c r="AQ8" s="1266"/>
      <c r="AR8" s="1266"/>
      <c r="AS8" s="1266"/>
      <c r="AT8" s="1005" t="s">
        <v>1086</v>
      </c>
      <c r="AU8" s="1479" t="s">
        <v>1087</v>
      </c>
      <c r="AV8" s="1005"/>
      <c r="AW8" s="1464"/>
      <c r="AX8" s="1005"/>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1090</v>
      </c>
      <c r="I9" s="1488" t="s">
        <v>3506</v>
      </c>
      <c r="J9" s="760"/>
      <c r="K9" s="1488"/>
      <c r="L9" s="760"/>
      <c r="M9" s="1488"/>
      <c r="N9" s="760"/>
      <c r="O9" s="1488"/>
      <c r="P9" s="760"/>
      <c r="Q9" s="1488"/>
      <c r="R9" s="760"/>
      <c r="S9" s="1488"/>
      <c r="T9" s="760"/>
      <c r="U9" s="1488"/>
      <c r="V9" s="760"/>
      <c r="W9" s="1488"/>
      <c r="X9" s="1489"/>
      <c r="Y9" s="1488"/>
      <c r="Z9" s="760"/>
      <c r="AA9" s="1488"/>
      <c r="AB9" s="760"/>
      <c r="AC9" s="1480" t="s">
        <v>1090</v>
      </c>
      <c r="AD9" s="12" t="s">
        <v>1091</v>
      </c>
      <c r="AE9" s="1011"/>
      <c r="AF9" s="12" t="s">
        <v>1092</v>
      </c>
      <c r="AG9" s="1011"/>
      <c r="AH9" s="12" t="s">
        <v>1091</v>
      </c>
      <c r="AI9" s="1011"/>
      <c r="AJ9" s="12" t="s">
        <v>1092</v>
      </c>
      <c r="AK9" s="1011"/>
      <c r="AL9" s="12" t="s">
        <v>1091</v>
      </c>
      <c r="AM9" s="1011"/>
      <c r="AN9" s="12" t="s">
        <v>1092</v>
      </c>
      <c r="AO9" s="1011"/>
      <c r="AP9" s="12" t="s">
        <v>1091</v>
      </c>
      <c r="AQ9" s="1011"/>
      <c r="AR9" s="12" t="s">
        <v>1092</v>
      </c>
      <c r="AS9" s="1490"/>
      <c r="AT9" s="1479"/>
      <c r="AU9" s="1479" t="s">
        <v>1093</v>
      </c>
      <c r="AV9" s="1005"/>
      <c r="AW9" s="1464"/>
      <c r="AX9" s="1005"/>
      <c r="AY9" s="25"/>
      <c r="AZ9" s="25" t="s">
        <v>1083</v>
      </c>
      <c r="BA9" s="1491" t="s">
        <v>1094</v>
      </c>
      <c r="BB9" s="1492"/>
      <c r="BC9" s="1023"/>
      <c r="BD9" s="1023"/>
      <c r="BE9" s="1023"/>
      <c r="BF9" s="1023"/>
      <c r="BG9" s="1023"/>
      <c r="BH9" s="1023"/>
      <c r="BI9" s="1023"/>
      <c r="BJ9" s="1023"/>
      <c r="BK9" s="1493"/>
      <c r="BL9" s="12" t="s">
        <v>1095</v>
      </c>
      <c r="BM9" s="1266"/>
      <c r="BN9" s="1482"/>
      <c r="BO9" s="1266"/>
      <c r="BP9" s="1266"/>
      <c r="BQ9" s="1266"/>
      <c r="BR9" s="1266"/>
      <c r="BS9" s="1266"/>
      <c r="BT9" s="23"/>
    </row>
    <row r="10" spans="1:72" s="1486" customFormat="1" ht="12.75">
      <c r="A10" s="1479"/>
      <c r="B10" s="1479"/>
      <c r="C10" s="1479"/>
      <c r="D10" s="1479"/>
      <c r="E10" s="1479"/>
      <c r="F10" s="1479"/>
      <c r="G10" s="1005"/>
      <c r="H10" s="25"/>
      <c r="I10" s="1488" t="s">
        <v>3</v>
      </c>
      <c r="J10" s="760"/>
      <c r="K10" s="1494"/>
      <c r="L10" s="760"/>
      <c r="M10" s="1494"/>
      <c r="N10" s="760"/>
      <c r="O10" s="1494"/>
      <c r="P10" s="760"/>
      <c r="Q10" s="1494"/>
      <c r="R10" s="760"/>
      <c r="S10" s="1494"/>
      <c r="T10" s="760"/>
      <c r="U10" s="1494"/>
      <c r="V10" s="760"/>
      <c r="W10" s="1494"/>
      <c r="X10" s="760"/>
      <c r="Y10" s="1494"/>
      <c r="Z10" s="760"/>
      <c r="AA10" s="1494"/>
      <c r="AB10" s="760"/>
      <c r="AC10" s="1005"/>
      <c r="AD10" s="12" t="s">
        <v>1096</v>
      </c>
      <c r="AE10" s="1495"/>
      <c r="AF10" s="12" t="s">
        <v>1096</v>
      </c>
      <c r="AG10" s="1495"/>
      <c r="AH10" s="12" t="s">
        <v>1097</v>
      </c>
      <c r="AI10" s="1495"/>
      <c r="AJ10" s="12" t="s">
        <v>1097</v>
      </c>
      <c r="AK10" s="1495"/>
      <c r="AL10" s="12" t="s">
        <v>1098</v>
      </c>
      <c r="AM10" s="1011"/>
      <c r="AN10" s="12" t="s">
        <v>1098</v>
      </c>
      <c r="AO10" s="1011"/>
      <c r="AP10" s="12" t="s">
        <v>1099</v>
      </c>
      <c r="AQ10" s="1011"/>
      <c r="AR10" s="12" t="s">
        <v>1099</v>
      </c>
      <c r="AS10" s="1011"/>
      <c r="AT10" s="1479"/>
      <c r="AU10" s="1479"/>
      <c r="AV10" s="1005"/>
      <c r="AW10" s="1464"/>
      <c r="AX10" s="1005"/>
      <c r="AY10" s="25"/>
      <c r="AZ10" s="25"/>
      <c r="BA10" s="1496" t="s">
        <v>1090</v>
      </c>
      <c r="BB10" s="1497" t="str">
        <f>I9</f>
        <v>地上</v>
      </c>
      <c r="BC10" s="26">
        <f>K9</f>
        <v>0</v>
      </c>
      <c r="BD10" s="26">
        <f>M9</f>
        <v>0</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628" t="str">
        <f>信息台账!D3</f>
        <v>1号楼</v>
      </c>
      <c r="D13" s="1510" t="s">
        <v>3395</v>
      </c>
      <c r="E13" s="13">
        <f>IF($C$3="是",ROUND($A$3*G13/$B$3,2),ROUND($A$3*(G13-AT13)/$B$3,2))</f>
        <v>1027.8499999999999</v>
      </c>
      <c r="F13" s="29"/>
      <c r="G13" s="30">
        <f>H13+AC13+AT13</f>
        <v>1239.7</v>
      </c>
      <c r="H13" s="17">
        <f>SUMIF(I$12:AB$12,"总值",I13:AB13)</f>
        <v>1239.7</v>
      </c>
      <c r="I13" s="1511">
        <f>信息台账!F3</f>
        <v>1239.7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1号楼</v>
      </c>
      <c r="AY13" s="1257">
        <f>ROUND($AY$6*AZ13/$AZ$5,2)</f>
        <v>1841.08</v>
      </c>
      <c r="AZ13" s="13">
        <f>BA13+BL13</f>
        <v>1239.7</v>
      </c>
      <c r="BA13" s="13">
        <f>SUM(BB13:BK13)</f>
        <v>1239.7</v>
      </c>
      <c r="BB13" s="13">
        <f>IF($D13="是",I13-J13,0)</f>
        <v>1239.7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628" t="str">
        <f>信息台账!D4</f>
        <v>2号楼</v>
      </c>
      <c r="D14" s="1510" t="s">
        <v>3395</v>
      </c>
      <c r="E14" s="13">
        <f>IF($C$3="是",ROUND($A$3*G14/$B$3,2),ROUND($A$3*(G14-AT14)/$B$3,2))</f>
        <v>1365.88</v>
      </c>
      <c r="F14" s="29"/>
      <c r="G14" s="30">
        <f>H14+AC14+AT14</f>
        <v>1647.4</v>
      </c>
      <c r="H14" s="17">
        <f>SUMIF(I$12:AB$12,"总值",I14:AB14)</f>
        <v>1647.4</v>
      </c>
      <c r="I14" s="1511">
        <f>信息台账!F4</f>
        <v>1647.4</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2号楼</v>
      </c>
      <c r="AY14" s="1257">
        <f>ROUND($AY$6*AZ14/$AZ$5,2)</f>
        <v>2446.5500000000002</v>
      </c>
      <c r="AZ14" s="13">
        <f>BA14+BL14</f>
        <v>1647.4</v>
      </c>
      <c r="BA14" s="13">
        <f>SUM(BB14:BK14)</f>
        <v>1647.4</v>
      </c>
      <c r="BB14" s="13">
        <f>IF($D14="是",I14-J14,0)</f>
        <v>1647.4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628" t="str">
        <f>信息台账!D5</f>
        <v>3号楼</v>
      </c>
      <c r="D15" s="1510" t="s">
        <v>3395</v>
      </c>
      <c r="E15" s="13">
        <f>IF($C$3="是",ROUND($A$3*G15/$B$3,2),ROUND($A$3*(G15-AT15)/$B$3,2))</f>
        <v>2834.01</v>
      </c>
      <c r="F15" s="29"/>
      <c r="G15" s="30">
        <f>H15+AC15+AT15</f>
        <v>3418.12</v>
      </c>
      <c r="H15" s="17">
        <f>SUMIF(I$12:AB$12,"总值",I15:AB15)</f>
        <v>3418.12</v>
      </c>
      <c r="I15" s="1511">
        <f>信息台账!F5</f>
        <v>3418.12</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3号楼</v>
      </c>
      <c r="AY15" s="1257">
        <f>ROUND($AY$6*AZ15/$AZ$5,2)</f>
        <v>5076.25</v>
      </c>
      <c r="AZ15" s="13">
        <f>BA15+BL15</f>
        <v>3418.12</v>
      </c>
      <c r="BA15" s="13">
        <f>SUM(BB15:BK15)</f>
        <v>3418.12</v>
      </c>
      <c r="BB15" s="13">
        <f>IF($D15="是",I15-J15,0)</f>
        <v>3418.12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628" t="str">
        <f>信息台账!D6</f>
        <v>5号</v>
      </c>
      <c r="D16" s="1510" t="s">
        <v>3395</v>
      </c>
      <c r="E16" s="13">
        <f>IF($C$3="是",ROUND($A$3*G16/$B$3,2),ROUND($A$3*(G16-AT16)/$B$3,2))</f>
        <v>108.84</v>
      </c>
      <c r="F16" s="29"/>
      <c r="G16" s="30">
        <f>H16+AC16+AT16</f>
        <v>131.27000000000001</v>
      </c>
      <c r="H16" s="17">
        <f>SUMIF(I$12:AB$12,"总值",I16:AB16)</f>
        <v>131.27000000000001</v>
      </c>
      <c r="I16" s="1511">
        <f>信息台账!F6</f>
        <v>131.27000000000001</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5号</v>
      </c>
      <c r="AY16" s="1257">
        <f>ROUND($AY$6*AZ16/$AZ$5,2)</f>
        <v>194.95</v>
      </c>
      <c r="AZ16" s="13">
        <f>BA16+BL16</f>
        <v>131.27000000000001</v>
      </c>
      <c r="BA16" s="13">
        <f>SUM(BB16:BK16)</f>
        <v>131.27000000000001</v>
      </c>
      <c r="BB16" s="13">
        <f>IF($D16="是",I16-J16,0)</f>
        <v>131.27000000000001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25.5">
      <c r="A17" s="628"/>
      <c r="B17" s="628"/>
      <c r="C17" s="628" t="str">
        <f>信息台账!C25</f>
        <v>4号楼还没有建</v>
      </c>
      <c r="D17" s="1510" t="s">
        <v>3505</v>
      </c>
      <c r="E17" s="13">
        <f>IF($C$3="是",ROUND($A$3*G17/$B$3,2),ROUND($A$3*(G17-AT17)/$B$3,2))</f>
        <v>4205.68</v>
      </c>
      <c r="F17" s="29"/>
      <c r="G17" s="30">
        <f>H17+AC17+AT17</f>
        <v>5072.5</v>
      </c>
      <c r="H17" s="17">
        <f>SUMIF(I$12:AB$12,"总值",I17:AB17)</f>
        <v>5072.5</v>
      </c>
      <c r="I17" s="1511">
        <f>信息台账!B25</f>
        <v>5072.5</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4号楼还没有建</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信息台账!A28</f>
        <v>门卫</v>
      </c>
      <c r="D18" s="1513" t="s">
        <v>3505</v>
      </c>
      <c r="E18" s="32">
        <f t="shared" ref="E18:E112" si="7">IF($C$3="是",ROUND($A$3*G18/$B$3,2),ROUND($A$3*(G18-AT18)/$B$3,2))</f>
        <v>16.57</v>
      </c>
      <c r="F18" s="33"/>
      <c r="G18" s="34">
        <f t="shared" ref="G18:G109" si="8">H18+AC18+AT18</f>
        <v>19.989999999999998</v>
      </c>
      <c r="H18" s="35">
        <f t="shared" ref="H18:H109" si="9">SUMIF(I$12:AB$12,"总值",I18:AB18)</f>
        <v>19.989999999999998</v>
      </c>
      <c r="I18" s="36">
        <f>信息台账!B28</f>
        <v>19.989999999999998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t="str">
        <f t="shared" ref="AX18:AX112" si="13">C18</f>
        <v>门卫</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1129</v>
      </c>
      <c r="B1" s="1068"/>
      <c r="C1" s="1068"/>
      <c r="D1" s="1068"/>
      <c r="E1" s="1068"/>
      <c r="F1" s="1068"/>
      <c r="G1" s="1068"/>
      <c r="H1" s="1068"/>
      <c r="I1" s="1068"/>
      <c r="J1" s="1068"/>
      <c r="K1" s="1068"/>
      <c r="L1" s="1068"/>
      <c r="M1" s="1068"/>
      <c r="N1" s="1068"/>
      <c r="O1" s="1068"/>
      <c r="P1" s="1068"/>
    </row>
    <row r="2" spans="1:16" ht="15">
      <c r="A2" s="3270" t="s">
        <v>1130</v>
      </c>
      <c r="B2" s="3270"/>
      <c r="C2" s="3270"/>
      <c r="D2" s="747" t="s">
        <v>1106</v>
      </c>
      <c r="E2" s="1520" t="s">
        <v>1107</v>
      </c>
      <c r="F2" s="2432"/>
      <c r="G2" s="2425"/>
      <c r="H2" s="2426"/>
      <c r="I2" s="2143" t="s">
        <v>1131</v>
      </c>
      <c r="J2" s="2432"/>
      <c r="K2" s="2432"/>
      <c r="L2" s="2432"/>
      <c r="M2" s="2432"/>
      <c r="N2" s="2433"/>
      <c r="O2" s="2432"/>
      <c r="P2" s="2432"/>
    </row>
    <row r="3" spans="1:16" ht="15.75" thickBot="1">
      <c r="A3" s="3271" t="s">
        <v>1104</v>
      </c>
      <c r="B3" s="3271"/>
      <c r="C3" s="3271"/>
      <c r="D3" s="41">
        <f>'数据-基础表'!AY6</f>
        <v>9558.83</v>
      </c>
      <c r="E3" s="41">
        <f>'数据-基础表'!AZ5</f>
        <v>6436.4900000000007</v>
      </c>
      <c r="F3" s="2432"/>
      <c r="G3" s="42"/>
      <c r="H3" s="43" t="s">
        <v>1105</v>
      </c>
      <c r="I3" s="801">
        <f>ROUND('数据-基础表'!B3/'数据-基础表'!A3,2)</f>
        <v>1.21</v>
      </c>
      <c r="J3" s="2432"/>
      <c r="K3" s="2432"/>
      <c r="L3" s="2432"/>
      <c r="M3" s="2432"/>
      <c r="N3" s="2433"/>
      <c r="O3" s="2432"/>
      <c r="P3" s="2432"/>
    </row>
    <row r="4" spans="1:16" ht="15">
      <c r="A4" s="3272"/>
      <c r="B4" s="3273"/>
      <c r="C4" s="3274"/>
      <c r="D4" s="1521" t="s">
        <v>1106</v>
      </c>
      <c r="E4" s="1522" t="s">
        <v>1107</v>
      </c>
      <c r="F4" s="2432"/>
      <c r="G4" s="2427" t="s">
        <v>1132</v>
      </c>
      <c r="H4" s="43" t="s">
        <v>1112</v>
      </c>
      <c r="I4" s="801">
        <f>ROUND(SUMIF('数据-基础表'!I9:AS9,"地上",'数据-基础表'!I5:AS5)/'数据-基础表'!A3,2)</f>
        <v>1.21</v>
      </c>
      <c r="J4" s="2432"/>
      <c r="K4" s="2432"/>
      <c r="L4" s="2432"/>
      <c r="M4" s="2432"/>
      <c r="N4" s="2433"/>
      <c r="O4" s="2432"/>
      <c r="P4" s="2432"/>
    </row>
    <row r="5" spans="1:16">
      <c r="A5" s="42" t="s">
        <v>1108</v>
      </c>
      <c r="B5" s="3275" t="s">
        <v>1109</v>
      </c>
      <c r="C5" s="3275"/>
      <c r="D5" s="43">
        <f>ROUND($D$3*E5/$E$3,2)</f>
        <v>0</v>
      </c>
      <c r="E5" s="44">
        <f>SUMIF('数据-基础表'!$11:$11,"住宅",'数据-基础表'!$5:$5)</f>
        <v>0</v>
      </c>
      <c r="F5" s="2432"/>
      <c r="G5" s="42"/>
      <c r="H5" s="43" t="s">
        <v>1105</v>
      </c>
      <c r="I5" s="801">
        <f>ROUND(E31/D31,2)</f>
        <v>0.67</v>
      </c>
      <c r="J5" s="2432"/>
      <c r="K5" s="2432"/>
      <c r="L5" s="2432"/>
      <c r="M5" s="2432"/>
      <c r="N5" s="2432"/>
      <c r="O5" s="2432"/>
      <c r="P5" s="2432"/>
    </row>
    <row r="6" spans="1:16" ht="15" thickBot="1">
      <c r="A6" s="1524"/>
      <c r="B6" s="3275" t="s">
        <v>1110</v>
      </c>
      <c r="C6" s="3275"/>
      <c r="D6" s="43">
        <f>ROUND($D$3*E6/$E$3,2)</f>
        <v>9558.83</v>
      </c>
      <c r="E6" s="44">
        <f>E3-E5</f>
        <v>6436.4900000000007</v>
      </c>
      <c r="F6" s="2432"/>
      <c r="G6" s="1526" t="s">
        <v>1111</v>
      </c>
      <c r="H6" s="45" t="s">
        <v>1112</v>
      </c>
      <c r="I6" s="2428">
        <f>ROUND(F31/D31,2)</f>
        <v>0.67</v>
      </c>
      <c r="J6" s="2432"/>
      <c r="K6" s="2432"/>
      <c r="L6" s="2432"/>
      <c r="M6" s="2432"/>
      <c r="N6" s="2432"/>
      <c r="O6" s="2432"/>
      <c r="P6" s="2432"/>
    </row>
    <row r="7" spans="1:16" ht="15.75" thickBot="1">
      <c r="A7" s="3267"/>
      <c r="B7" s="3268"/>
      <c r="C7" s="3269"/>
      <c r="D7" s="1521" t="s">
        <v>1106</v>
      </c>
      <c r="E7" s="1525" t="s">
        <v>1113</v>
      </c>
      <c r="F7" s="2432"/>
      <c r="G7" s="2429" t="s">
        <v>1114</v>
      </c>
      <c r="H7" s="95"/>
      <c r="I7" s="2430"/>
      <c r="J7" s="2432"/>
      <c r="K7" s="2432"/>
      <c r="L7" s="2432"/>
      <c r="M7" s="2432"/>
      <c r="N7" s="2432"/>
      <c r="O7" s="2432"/>
      <c r="P7" s="2432"/>
    </row>
    <row r="8" spans="1:16">
      <c r="A8" s="42" t="s">
        <v>1115</v>
      </c>
      <c r="B8" s="45" t="s">
        <v>1116</v>
      </c>
      <c r="C8" s="43" t="s">
        <v>1117</v>
      </c>
      <c r="D8" s="43">
        <f t="shared" ref="D8:D15" si="0">ROUND($D$3*E8/$E$3,2)</f>
        <v>9558.83</v>
      </c>
      <c r="E8" s="46">
        <f>SUMIF('数据-基础表'!BB10:BK10,"地上",'数据-基础表'!BB5:BK5)</f>
        <v>6436.4900000000007</v>
      </c>
      <c r="F8" s="2432"/>
      <c r="G8" s="2432"/>
      <c r="H8" s="2432"/>
      <c r="I8" s="2432"/>
      <c r="J8" s="2432"/>
      <c r="K8" s="2432"/>
      <c r="L8" s="2432"/>
      <c r="M8" s="2432"/>
      <c r="N8" s="2432"/>
      <c r="O8" s="2432"/>
      <c r="P8" s="2432"/>
    </row>
    <row r="9" spans="1:16">
      <c r="A9" s="1526"/>
      <c r="B9" s="1527"/>
      <c r="C9" s="43" t="s">
        <v>1118</v>
      </c>
      <c r="D9" s="43">
        <f t="shared" si="0"/>
        <v>0</v>
      </c>
      <c r="E9" s="47">
        <v>0</v>
      </c>
      <c r="F9" s="2432"/>
      <c r="G9" s="2432"/>
      <c r="H9" s="2432"/>
      <c r="I9" s="2432"/>
      <c r="J9" s="2432"/>
      <c r="K9" s="2432"/>
      <c r="L9" s="2432"/>
      <c r="M9" s="2432"/>
      <c r="N9" s="2432"/>
      <c r="O9" s="2432"/>
      <c r="P9" s="2432"/>
    </row>
    <row r="10" spans="1:16">
      <c r="A10" s="1526"/>
      <c r="B10" s="1527"/>
      <c r="C10" s="43" t="s">
        <v>1127</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1119</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1120</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1121</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1133</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1128</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1122</v>
      </c>
      <c r="D16" s="45">
        <f>SUM(D8:D15)</f>
        <v>9558.83</v>
      </c>
      <c r="E16" s="48">
        <f>SUM(E8:E15)</f>
        <v>6436.4900000000007</v>
      </c>
      <c r="F16" s="2432"/>
      <c r="G16" s="2432"/>
      <c r="H16" s="1528" t="s">
        <v>1134</v>
      </c>
      <c r="I16" s="1529"/>
      <c r="J16" s="1068"/>
      <c r="K16" s="3264" t="s">
        <v>1134</v>
      </c>
      <c r="L16" s="3265"/>
      <c r="M16" s="3265"/>
      <c r="N16" s="3265"/>
      <c r="O16" s="3265"/>
      <c r="P16" s="3266"/>
    </row>
    <row r="17" spans="1:19" ht="15">
      <c r="A17" s="1530" t="s">
        <v>1135</v>
      </c>
      <c r="B17" s="1531" t="s">
        <v>1136</v>
      </c>
      <c r="C17" s="1532" t="s">
        <v>1137</v>
      </c>
      <c r="D17" s="1533" t="s">
        <v>1125</v>
      </c>
      <c r="E17" s="1534" t="s">
        <v>1126</v>
      </c>
      <c r="F17" s="1535"/>
      <c r="G17" s="1536"/>
      <c r="H17" s="1537" t="s">
        <v>1138</v>
      </c>
      <c r="I17" s="1538" t="s">
        <v>1123</v>
      </c>
      <c r="J17" s="1068"/>
      <c r="K17" s="3261" t="s">
        <v>1139</v>
      </c>
      <c r="L17" s="3262"/>
      <c r="M17" s="3263"/>
      <c r="N17" s="3261" t="s">
        <v>1140</v>
      </c>
      <c r="O17" s="3262"/>
      <c r="P17" s="3263"/>
      <c r="R17" s="768" t="s">
        <v>1141</v>
      </c>
      <c r="S17" s="54"/>
    </row>
    <row r="18" spans="1:19" ht="15">
      <c r="A18" s="1526"/>
      <c r="B18" s="1523"/>
      <c r="C18" s="1539"/>
      <c r="D18" s="1540"/>
      <c r="E18" s="1541" t="s">
        <v>1142</v>
      </c>
      <c r="F18" s="1542" t="s">
        <v>1143</v>
      </c>
      <c r="G18" s="1543" t="s">
        <v>1144</v>
      </c>
      <c r="H18" s="979" t="s">
        <v>1145</v>
      </c>
      <c r="I18" s="1544" t="s">
        <v>1146</v>
      </c>
      <c r="J18" s="1068"/>
      <c r="K18" s="979" t="s">
        <v>1147</v>
      </c>
      <c r="L18" s="1545" t="s">
        <v>1148</v>
      </c>
      <c r="M18" s="801" t="s">
        <v>1149</v>
      </c>
      <c r="N18" s="979" t="s">
        <v>1147</v>
      </c>
      <c r="O18" s="1545" t="s">
        <v>1148</v>
      </c>
      <c r="P18" s="801" t="s">
        <v>1149</v>
      </c>
      <c r="R18" s="43" t="s">
        <v>1150</v>
      </c>
      <c r="S18" s="43" t="s">
        <v>1151</v>
      </c>
    </row>
    <row r="19" spans="1:19">
      <c r="A19" s="1546"/>
      <c r="B19" s="45" t="s">
        <v>1124</v>
      </c>
      <c r="C19" s="3108" t="s">
        <v>2548</v>
      </c>
      <c r="D19" s="43">
        <f>ROUND($D$3*E19/$E$3,2)</f>
        <v>9558.83</v>
      </c>
      <c r="E19" s="51">
        <f t="shared" ref="E19:E26" si="1">SUM(F19:G19)</f>
        <v>6436.4900000000007</v>
      </c>
      <c r="F19" s="2550">
        <f>'数据-基础表'!I13+'数据-基础表'!I14+'数据-基础表'!I15+'数据-基础表'!I16</f>
        <v>6436.4900000000007</v>
      </c>
      <c r="G19" s="1240"/>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9558.83</v>
      </c>
      <c r="S19" s="51">
        <f t="shared" si="5"/>
        <v>6436.4900000000007</v>
      </c>
    </row>
    <row r="20" spans="1:19">
      <c r="A20" s="1546"/>
      <c r="B20" s="45" t="s">
        <v>1152</v>
      </c>
      <c r="C20" s="3108"/>
      <c r="D20" s="43">
        <f t="shared" ref="D20:D26" si="6">ROUND($D$3*E20/$E$3,2)</f>
        <v>0</v>
      </c>
      <c r="E20" s="51">
        <f t="shared" si="1"/>
        <v>0</v>
      </c>
      <c r="F20" s="2550"/>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1152</v>
      </c>
      <c r="C21" s="3108"/>
      <c r="D21" s="43">
        <f t="shared" si="6"/>
        <v>0</v>
      </c>
      <c r="E21" s="51">
        <f t="shared" si="1"/>
        <v>0</v>
      </c>
      <c r="F21" s="2550"/>
      <c r="G21" s="1240"/>
      <c r="H21" s="637">
        <f t="shared" si="7"/>
        <v>0</v>
      </c>
      <c r="I21" s="46">
        <f t="shared" si="2"/>
        <v>0</v>
      </c>
      <c r="J21" s="1068"/>
      <c r="K21" s="637">
        <f t="shared" si="3"/>
        <v>0</v>
      </c>
      <c r="L21" s="43">
        <f t="shared" si="4"/>
        <v>0</v>
      </c>
      <c r="M21" s="46">
        <f t="shared" si="8"/>
        <v>0</v>
      </c>
      <c r="N21" s="1547"/>
      <c r="O21" s="1548"/>
      <c r="P21" s="46">
        <f t="shared" si="9"/>
        <v>0</v>
      </c>
      <c r="R21" s="43">
        <f t="shared" si="5"/>
        <v>0</v>
      </c>
      <c r="S21" s="51">
        <f t="shared" si="5"/>
        <v>0</v>
      </c>
    </row>
    <row r="22" spans="1:19">
      <c r="A22" s="1546"/>
      <c r="B22" s="45" t="s">
        <v>1152</v>
      </c>
      <c r="C22" s="3109"/>
      <c r="D22" s="43">
        <f t="shared" si="6"/>
        <v>0</v>
      </c>
      <c r="E22" s="51">
        <f t="shared" si="1"/>
        <v>0</v>
      </c>
      <c r="F22" s="2551"/>
      <c r="G22" s="2552"/>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1152</v>
      </c>
      <c r="C23" s="3109"/>
      <c r="D23" s="43">
        <f>ROUND($D$3*E23/$E$3,2)</f>
        <v>0</v>
      </c>
      <c r="E23" s="51">
        <f>SUM(F23:G23)</f>
        <v>0</v>
      </c>
      <c r="F23" s="2551"/>
      <c r="G23" s="2552"/>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1152</v>
      </c>
      <c r="C24" s="3109"/>
      <c r="D24" s="43">
        <f>ROUND($D$3*E24/$E$3,2)</f>
        <v>0</v>
      </c>
      <c r="E24" s="51">
        <f>SUM(F24:G24)</f>
        <v>0</v>
      </c>
      <c r="F24" s="2551"/>
      <c r="G24" s="2552"/>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1152</v>
      </c>
      <c r="C25" s="3109"/>
      <c r="D25" s="43">
        <f t="shared" si="6"/>
        <v>0</v>
      </c>
      <c r="E25" s="51">
        <f t="shared" si="1"/>
        <v>0</v>
      </c>
      <c r="F25" s="2551"/>
      <c r="G25" s="2552"/>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1152</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1153</v>
      </c>
      <c r="D27" s="1069">
        <f>SUM(D19:D26)</f>
        <v>9558.83</v>
      </c>
      <c r="E27" s="1070">
        <f>IF(SUM(E19:E26)='数据-基础表'!BA5,SUM(E19:E26),IF(F27="地上面积有误","面积有误","地下面积有误"))</f>
        <v>6436.4900000000007</v>
      </c>
      <c r="F27" s="1069">
        <f>IF(SUM(F19:F26)=E8,SUM(F19:F26),"地上面积有误")</f>
        <v>6436.4900000000007</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7">
        <f>IF(SUM(R19:R26)=$D$3,SUM(R19:R26),SUM(R19:R26)&amp;"误差"&amp;ROUND(SUM(R19:R26)-$D$3,2))</f>
        <v>9558.83</v>
      </c>
      <c r="S27" s="43">
        <f>IF(SUM(S19:S26)=$E$3,SUM(S19:S26),SUM(S19:S26)&amp;"误差"&amp;ROUND(SUM(S19:S26)-E3,2))</f>
        <v>6436.4900000000007</v>
      </c>
    </row>
    <row r="28" spans="1:19">
      <c r="A28" s="1546"/>
      <c r="B28" s="45" t="s">
        <v>1154</v>
      </c>
      <c r="C28" s="54" t="s">
        <v>1155</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1154</v>
      </c>
      <c r="C29" s="1552" t="s">
        <v>1156</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1153</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4"/>
      <c r="B31" s="96"/>
      <c r="C31" s="784" t="s">
        <v>1157</v>
      </c>
      <c r="D31" s="642">
        <f>D27+D30</f>
        <v>9558.83</v>
      </c>
      <c r="E31" s="642">
        <f>E27+E30</f>
        <v>6436.4900000000007</v>
      </c>
      <c r="F31" s="643">
        <f>F27+F30</f>
        <v>6436.4900000000007</v>
      </c>
      <c r="G31" s="644">
        <f>G27+G30</f>
        <v>0</v>
      </c>
      <c r="H31" s="2432"/>
      <c r="I31" s="2432"/>
      <c r="J31" s="2432"/>
      <c r="K31" s="2432"/>
      <c r="L31" s="2432"/>
      <c r="M31" s="2432"/>
      <c r="N31" s="2432"/>
      <c r="O31" s="2432"/>
      <c r="P31" s="2432"/>
    </row>
    <row r="32" spans="1:19">
      <c r="A32" s="1523"/>
      <c r="B32" s="1523" t="s">
        <v>1158</v>
      </c>
      <c r="C32" s="1523"/>
      <c r="D32" s="1523"/>
      <c r="E32" s="988">
        <f>SUMIF(C19:C26,"*住宅*",E19:E26)</f>
        <v>0</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1159</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8" customFormat="1" ht="15.75" thickBot="1">
      <c r="A2" s="1559" t="s">
        <v>1160</v>
      </c>
      <c r="B2" s="983">
        <f>项目基本情况!D3</f>
        <v>45547</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31"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1167</v>
      </c>
      <c r="B5" s="1569" t="s">
        <v>1168</v>
      </c>
      <c r="C5" s="1570" t="s">
        <v>1169</v>
      </c>
      <c r="D5" s="1571" t="s">
        <v>1170</v>
      </c>
      <c r="E5" s="504" t="s">
        <v>1171</v>
      </c>
      <c r="F5" s="1572" t="s">
        <v>1172</v>
      </c>
      <c r="G5" s="504" t="s">
        <v>1173</v>
      </c>
      <c r="H5" s="504" t="s">
        <v>1174</v>
      </c>
      <c r="I5" s="504" t="s">
        <v>1175</v>
      </c>
      <c r="J5" s="1244" t="s">
        <v>1176</v>
      </c>
      <c r="K5" s="1573" t="s">
        <v>1177</v>
      </c>
      <c r="L5" s="1574" t="s">
        <v>1178</v>
      </c>
      <c r="M5" s="1575" t="s">
        <v>1179</v>
      </c>
      <c r="N5" s="1576" t="s">
        <v>3514</v>
      </c>
      <c r="O5" s="1574" t="s">
        <v>1180</v>
      </c>
      <c r="P5" s="1577" t="s">
        <v>1181</v>
      </c>
      <c r="Q5" s="58" t="s">
        <v>1182</v>
      </c>
      <c r="R5" s="1578" t="s">
        <v>1183</v>
      </c>
      <c r="S5" s="1579" t="s">
        <v>1184</v>
      </c>
      <c r="T5" s="1580" t="s">
        <v>1185</v>
      </c>
      <c r="U5" s="984" t="s">
        <v>1186</v>
      </c>
      <c r="V5" s="504" t="s">
        <v>1187</v>
      </c>
      <c r="W5" s="504" t="s">
        <v>1188</v>
      </c>
      <c r="X5" s="60"/>
      <c r="Y5" s="59" t="s">
        <v>1189</v>
      </c>
      <c r="Z5" s="1098" t="s">
        <v>1186</v>
      </c>
      <c r="AA5" s="504" t="s">
        <v>1187</v>
      </c>
      <c r="AB5" s="504" t="s">
        <v>1188</v>
      </c>
      <c r="AC5" s="60"/>
      <c r="AD5" s="60" t="s">
        <v>1189</v>
      </c>
      <c r="AE5" s="984" t="s">
        <v>1190</v>
      </c>
      <c r="AF5" s="504" t="s">
        <v>1191</v>
      </c>
      <c r="AG5" s="59" t="s">
        <v>1192</v>
      </c>
      <c r="AH5" s="984" t="s">
        <v>1193</v>
      </c>
      <c r="AI5" s="1098" t="s">
        <v>1194</v>
      </c>
      <c r="AJ5" s="1098" t="s">
        <v>1195</v>
      </c>
      <c r="AK5" s="504" t="s">
        <v>1196</v>
      </c>
      <c r="AL5" s="504" t="s">
        <v>1197</v>
      </c>
      <c r="AM5" s="59" t="s">
        <v>1198</v>
      </c>
      <c r="AN5" s="1581" t="s">
        <v>1199</v>
      </c>
      <c r="AO5" s="1451" t="s">
        <v>1200</v>
      </c>
      <c r="AP5" s="967" t="s">
        <v>1201</v>
      </c>
      <c r="AQ5" s="1582" t="s">
        <v>1202</v>
      </c>
      <c r="AR5" s="1582"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工业</v>
      </c>
      <c r="B6" s="1584" t="str">
        <f>IF(A6=0,"","经营性")</f>
        <v>经营性</v>
      </c>
      <c r="C6" s="1585" t="s">
        <v>3</v>
      </c>
      <c r="D6" s="804">
        <f>SUMIF(项目基本情况!C$12:I$12,C6,项目基本情况!C$14:I$14)</f>
        <v>50</v>
      </c>
      <c r="E6" s="803">
        <f>IF(B6="","",SUMIF(项目基本情况!C$12:I$12,C6,项目基本情况!C$13:I$13))</f>
        <v>59867</v>
      </c>
      <c r="F6" s="61">
        <f>SUMIF(项目基本情况!C$12:I$12,C6,项目基本情况!C$15:I$15)</f>
        <v>39.229999999999997</v>
      </c>
      <c r="G6" s="62">
        <f>IF(ISERROR(ROUND(POWER(1+H6,D6-F6)*(POWER(1+H6,F6)-1)/(POWER(1+H6,D6)-1),3)),0,ROUND(POWER(1+H6,D6-F6)*(POWER(1+H6,F6)-1)/(POWER(1+H6,D6)-1),3))</f>
        <v>0.93400000000000005</v>
      </c>
      <c r="H6" s="690">
        <v>0.05</v>
      </c>
      <c r="I6" s="690">
        <v>5.5E-2</v>
      </c>
      <c r="J6" s="63">
        <v>7.0000000000000007E-2</v>
      </c>
      <c r="K6" s="969">
        <f>SUMIF('数据-汇总表'!C$19:C$33,A6,'数据-汇总表'!E$19:E$33)</f>
        <v>6436.4900000000007</v>
      </c>
      <c r="L6" s="3527">
        <f>信息台账!M7</f>
        <v>2667.6029947999605</v>
      </c>
      <c r="M6" s="64">
        <f t="shared" ref="M6:M14" si="0">ROUND(K6*L6/10000,0)</f>
        <v>1717</v>
      </c>
      <c r="N6" s="689">
        <f>R24</f>
        <v>0.87</v>
      </c>
      <c r="O6" s="64" t="str">
        <f>IF($N$5="成新度","——",ROUND(M6*N6,0))</f>
        <v>——</v>
      </c>
      <c r="P6" s="65" t="str">
        <f>IF($N$5="成新度","——",M6-O6)</f>
        <v>——</v>
      </c>
      <c r="Q6" s="692">
        <v>0.05</v>
      </c>
      <c r="R6" s="66">
        <f ca="1">SUMIF('数据-汇总表'!C$19:C$33,A6,'数据-汇总表'!R$19:R$27)</f>
        <v>9558.83</v>
      </c>
      <c r="S6" s="49">
        <f>IF('数据-汇总表'!$I$17="按面积比例",SUMIF('数据-汇总表'!C$19:C$33,A6,'数据-汇总表'!K$19:K$33),SUMIF('数据-汇总表'!C$19:C$33,A6,'数据-汇总表'!N$19:N$33))</f>
        <v>0</v>
      </c>
      <c r="T6" s="1089">
        <f>ROUND($L$14*S6/10000,0)</f>
        <v>0</v>
      </c>
      <c r="U6" s="3165">
        <f>ROUND(U21,1)</f>
        <v>1.1000000000000001</v>
      </c>
      <c r="V6" s="67">
        <v>0.02</v>
      </c>
      <c r="W6" s="67">
        <v>0.1</v>
      </c>
      <c r="X6" s="978"/>
      <c r="Y6" s="68">
        <f>N6</f>
        <v>0.87</v>
      </c>
      <c r="Z6" s="69"/>
      <c r="AA6" s="63"/>
      <c r="AB6" s="63"/>
      <c r="AC6" s="978"/>
      <c r="AD6" s="70"/>
      <c r="AE6" s="979">
        <f ca="1">IF(AN6="",0,SUMIF(INDIRECT("'"&amp;AN6&amp;"'"&amp;"!E:E"),$AE$5,INDIRECT("'"&amp;AN6&amp;"'"&amp;"!F:F")))</f>
        <v>39.229999999999997</v>
      </c>
      <c r="AF6" s="74"/>
      <c r="AG6" s="130">
        <f>IF(AF6="",0,AE6-AF6)</f>
        <v>0</v>
      </c>
      <c r="AH6" s="71"/>
      <c r="AI6" s="73">
        <v>365</v>
      </c>
      <c r="AJ6" s="74"/>
      <c r="AK6" s="3185">
        <v>0.01</v>
      </c>
      <c r="AL6" s="3187">
        <v>1.5E-3</v>
      </c>
      <c r="AM6" s="3186">
        <v>0.01</v>
      </c>
      <c r="AN6" s="1586" t="s">
        <v>3518</v>
      </c>
      <c r="AO6" s="50">
        <f ca="1">SUMIF(INDIRECT("'"&amp;AN6&amp;"'"&amp;"!A:A"),"总价",INDIRECT("'"&amp;AN6&amp;"'"&amp;"!B:B"))</f>
        <v>3512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8"/>
      <c r="Y8" s="68"/>
      <c r="Z8" s="69"/>
      <c r="AA8" s="63"/>
      <c r="AB8" s="63"/>
      <c r="AC8" s="978"/>
      <c r="AD8" s="70"/>
      <c r="AE8" s="979">
        <f t="shared" ca="1" si="6"/>
        <v>0</v>
      </c>
      <c r="AF8" s="74"/>
      <c r="AG8" s="130">
        <f t="shared" si="7"/>
        <v>0</v>
      </c>
      <c r="AH8" s="694"/>
      <c r="AI8" s="73"/>
      <c r="AJ8" s="74"/>
      <c r="AK8" s="695"/>
      <c r="AL8" s="696"/>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8"/>
      <c r="Y9" s="68"/>
      <c r="Z9" s="69"/>
      <c r="AA9" s="63"/>
      <c r="AB9" s="63"/>
      <c r="AC9" s="978"/>
      <c r="AD9" s="70"/>
      <c r="AE9" s="979">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8"/>
      <c r="Y10" s="68"/>
      <c r="Z10" s="69"/>
      <c r="AA10" s="63"/>
      <c r="AB10" s="63"/>
      <c r="AC10" s="978"/>
      <c r="AD10" s="70"/>
      <c r="AE10" s="979">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8"/>
      <c r="Y11" s="68"/>
      <c r="Z11" s="81"/>
      <c r="AA11" s="63"/>
      <c r="AB11" s="63"/>
      <c r="AC11" s="978"/>
      <c r="AD11" s="70"/>
      <c r="AE11" s="979">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8"/>
      <c r="Y12" s="68"/>
      <c r="Z12" s="81"/>
      <c r="AA12" s="63"/>
      <c r="AB12" s="63"/>
      <c r="AC12" s="978"/>
      <c r="AD12" s="70"/>
      <c r="AE12" s="979">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8"/>
      <c r="Y13" s="68"/>
      <c r="Z13" s="69"/>
      <c r="AA13" s="63"/>
      <c r="AB13" s="63"/>
      <c r="AC13" s="978"/>
      <c r="AD13" s="70"/>
      <c r="AE13" s="979">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1204</v>
      </c>
      <c r="B14" s="1584" t="s">
        <v>1205</v>
      </c>
      <c r="C14" s="1589"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89"/>
      <c r="U14" s="637"/>
      <c r="V14" s="974"/>
      <c r="W14" s="974"/>
      <c r="X14" s="975"/>
      <c r="Y14" s="976"/>
      <c r="Z14" s="54"/>
      <c r="AA14" s="977"/>
      <c r="AB14" s="977"/>
      <c r="AC14" s="978"/>
      <c r="AD14" s="975"/>
      <c r="AE14" s="979"/>
      <c r="AF14" s="50"/>
      <c r="AG14" s="130"/>
      <c r="AH14" s="979"/>
      <c r="AI14" s="1263"/>
      <c r="AJ14" s="50"/>
      <c r="AK14" s="980"/>
      <c r="AL14" s="981"/>
      <c r="AM14" s="982"/>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1206</v>
      </c>
      <c r="B15" s="1584" t="s">
        <v>1205</v>
      </c>
      <c r="C15" s="1589" t="s">
        <v>1207</v>
      </c>
      <c r="D15" s="804"/>
      <c r="E15" s="803"/>
      <c r="F15" s="61"/>
      <c r="G15" s="62"/>
      <c r="H15" s="968"/>
      <c r="I15" s="968"/>
      <c r="J15" s="968"/>
      <c r="K15" s="969">
        <f>SUMIF('数据-汇总表'!C$19:C$33,A15,'数据-汇总表'!E$19:E$33)</f>
        <v>0</v>
      </c>
      <c r="L15" s="970"/>
      <c r="M15" s="64"/>
      <c r="N15" s="971"/>
      <c r="O15" s="64"/>
      <c r="P15" s="65"/>
      <c r="Q15" s="972"/>
      <c r="R15" s="66"/>
      <c r="S15" s="49"/>
      <c r="T15" s="1089"/>
      <c r="U15" s="637"/>
      <c r="V15" s="974"/>
      <c r="W15" s="974"/>
      <c r="X15" s="975"/>
      <c r="Y15" s="976"/>
      <c r="Z15" s="54"/>
      <c r="AA15" s="977"/>
      <c r="AB15" s="977"/>
      <c r="AC15" s="978"/>
      <c r="AD15" s="975"/>
      <c r="AE15" s="979"/>
      <c r="AF15" s="50"/>
      <c r="AG15" s="130"/>
      <c r="AH15" s="979"/>
      <c r="AI15" s="1263"/>
      <c r="AJ15" s="50"/>
      <c r="AK15" s="980"/>
      <c r="AL15" s="981"/>
      <c r="AM15" s="982"/>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1208</v>
      </c>
      <c r="B16" s="82"/>
      <c r="C16" s="782"/>
      <c r="D16" s="1591"/>
      <c r="E16" s="82"/>
      <c r="F16" s="82"/>
      <c r="G16" s="83">
        <f>ROUND(SUMPRODUCT(G6:G13,K6:K13)/SUMPRODUCT((G6:G13&gt;0)*(K6:K13)),3)</f>
        <v>0.93400000000000005</v>
      </c>
      <c r="H16" s="84">
        <f>ROUND(SUMPRODUCT(H6:H13,K6:K13)/SUMPRODUCT((H6:H13&gt;0)*(K6:K13)),3)</f>
        <v>0.05</v>
      </c>
      <c r="I16" s="85"/>
      <c r="J16" s="85"/>
      <c r="K16" s="86">
        <f>SUM(K6:K15)</f>
        <v>6436.4900000000007</v>
      </c>
      <c r="L16" s="87">
        <f>ROUND(M16*10000/SUM(K6:K14),0)</f>
        <v>2668</v>
      </c>
      <c r="M16" s="87">
        <f>SUM(M6:M14)</f>
        <v>1717</v>
      </c>
      <c r="N16" s="88">
        <f>ROUND(SUMPRODUCT(M6:M14,N6:N14)/M16,3)</f>
        <v>0.87</v>
      </c>
      <c r="O16" s="87">
        <f>SUM(O6:O14)</f>
        <v>0</v>
      </c>
      <c r="P16" s="87">
        <f>SUM(P6:P14)</f>
        <v>0</v>
      </c>
      <c r="Q16" s="89">
        <f>ROUND(SUMPRODUCT(Q6:Q13,K6:K13)/SUMPRODUCT((Q6:Q13&gt;0)*(K6:K13)),2)</f>
        <v>0.05</v>
      </c>
      <c r="R16" s="973">
        <f ca="1">SUM(R6:R13)</f>
        <v>9558.83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2"/>
      <c r="D18" s="2444"/>
      <c r="E18" s="2432"/>
      <c r="F18" s="2432"/>
      <c r="G18" s="2432"/>
      <c r="H18" s="2432"/>
      <c r="I18" s="2432"/>
      <c r="J18" s="2432"/>
      <c r="K18" s="2442"/>
      <c r="L18" s="2442"/>
      <c r="M18" s="2441"/>
      <c r="N18" s="2442"/>
      <c r="O18" s="3161" t="s">
        <v>3507</v>
      </c>
      <c r="P18" s="2441">
        <v>2016</v>
      </c>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3" t="s">
        <v>1210</v>
      </c>
      <c r="B19" s="97">
        <v>0</v>
      </c>
      <c r="C19" s="2553" t="s">
        <v>2302</v>
      </c>
      <c r="D19" s="2444"/>
      <c r="E19" s="2432"/>
      <c r="F19" s="2432"/>
      <c r="G19" s="2432"/>
      <c r="H19" s="2432"/>
      <c r="I19" s="2432"/>
      <c r="J19" s="2432"/>
      <c r="K19" s="2442"/>
      <c r="L19" s="2442"/>
      <c r="M19" s="2441"/>
      <c r="N19" s="2442" t="s">
        <v>3508</v>
      </c>
      <c r="O19" s="3161" t="s">
        <v>3509</v>
      </c>
      <c r="P19" s="2441">
        <f>ROUND(1-(1-0)*(2024-P18)/50,2)</f>
        <v>0.84</v>
      </c>
      <c r="Q19" s="2441">
        <f>'数据-基础表'!I13</f>
        <v>1239.7</v>
      </c>
      <c r="R19" s="2441">
        <f>Q19*P19</f>
        <v>1041.348</v>
      </c>
      <c r="S19" s="2441"/>
      <c r="T19" s="3161" t="s">
        <v>3515</v>
      </c>
      <c r="U19" s="2441">
        <v>1</v>
      </c>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4" t="s">
        <v>1211</v>
      </c>
      <c r="B20" s="98">
        <v>1</v>
      </c>
      <c r="C20" s="2554" t="s">
        <v>2300</v>
      </c>
      <c r="D20" s="2444"/>
      <c r="E20" s="2432"/>
      <c r="F20" s="2432"/>
      <c r="G20" s="2432"/>
      <c r="H20" s="2432"/>
      <c r="I20" s="2432"/>
      <c r="J20" s="2432"/>
      <c r="K20" s="2442"/>
      <c r="L20" s="2442"/>
      <c r="M20" s="2441"/>
      <c r="N20" s="2442" t="s">
        <v>3510</v>
      </c>
      <c r="O20" s="3161" t="s">
        <v>3509</v>
      </c>
      <c r="P20" s="2441">
        <f>ROUND(1-(1-0)*(2024-P18)/50,2)</f>
        <v>0.84</v>
      </c>
      <c r="Q20" s="2441">
        <f>'数据-基础表'!I14</f>
        <v>1647.4</v>
      </c>
      <c r="R20" s="2441">
        <f t="shared" ref="R20:R22" si="12">Q20*P20</f>
        <v>1383.816</v>
      </c>
      <c r="S20" s="2441"/>
      <c r="T20" s="3161" t="s">
        <v>3516</v>
      </c>
      <c r="U20" s="2441">
        <v>0.1</v>
      </c>
      <c r="V20" s="2441"/>
      <c r="W20" s="3166">
        <f>48*60</f>
        <v>2880</v>
      </c>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5" t="s">
        <v>1212</v>
      </c>
      <c r="B21" s="98">
        <f>B20</f>
        <v>1</v>
      </c>
      <c r="C21" s="2432"/>
      <c r="D21" s="2444"/>
      <c r="E21" s="2432"/>
      <c r="F21" s="2432"/>
      <c r="G21" s="2432"/>
      <c r="H21" s="2432"/>
      <c r="I21" s="2432"/>
      <c r="J21" s="2432"/>
      <c r="K21" s="2442"/>
      <c r="L21" s="2442"/>
      <c r="M21" s="2441"/>
      <c r="N21" s="2442" t="s">
        <v>3511</v>
      </c>
      <c r="O21" s="3161" t="s">
        <v>3509</v>
      </c>
      <c r="P21" s="2441">
        <f>ROUND(1-(1-2%)*(2024-P18)/70,2)</f>
        <v>0.89</v>
      </c>
      <c r="Q21" s="2441">
        <f>'数据-基础表'!I15</f>
        <v>3418.12</v>
      </c>
      <c r="R21" s="2441">
        <f t="shared" si="12"/>
        <v>3042.1268</v>
      </c>
      <c r="S21" s="2441"/>
      <c r="T21" s="3161" t="s">
        <v>3517</v>
      </c>
      <c r="U21" s="2441">
        <f>U20*[2]信息台账!F31/'[2]数据-汇总表'!E3+'[2]数据-取费表'!U19</f>
        <v>1.095697318466017</v>
      </c>
      <c r="V21" s="2441"/>
      <c r="W21" s="2441">
        <f>U20*W20/'[2]数据-汇总表'!E3+U19</f>
        <v>1.0447448842459166</v>
      </c>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4" t="s">
        <v>1213</v>
      </c>
      <c r="B22" s="99">
        <f>B19+B20</f>
        <v>1</v>
      </c>
      <c r="C22" s="2432"/>
      <c r="D22" s="2444"/>
      <c r="E22" s="2432"/>
      <c r="F22" s="2432"/>
      <c r="G22" s="2432"/>
      <c r="H22" s="2432"/>
      <c r="I22" s="2432"/>
      <c r="J22" s="2432"/>
      <c r="K22" s="2442"/>
      <c r="L22" s="2442"/>
      <c r="M22" s="2441"/>
      <c r="N22" s="3162" t="s">
        <v>3512</v>
      </c>
      <c r="O22" s="3163" t="s">
        <v>3509</v>
      </c>
      <c r="P22" s="122">
        <f>ROUND(1-(1-0)*(2024-P18)/60,2)</f>
        <v>0.87</v>
      </c>
      <c r="Q22" s="2441">
        <f>'数据-基础表'!I16</f>
        <v>131.27000000000001</v>
      </c>
      <c r="R22" s="2441">
        <f t="shared" si="12"/>
        <v>114.20490000000001</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5" t="s">
        <v>1214</v>
      </c>
      <c r="B23" s="99">
        <f>B19+B21</f>
        <v>1</v>
      </c>
      <c r="C23" s="2432"/>
      <c r="D23" s="2444"/>
      <c r="E23" s="2432"/>
      <c r="F23" s="2432"/>
      <c r="G23" s="2432"/>
      <c r="H23" s="2432"/>
      <c r="I23" s="2432"/>
      <c r="J23" s="2432"/>
      <c r="K23" s="2442"/>
      <c r="L23" s="2442"/>
      <c r="M23" s="2441"/>
      <c r="N23" s="2442"/>
      <c r="O23" s="3161" t="s">
        <v>3513</v>
      </c>
      <c r="P23" s="2441">
        <f>ROUND((P19+P20+P21+P22)/4,2)</f>
        <v>0.86</v>
      </c>
      <c r="Q23" s="2441">
        <f>SUM(Q19:Q22)</f>
        <v>6436.4900000000007</v>
      </c>
      <c r="R23" s="122">
        <f>SUM(R19:R22)</f>
        <v>5581.4956999999995</v>
      </c>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1215</v>
      </c>
      <c r="B24" s="100">
        <f>B20-B21</f>
        <v>0</v>
      </c>
      <c r="C24" s="2432"/>
      <c r="D24" s="2444"/>
      <c r="E24" s="2432"/>
      <c r="F24" s="2432"/>
      <c r="G24" s="2432"/>
      <c r="H24" s="2432"/>
      <c r="I24" s="2432"/>
      <c r="J24" s="2432"/>
      <c r="K24" s="2442"/>
      <c r="L24" s="2442"/>
      <c r="M24" s="2441"/>
      <c r="N24" s="2442"/>
      <c r="O24" s="2441"/>
      <c r="P24" s="2441"/>
      <c r="Q24" s="2441"/>
      <c r="R24" s="3164">
        <f>ROUND(R23/Q23,2)</f>
        <v>0.87</v>
      </c>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1216</v>
      </c>
      <c r="B26" s="1597" t="s">
        <v>1217</v>
      </c>
      <c r="C26" s="2445" t="s">
        <v>1218</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8" t="s">
        <v>1219</v>
      </c>
      <c r="B27" s="101"/>
      <c r="C27" s="2555" t="s">
        <v>2304</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9" t="s">
        <v>1220</v>
      </c>
      <c r="B28" s="103">
        <v>80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0" t="s">
        <v>1221</v>
      </c>
      <c r="B29" s="105">
        <f ca="1">成本法!C10</f>
        <v>51</v>
      </c>
      <c r="C29" s="2556" t="s">
        <v>2293</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1" t="s">
        <v>1222</v>
      </c>
      <c r="B30" s="638">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9" t="s">
        <v>1223</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2" t="s">
        <v>1224</v>
      </c>
      <c r="B32" s="639"/>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8" t="s">
        <v>1225</v>
      </c>
      <c r="B33" s="3160">
        <v>0.03</v>
      </c>
      <c r="C33" s="2557" t="s">
        <v>3382</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9" t="s">
        <v>1226</v>
      </c>
      <c r="B34" s="106">
        <v>0</v>
      </c>
      <c r="C34" s="2557" t="s">
        <v>2294</v>
      </c>
      <c r="D34" s="2452" t="s">
        <v>2301</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9" t="s">
        <v>1227</v>
      </c>
      <c r="B35" s="103">
        <v>200</v>
      </c>
      <c r="C35" s="2557" t="s">
        <v>2295</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1228</v>
      </c>
      <c r="B36" s="107">
        <v>0.02</v>
      </c>
      <c r="C36" s="2557" t="s">
        <v>3383</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1" t="s">
        <v>1229</v>
      </c>
      <c r="B37" s="108">
        <v>0.02</v>
      </c>
      <c r="C37" s="2557" t="s">
        <v>2296</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9" t="s">
        <v>1230</v>
      </c>
      <c r="B38" s="106">
        <v>0.02</v>
      </c>
      <c r="C38" s="2557" t="s">
        <v>2296</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2" t="s">
        <v>1231</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2311</v>
      </c>
      <c r="B40" s="1013">
        <f ca="1">IF(A40="利息：取LPR",存贷款利率!G1,存贷款利率!G1+C40)</f>
        <v>3.3500000000000002E-2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8" t="s">
        <v>1232</v>
      </c>
      <c r="B41" s="109">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3" t="s">
        <v>1233</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3" t="s">
        <v>1234</v>
      </c>
      <c r="B43" s="111">
        <f>B42*(B44+B45+B46)+B47</f>
        <v>5.000000000000001E-3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4" t="s">
        <v>1235</v>
      </c>
      <c r="B44" s="112">
        <v>0.05</v>
      </c>
      <c r="C44" s="2557" t="s">
        <v>2305</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4" t="s">
        <v>1236</v>
      </c>
      <c r="B45" s="110">
        <v>0.03</v>
      </c>
      <c r="C45" s="2556" t="s">
        <v>2297</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4" t="s">
        <v>1237</v>
      </c>
      <c r="B46" s="110">
        <v>0.02</v>
      </c>
      <c r="C46" s="2556" t="s">
        <v>2298</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1238</v>
      </c>
      <c r="B47" s="113"/>
      <c r="C47" s="2559" t="s">
        <v>2306</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6" t="s">
        <v>1239</v>
      </c>
      <c r="B48" s="114">
        <v>0.03</v>
      </c>
      <c r="C48" s="2556" t="s">
        <v>2297</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1240</v>
      </c>
      <c r="B49" s="110">
        <v>5.0000000000000001E-4</v>
      </c>
      <c r="C49" s="2556" t="s">
        <v>2299</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7" t="s">
        <v>1241</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1242</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7" t="s">
        <v>1243</v>
      </c>
      <c r="B52" s="117">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9" t="s">
        <v>1244</v>
      </c>
      <c r="B53" s="1608" t="s">
        <v>29</v>
      </c>
      <c r="C53" s="2433" t="s">
        <v>1245</v>
      </c>
      <c r="D53" s="2558" t="s">
        <v>2303</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9" t="s">
        <v>1246</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9" t="s">
        <v>1247</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9" t="s">
        <v>1248</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9" t="s">
        <v>1249</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9" t="s">
        <v>1250</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9" t="s">
        <v>1251</v>
      </c>
      <c r="B59" s="72">
        <f>C59</f>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9" t="s">
        <v>1252</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9" t="s">
        <v>1253</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9" t="s">
        <v>1254</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0" t="s">
        <v>1255</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12"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19"/>
  </cols>
  <sheetData>
    <row r="1" spans="1:29" s="2254" customFormat="1" ht="18.75" thickBot="1">
      <c r="A1" s="3276" t="s">
        <v>2285</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2280</v>
      </c>
      <c r="D2" s="1592"/>
      <c r="E2" s="2255"/>
      <c r="F2" s="2258"/>
      <c r="G2" s="2257" t="s">
        <v>2281</v>
      </c>
      <c r="H2" s="750"/>
      <c r="I2" s="750"/>
      <c r="J2" s="750"/>
      <c r="K2" s="750"/>
      <c r="L2" s="750"/>
      <c r="M2" s="750"/>
      <c r="N2" s="750"/>
      <c r="O2" s="750"/>
      <c r="P2" s="750"/>
      <c r="Q2" s="750"/>
    </row>
    <row r="3" spans="1:29" ht="48">
      <c r="A3" s="2242" t="s">
        <v>2282</v>
      </c>
      <c r="B3" s="2259" t="s">
        <v>2251</v>
      </c>
      <c r="C3" s="2260" t="s">
        <v>2283</v>
      </c>
      <c r="D3" s="2261"/>
      <c r="E3" s="2243" t="s">
        <v>2282</v>
      </c>
      <c r="F3" s="2262" t="s">
        <v>2252</v>
      </c>
      <c r="G3" s="2263" t="s">
        <v>2284</v>
      </c>
      <c r="H3" s="750"/>
      <c r="I3" s="750"/>
      <c r="J3" s="750"/>
      <c r="K3" s="750"/>
      <c r="L3" s="750"/>
      <c r="M3" s="750"/>
      <c r="N3" s="750"/>
      <c r="O3" s="750"/>
      <c r="P3" s="750"/>
      <c r="Q3" s="750"/>
    </row>
    <row r="4" spans="1:29" ht="36.75">
      <c r="A4" s="2243"/>
      <c r="B4" s="315" t="s">
        <v>2253</v>
      </c>
      <c r="C4" s="2264" t="s">
        <v>2254</v>
      </c>
      <c r="D4" s="2261"/>
      <c r="E4" s="2265"/>
      <c r="F4" s="1278" t="s">
        <v>2255</v>
      </c>
      <c r="G4" s="2266" t="s">
        <v>2256</v>
      </c>
      <c r="H4" s="750"/>
      <c r="I4" s="750"/>
      <c r="J4" s="750"/>
      <c r="K4" s="750"/>
      <c r="L4" s="750"/>
      <c r="M4" s="750"/>
      <c r="N4" s="750"/>
      <c r="O4" s="750"/>
      <c r="P4" s="750"/>
      <c r="Q4" s="750"/>
    </row>
    <row r="5" spans="1:29" ht="36.75">
      <c r="A5" s="2243"/>
      <c r="B5" s="315" t="s">
        <v>2257</v>
      </c>
      <c r="C5" s="2264" t="s">
        <v>2258</v>
      </c>
      <c r="D5" s="2261"/>
      <c r="E5" s="2265"/>
      <c r="F5" s="315" t="s">
        <v>2259</v>
      </c>
      <c r="G5" s="2266" t="s">
        <v>2260</v>
      </c>
      <c r="H5" s="750"/>
      <c r="I5" s="750"/>
      <c r="J5" s="750"/>
      <c r="K5" s="750"/>
      <c r="L5" s="750"/>
      <c r="M5" s="750"/>
      <c r="N5" s="750"/>
      <c r="O5" s="750"/>
      <c r="P5" s="750"/>
      <c r="Q5" s="750"/>
    </row>
    <row r="6" spans="1:29" ht="36">
      <c r="A6" s="2243"/>
      <c r="B6" s="315" t="s">
        <v>2261</v>
      </c>
      <c r="C6" s="2266" t="s">
        <v>2256</v>
      </c>
      <c r="D6" s="2261"/>
      <c r="E6" s="2265"/>
      <c r="F6" s="315" t="s">
        <v>2262</v>
      </c>
      <c r="G6" s="2266" t="s">
        <v>2263</v>
      </c>
      <c r="H6" s="750"/>
      <c r="I6" s="750"/>
      <c r="J6" s="750"/>
      <c r="K6" s="750"/>
      <c r="L6" s="750"/>
      <c r="M6" s="750"/>
      <c r="N6" s="750"/>
      <c r="O6" s="750"/>
      <c r="P6" s="750"/>
      <c r="Q6" s="750"/>
    </row>
    <row r="7" spans="1:29" ht="24.75" thickBot="1">
      <c r="A7" s="2243"/>
      <c r="B7" s="315" t="s">
        <v>2259</v>
      </c>
      <c r="C7" s="2266" t="s">
        <v>2260</v>
      </c>
      <c r="D7" s="2240"/>
      <c r="E7" s="2267"/>
      <c r="F7" s="2268" t="s">
        <v>2264</v>
      </c>
      <c r="G7" s="2269" t="s">
        <v>2265</v>
      </c>
      <c r="H7" s="750"/>
      <c r="I7" s="750"/>
      <c r="J7" s="750"/>
      <c r="K7" s="750"/>
      <c r="L7" s="750"/>
      <c r="M7" s="750"/>
      <c r="N7" s="750"/>
      <c r="O7" s="750"/>
      <c r="P7" s="750"/>
      <c r="Q7" s="750"/>
    </row>
    <row r="8" spans="1:29">
      <c r="A8" s="2243"/>
      <c r="B8" s="315" t="s">
        <v>2262</v>
      </c>
      <c r="C8" s="2266" t="s">
        <v>2263</v>
      </c>
      <c r="D8" s="2240"/>
      <c r="E8" s="2240"/>
      <c r="F8" s="121"/>
      <c r="G8" s="121"/>
      <c r="H8" s="750"/>
      <c r="I8" s="750"/>
      <c r="J8" s="750"/>
      <c r="K8" s="750"/>
      <c r="L8" s="750"/>
      <c r="M8" s="750"/>
      <c r="N8" s="750"/>
      <c r="O8" s="750"/>
      <c r="P8" s="750"/>
      <c r="Q8" s="750"/>
    </row>
    <row r="9" spans="1:29" ht="24">
      <c r="A9" s="2243"/>
      <c r="B9" s="315" t="s">
        <v>2266</v>
      </c>
      <c r="C9" s="2264" t="s">
        <v>2267</v>
      </c>
      <c r="D9" s="2261"/>
      <c r="E9" s="2240"/>
      <c r="F9" s="121"/>
      <c r="G9" s="121"/>
      <c r="H9" s="750"/>
      <c r="I9" s="750"/>
      <c r="J9" s="750"/>
      <c r="K9" s="750"/>
      <c r="L9" s="750"/>
      <c r="M9" s="750"/>
      <c r="N9" s="750"/>
      <c r="O9" s="750"/>
      <c r="P9" s="750"/>
      <c r="Q9" s="750"/>
    </row>
    <row r="10" spans="1:29" ht="15" thickBot="1">
      <c r="A10" s="2244"/>
      <c r="B10" s="2270" t="s">
        <v>2268</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2286</v>
      </c>
      <c r="B13" s="2275"/>
      <c r="C13" s="2275"/>
      <c r="D13" s="2274"/>
      <c r="E13" s="2275"/>
      <c r="F13" s="2275"/>
      <c r="G13" s="2275"/>
    </row>
    <row r="14" spans="1:29" ht="15" thickBot="1">
      <c r="A14" s="2280"/>
      <c r="B14" s="2280"/>
      <c r="C14" s="2281" t="s">
        <v>2269</v>
      </c>
      <c r="D14" s="2261"/>
      <c r="E14" s="2282"/>
      <c r="F14" s="2282"/>
      <c r="G14" s="2257" t="s">
        <v>2270</v>
      </c>
    </row>
    <row r="15" spans="1:29" ht="51">
      <c r="A15" s="2245" t="s">
        <v>2271</v>
      </c>
      <c r="B15" s="2283" t="s">
        <v>2251</v>
      </c>
      <c r="C15" s="2284" t="str">
        <f>C3</f>
        <v>估价对象周边居住用地比例、居住小区规模和社区发展完善程度，综合评价居住社区成熟度一般</v>
      </c>
      <c r="D15" s="2261"/>
      <c r="E15" s="2246" t="s">
        <v>2272</v>
      </c>
      <c r="F15" s="2283" t="s">
        <v>2273</v>
      </c>
      <c r="G15" s="2285" t="str">
        <f>G3</f>
        <v>估价对象位于XX开发区，园区建设成熟度XX，产业集聚程度XX</v>
      </c>
    </row>
    <row r="16" spans="1:29" ht="38.25">
      <c r="A16" s="2247"/>
      <c r="B16" s="2286" t="s">
        <v>2253</v>
      </c>
      <c r="C16" s="2287" t="str">
        <f>C4</f>
        <v>估价对象位于XX商圈，周边商业氛围成熟，人流量大，商业繁华度好</v>
      </c>
      <c r="D16" s="2261"/>
      <c r="E16" s="2248"/>
      <c r="F16" s="2288" t="s">
        <v>2255</v>
      </c>
      <c r="G16" s="2289" t="str">
        <f>G4</f>
        <v>估价对象周边道路状况、公共交通通达情况、停车便捷程度，综合评价交通便捷度较好</v>
      </c>
    </row>
    <row r="17" spans="1:17" ht="38.25">
      <c r="A17" s="2247"/>
      <c r="B17" s="2286" t="s">
        <v>2257</v>
      </c>
      <c r="C17" s="2287" t="str">
        <f>C5</f>
        <v>估价对象位于XX商圈，周边办公楼项目较多，入驻率高，办公集聚程度较好</v>
      </c>
      <c r="D17" s="2240"/>
      <c r="E17" s="2248"/>
      <c r="F17" s="2288" t="s">
        <v>2274</v>
      </c>
      <c r="G17" s="2290"/>
    </row>
    <row r="18" spans="1:17" ht="38.25">
      <c r="A18" s="2247"/>
      <c r="B18" s="2288" t="s">
        <v>2261</v>
      </c>
      <c r="C18" s="2289" t="str">
        <f>C6</f>
        <v>估价对象周边道路状况、公共交通通达情况、停车便捷程度，综合评价交通便捷度较好</v>
      </c>
      <c r="D18" s="2240"/>
      <c r="E18" s="2248"/>
      <c r="F18" s="2288" t="s">
        <v>2264</v>
      </c>
      <c r="G18" s="2289" t="str">
        <f>G7</f>
        <v>该园区内是否有污染型企业，绿化情况，卫生条件，整体环境状况判断</v>
      </c>
    </row>
    <row r="19" spans="1:17" ht="25.5">
      <c r="A19" s="2247"/>
      <c r="B19" s="2288" t="s">
        <v>2275</v>
      </c>
      <c r="C19" s="2290"/>
      <c r="D19" s="2261"/>
      <c r="E19" s="2248"/>
      <c r="F19" s="315" t="s">
        <v>2259</v>
      </c>
      <c r="G19" s="2289" t="str">
        <f>G5</f>
        <v>估价对象所在区域公共配套设施齐备情况</v>
      </c>
    </row>
    <row r="20" spans="1:17" ht="25.5">
      <c r="A20" s="2247"/>
      <c r="B20" s="2288" t="s">
        <v>2276</v>
      </c>
      <c r="C20" s="2287" t="str">
        <f>C9</f>
        <v>区域自然环境：；人文环境；综合评价环境状况一般</v>
      </c>
      <c r="D20" s="2240"/>
      <c r="E20" s="2248"/>
      <c r="F20" s="315" t="s">
        <v>2262</v>
      </c>
      <c r="G20" s="2289" t="str">
        <f>G6</f>
        <v>估价对象所在区域基础设施水平</v>
      </c>
    </row>
    <row r="21" spans="1:17" ht="25.5">
      <c r="A21" s="2247"/>
      <c r="B21" s="315" t="s">
        <v>2259</v>
      </c>
      <c r="C21" s="2289" t="str">
        <f>C7</f>
        <v>估价对象所在区域公共配套设施齐备情况</v>
      </c>
      <c r="D21" s="2261"/>
      <c r="E21" s="2248"/>
      <c r="F21" s="2288" t="s">
        <v>2277</v>
      </c>
      <c r="G21" s="2291"/>
    </row>
    <row r="22" spans="1:17" ht="13.5" customHeight="1">
      <c r="A22" s="2247"/>
      <c r="B22" s="315" t="s">
        <v>2262</v>
      </c>
      <c r="C22" s="2289" t="str">
        <f>C8</f>
        <v>估价对象所在区域基础设施水平</v>
      </c>
      <c r="D22" s="2261"/>
      <c r="E22" s="2248"/>
      <c r="F22" s="2288" t="s">
        <v>2268</v>
      </c>
      <c r="G22" s="2290"/>
    </row>
    <row r="23" spans="1:17" s="750" customFormat="1" ht="15" thickBot="1">
      <c r="A23" s="2247"/>
      <c r="B23" s="2288" t="s">
        <v>2277</v>
      </c>
      <c r="C23" s="2291"/>
      <c r="D23" s="1611"/>
      <c r="E23" s="2249"/>
      <c r="F23" s="2292" t="s">
        <v>2278</v>
      </c>
      <c r="G23" s="3181" t="s">
        <v>3637</v>
      </c>
      <c r="H23" s="2272"/>
      <c r="I23" s="2272"/>
      <c r="J23" s="2272"/>
      <c r="K23" s="2272"/>
      <c r="L23" s="2272"/>
      <c r="M23" s="2272"/>
      <c r="N23" s="2272"/>
      <c r="O23" s="2272"/>
      <c r="P23" s="2272"/>
      <c r="Q23" s="2272"/>
    </row>
    <row r="24" spans="1:17" s="750" customFormat="1" ht="15" thickBot="1">
      <c r="A24" s="2250"/>
      <c r="B24" s="2292" t="s">
        <v>2279</v>
      </c>
      <c r="C24" s="2293">
        <f>C10</f>
        <v>0</v>
      </c>
      <c r="D24" s="1611"/>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3" sqref="F43"/>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6436.4900000000007</v>
      </c>
      <c r="C1" s="2454"/>
      <c r="D1" s="2454"/>
      <c r="E1" s="2454"/>
      <c r="F1" s="2454"/>
      <c r="G1" s="2455"/>
      <c r="H1" s="2455"/>
      <c r="I1" s="2455"/>
      <c r="J1" s="2455"/>
      <c r="K1" s="2455"/>
    </row>
    <row r="2" spans="1:11" ht="16.5">
      <c r="A2" s="2294" t="s">
        <v>653</v>
      </c>
      <c r="B2" s="2294">
        <f>SUM(C14:C23)</f>
        <v>9558.83</v>
      </c>
      <c r="C2" s="2454"/>
      <c r="D2" s="2454"/>
      <c r="E2" s="2454"/>
      <c r="F2" s="2454"/>
      <c r="G2" s="2455"/>
      <c r="H2" s="2455"/>
      <c r="I2" s="2455"/>
      <c r="J2" s="2455"/>
      <c r="K2" s="2455"/>
    </row>
    <row r="3" spans="1:11" ht="16.5">
      <c r="A3" s="2294" t="s">
        <v>662</v>
      </c>
      <c r="B3" s="2296">
        <f>项目基本情况!D3</f>
        <v>45547</v>
      </c>
      <c r="C3" s="2454"/>
      <c r="D3" s="2454"/>
      <c r="E3" s="2454"/>
      <c r="F3" s="2454"/>
      <c r="G3" s="2455"/>
      <c r="H3" s="2455"/>
      <c r="I3" s="2455"/>
      <c r="J3" s="2455"/>
      <c r="K3" s="2455"/>
    </row>
    <row r="4" spans="1:11" ht="33">
      <c r="A4" s="2294" t="s">
        <v>661</v>
      </c>
      <c r="B4" s="2294" t="s">
        <v>660</v>
      </c>
      <c r="C4" s="2294" t="s">
        <v>659</v>
      </c>
      <c r="D4" s="2294" t="s">
        <v>658</v>
      </c>
      <c r="E4" s="2454"/>
      <c r="F4" s="2455"/>
      <c r="G4" s="2455"/>
      <c r="H4" s="2455"/>
      <c r="I4" s="2455"/>
      <c r="J4" s="2455"/>
      <c r="K4" s="2455"/>
    </row>
    <row r="5" spans="1:11" ht="16.5">
      <c r="A5" s="2294" t="s">
        <v>657</v>
      </c>
      <c r="B5" s="2294">
        <f ca="1">SUM(D14:D23)</f>
        <v>3730</v>
      </c>
      <c r="C5" s="2294">
        <f ca="1">IF(B5=D14,结果表!H102,ROUND(B5*10000/$B$1,0))</f>
        <v>5795</v>
      </c>
      <c r="D5" s="2294">
        <f ca="1">ROUND(B5*10000/$B$2,0)</f>
        <v>3902</v>
      </c>
      <c r="E5" s="2454"/>
      <c r="F5" s="2455"/>
      <c r="G5" s="2455"/>
      <c r="H5" s="2455"/>
      <c r="I5" s="2455"/>
      <c r="J5" s="2455"/>
      <c r="K5" s="2455"/>
    </row>
    <row r="6" spans="1:11" ht="16.5">
      <c r="A6" s="2294" t="s">
        <v>656</v>
      </c>
      <c r="B6" s="2294">
        <f ca="1">SUM(G14:G23)</f>
        <v>3730</v>
      </c>
      <c r="C6" s="2294">
        <f ca="1">IF(B6=G14,结果表!H108,ROUND(B6*10000/$B$1,0))</f>
        <v>5795</v>
      </c>
      <c r="D6" s="2294">
        <f ca="1">ROUND(B6*10000/$B$2,0)</f>
        <v>3902</v>
      </c>
      <c r="E6" s="2454"/>
      <c r="F6" s="2455"/>
      <c r="G6" s="2455"/>
      <c r="H6" s="2455"/>
      <c r="I6" s="2455"/>
      <c r="J6" s="2455"/>
      <c r="K6" s="2455"/>
    </row>
    <row r="7" spans="1:11" ht="16.5">
      <c r="A7" s="2294" t="s">
        <v>664</v>
      </c>
      <c r="B7" s="2294">
        <f>SUM(H14:H23)</f>
        <v>0</v>
      </c>
      <c r="C7" s="2294" t="str">
        <f>IF(B7=H14,结果表!H110,ROUND(B7*10000/$B$1,0))</f>
        <v>——</v>
      </c>
      <c r="D7" s="2294">
        <f>ROUND(B7*10000/$B$2,0)</f>
        <v>0</v>
      </c>
      <c r="E7" s="2454"/>
      <c r="F7" s="2455"/>
      <c r="G7" s="2455"/>
      <c r="H7" s="2455"/>
      <c r="I7" s="2455"/>
      <c r="J7" s="2455"/>
      <c r="K7" s="2455"/>
    </row>
    <row r="8" spans="1:11" ht="16.5">
      <c r="A8" s="2294" t="s">
        <v>587</v>
      </c>
      <c r="B8" s="2294">
        <f ca="1">SUM(I14:I23)</f>
        <v>3311</v>
      </c>
      <c r="C8" s="2294">
        <f ca="1">IF(B8=I14,结果表!H112,ROUND(B8*10000/$B$1,0))</f>
        <v>5144</v>
      </c>
      <c r="D8" s="2294">
        <f ca="1">ROUND(B8*10000/$B$2,0)</f>
        <v>3464</v>
      </c>
      <c r="E8" s="2454"/>
      <c r="F8" s="2455"/>
      <c r="G8" s="2455"/>
      <c r="H8" s="2455"/>
      <c r="I8" s="2455"/>
      <c r="J8" s="2455"/>
      <c r="K8" s="2455"/>
    </row>
    <row r="9" spans="1:11" ht="16.5">
      <c r="A9" s="2294" t="s">
        <v>655</v>
      </c>
      <c r="B9" s="1241"/>
      <c r="C9" s="2454"/>
      <c r="D9" s="2454"/>
      <c r="E9" s="2454"/>
      <c r="F9" s="2455"/>
      <c r="G9" s="2455"/>
      <c r="H9" s="2455"/>
      <c r="I9" s="2455"/>
      <c r="J9" s="2455"/>
      <c r="K9" s="2455"/>
    </row>
    <row r="10" spans="1:11" ht="16.5">
      <c r="A10" s="2294" t="s">
        <v>654</v>
      </c>
      <c r="B10" s="2294">
        <f>IF(E10="",0,ROUND(B1*(E10*365/G10)/10000,0))</f>
        <v>0</v>
      </c>
      <c r="C10" s="2294" t="s">
        <v>3357</v>
      </c>
      <c r="D10" s="2294" t="s">
        <v>3358</v>
      </c>
      <c r="E10" s="3129"/>
      <c r="F10" s="3133" t="s">
        <v>3359</v>
      </c>
      <c r="G10" s="3130"/>
      <c r="H10" s="2455"/>
      <c r="I10" s="2455"/>
      <c r="J10" s="2455"/>
      <c r="K10" s="2455"/>
    </row>
    <row r="11" spans="1:11" ht="16.5">
      <c r="A11" s="2294" t="s">
        <v>670</v>
      </c>
      <c r="B11" s="1241"/>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7" t="s">
        <v>669</v>
      </c>
      <c r="B13" s="2298" t="s">
        <v>666</v>
      </c>
      <c r="C13" s="2298" t="s">
        <v>668</v>
      </c>
      <c r="D13" s="2298" t="s">
        <v>667</v>
      </c>
      <c r="E13" s="2294" t="s">
        <v>659</v>
      </c>
      <c r="F13" s="2294" t="s">
        <v>658</v>
      </c>
      <c r="G13" s="2298" t="s">
        <v>652</v>
      </c>
      <c r="H13" s="2298" t="s">
        <v>663</v>
      </c>
      <c r="I13" s="2298" t="s">
        <v>651</v>
      </c>
      <c r="J13" s="2455"/>
      <c r="K13" s="2455"/>
    </row>
    <row r="14" spans="1:11" ht="16.5">
      <c r="A14" s="2299" t="s">
        <v>650</v>
      </c>
      <c r="B14" s="2300">
        <f>'数据-汇总表'!E3</f>
        <v>6436.4900000000007</v>
      </c>
      <c r="C14" s="2300">
        <f>'数据-汇总表'!D3</f>
        <v>9558.83</v>
      </c>
      <c r="D14" s="2300">
        <f ca="1">结果表!H101</f>
        <v>3730</v>
      </c>
      <c r="E14" s="2300">
        <f ca="1">结果表!H102</f>
        <v>5795</v>
      </c>
      <c r="F14" s="2300">
        <f ca="1">ROUND(D14*10000/C14,0)</f>
        <v>3902</v>
      </c>
      <c r="G14" s="2300">
        <f ca="1">结果表!H107</f>
        <v>3730</v>
      </c>
      <c r="H14" s="2300"/>
      <c r="I14" s="2300">
        <f ca="1">结果表!H111</f>
        <v>3311</v>
      </c>
      <c r="J14" s="2455"/>
      <c r="K14" s="2455"/>
    </row>
    <row r="15" spans="1:11" ht="16.5">
      <c r="A15" s="2299" t="s">
        <v>649</v>
      </c>
      <c r="B15" s="2301"/>
      <c r="C15" s="2301"/>
      <c r="D15" s="2301"/>
      <c r="E15" s="2300" t="e">
        <f t="shared" ref="E15:E23" si="0">ROUND(D15*10000/B15,0)</f>
        <v>#DIV/0!</v>
      </c>
      <c r="F15" s="2300" t="e">
        <f t="shared" ref="F15:F23" si="1">ROUND(D15*10000/C15,0)</f>
        <v>#DIV/0!</v>
      </c>
      <c r="G15" s="1241"/>
      <c r="H15" s="1241"/>
      <c r="I15" s="2301"/>
      <c r="J15" s="2455"/>
      <c r="K15" s="2455"/>
    </row>
    <row r="16" spans="1:11" ht="16.5">
      <c r="A16" s="2299" t="s">
        <v>648</v>
      </c>
      <c r="B16" s="2301"/>
      <c r="C16" s="2301"/>
      <c r="D16" s="2301"/>
      <c r="E16" s="2300" t="e">
        <f t="shared" si="0"/>
        <v>#DIV/0!</v>
      </c>
      <c r="F16" s="2300" t="e">
        <f t="shared" si="1"/>
        <v>#DIV/0!</v>
      </c>
      <c r="G16" s="1241"/>
      <c r="H16" s="1241"/>
      <c r="I16" s="2301"/>
      <c r="J16" s="2455"/>
      <c r="K16" s="2455"/>
    </row>
    <row r="17" spans="1:11" ht="16.5">
      <c r="A17" s="2299" t="s">
        <v>647</v>
      </c>
      <c r="B17" s="2301"/>
      <c r="C17" s="2301"/>
      <c r="D17" s="2301"/>
      <c r="E17" s="2300" t="e">
        <f t="shared" si="0"/>
        <v>#DIV/0!</v>
      </c>
      <c r="F17" s="2300" t="e">
        <f t="shared" si="1"/>
        <v>#DIV/0!</v>
      </c>
      <c r="G17" s="1241"/>
      <c r="H17" s="1241"/>
      <c r="I17" s="2301"/>
      <c r="J17" s="2455"/>
      <c r="K17" s="2455"/>
    </row>
    <row r="18" spans="1:11" ht="16.5">
      <c r="A18" s="2299" t="s">
        <v>646</v>
      </c>
      <c r="B18" s="2301"/>
      <c r="C18" s="2301"/>
      <c r="D18" s="2301"/>
      <c r="E18" s="2300" t="e">
        <f t="shared" si="0"/>
        <v>#DIV/0!</v>
      </c>
      <c r="F18" s="2300" t="e">
        <f t="shared" si="1"/>
        <v>#DIV/0!</v>
      </c>
      <c r="G18" s="2301"/>
      <c r="H18" s="2301"/>
      <c r="I18" s="2301"/>
      <c r="J18" s="2455"/>
      <c r="K18" s="2455"/>
    </row>
    <row r="19" spans="1:11" ht="16.5">
      <c r="A19" s="2299" t="s">
        <v>645</v>
      </c>
      <c r="B19" s="2301"/>
      <c r="C19" s="2301"/>
      <c r="D19" s="2301"/>
      <c r="E19" s="2300" t="e">
        <f t="shared" si="0"/>
        <v>#DIV/0!</v>
      </c>
      <c r="F19" s="2300" t="e">
        <f t="shared" si="1"/>
        <v>#DIV/0!</v>
      </c>
      <c r="G19" s="2301"/>
      <c r="H19" s="2301"/>
      <c r="I19" s="2301"/>
      <c r="J19" s="2455"/>
      <c r="K19" s="2455"/>
    </row>
    <row r="20" spans="1:11" ht="16.5">
      <c r="A20" s="2299" t="s">
        <v>644</v>
      </c>
      <c r="B20" s="2301"/>
      <c r="C20" s="2301"/>
      <c r="D20" s="2301"/>
      <c r="E20" s="2300" t="e">
        <f t="shared" si="0"/>
        <v>#DIV/0!</v>
      </c>
      <c r="F20" s="2300" t="e">
        <f t="shared" si="1"/>
        <v>#DIV/0!</v>
      </c>
      <c r="G20" s="2301"/>
      <c r="H20" s="2301"/>
      <c r="I20" s="2301"/>
      <c r="J20" s="2455"/>
      <c r="K20" s="2455"/>
    </row>
    <row r="21" spans="1:11" ht="16.5">
      <c r="A21" s="2299" t="s">
        <v>643</v>
      </c>
      <c r="B21" s="2301"/>
      <c r="C21" s="2301"/>
      <c r="D21" s="2301"/>
      <c r="E21" s="2300" t="e">
        <f t="shared" si="0"/>
        <v>#DIV/0!</v>
      </c>
      <c r="F21" s="2300" t="e">
        <f t="shared" si="1"/>
        <v>#DIV/0!</v>
      </c>
      <c r="G21" s="2301"/>
      <c r="H21" s="2301"/>
      <c r="I21" s="2301"/>
      <c r="J21" s="2455"/>
      <c r="K21" s="2455"/>
    </row>
    <row r="22" spans="1:11" ht="16.5">
      <c r="A22" s="2299" t="s">
        <v>642</v>
      </c>
      <c r="B22" s="2301"/>
      <c r="C22" s="2301"/>
      <c r="D22" s="2301"/>
      <c r="E22" s="2300" t="e">
        <f t="shared" si="0"/>
        <v>#DIV/0!</v>
      </c>
      <c r="F22" s="2300" t="e">
        <f t="shared" si="1"/>
        <v>#DIV/0!</v>
      </c>
      <c r="G22" s="2301"/>
      <c r="H22" s="2301"/>
      <c r="I22" s="2301"/>
      <c r="J22" s="2455"/>
      <c r="K22" s="2455"/>
    </row>
    <row r="23" spans="1:11" ht="16.5">
      <c r="A23" s="2299" t="s">
        <v>641</v>
      </c>
      <c r="B23" s="2301"/>
      <c r="C23" s="2301"/>
      <c r="D23" s="2301"/>
      <c r="E23" s="1241" t="e">
        <f t="shared" si="0"/>
        <v>#DIV/0!</v>
      </c>
      <c r="F23" s="1241"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3"/>
  <sheetViews>
    <sheetView zoomScale="90" zoomScaleNormal="90" workbookViewId="0">
      <selection activeCell="M6" sqref="M6"/>
    </sheetView>
  </sheetViews>
  <sheetFormatPr defaultRowHeight="13.5"/>
  <cols>
    <col min="2" max="2" width="35.25" customWidth="1"/>
    <col min="3" max="3" width="46.5" customWidth="1"/>
    <col min="4" max="4" width="12.5" customWidth="1"/>
    <col min="5" max="5" width="12.125" customWidth="1"/>
    <col min="6" max="6" width="13.625" customWidth="1"/>
    <col min="7" max="7" width="13" customWidth="1"/>
    <col min="8" max="8" width="14.125" customWidth="1"/>
    <col min="9" max="9" width="14.5" customWidth="1"/>
  </cols>
  <sheetData>
    <row r="1" spans="1:19" s="2806" customFormat="1">
      <c r="A1" s="3143" t="s">
        <v>3401</v>
      </c>
    </row>
    <row r="2" spans="1:19" s="2806" customFormat="1">
      <c r="A2" s="1426" t="s">
        <v>3402</v>
      </c>
      <c r="B2" s="1426" t="s">
        <v>3403</v>
      </c>
      <c r="C2" s="1426" t="s">
        <v>3404</v>
      </c>
      <c r="D2" s="1426" t="s">
        <v>3405</v>
      </c>
      <c r="E2" s="1426" t="s">
        <v>672</v>
      </c>
      <c r="F2" s="1426" t="s">
        <v>3406</v>
      </c>
      <c r="G2" s="1426" t="s">
        <v>3407</v>
      </c>
      <c r="H2" s="1426" t="s">
        <v>3408</v>
      </c>
      <c r="I2" s="1426" t="s">
        <v>3409</v>
      </c>
      <c r="J2" s="1426" t="s">
        <v>3410</v>
      </c>
      <c r="K2" s="1426"/>
      <c r="L2" s="1426" t="s">
        <v>3411</v>
      </c>
      <c r="M2" s="2806">
        <f>M3+M4+M5+M6</f>
        <v>1717</v>
      </c>
    </row>
    <row r="3" spans="1:19" s="2806" customFormat="1">
      <c r="A3" s="3222" t="s">
        <v>3412</v>
      </c>
      <c r="B3" s="1426" t="s">
        <v>3413</v>
      </c>
      <c r="C3" s="1426" t="s">
        <v>3414</v>
      </c>
      <c r="D3" s="1426" t="s">
        <v>3415</v>
      </c>
      <c r="E3" s="1426" t="s">
        <v>3416</v>
      </c>
      <c r="F3" s="3144">
        <v>1239.7</v>
      </c>
      <c r="G3" s="3144"/>
      <c r="H3" s="1426" t="s">
        <v>3417</v>
      </c>
      <c r="I3" s="3144">
        <v>3</v>
      </c>
      <c r="J3" s="3145" t="s">
        <v>3418</v>
      </c>
      <c r="K3" s="3145"/>
      <c r="L3" s="3188">
        <v>3000</v>
      </c>
      <c r="M3" s="3189">
        <f>ROUND(L3*F3/10000,0)</f>
        <v>372</v>
      </c>
      <c r="O3" s="2806">
        <f>B37/F3</f>
        <v>2010.5930225054447</v>
      </c>
      <c r="P3" s="1418" t="s">
        <v>3419</v>
      </c>
      <c r="Q3" s="3146" t="s">
        <v>3420</v>
      </c>
      <c r="R3" s="3146" t="s">
        <v>3421</v>
      </c>
      <c r="S3" s="3146" t="s">
        <v>3422</v>
      </c>
    </row>
    <row r="4" spans="1:19" s="2806" customFormat="1">
      <c r="A4" s="3222"/>
      <c r="B4" s="1426" t="s">
        <v>3423</v>
      </c>
      <c r="C4" s="1426" t="s">
        <v>3424</v>
      </c>
      <c r="D4" s="1426" t="s">
        <v>3425</v>
      </c>
      <c r="E4" s="1426" t="s">
        <v>3416</v>
      </c>
      <c r="F4" s="3144">
        <v>1647.4</v>
      </c>
      <c r="G4" s="3144"/>
      <c r="H4" s="1426" t="s">
        <v>3426</v>
      </c>
      <c r="I4" s="3144">
        <v>2</v>
      </c>
      <c r="J4" s="3145" t="s">
        <v>3427</v>
      </c>
      <c r="K4" s="3145"/>
      <c r="L4" s="3188">
        <v>2200</v>
      </c>
      <c r="M4" s="3189">
        <f t="shared" ref="M4:M6" si="0">ROUND(L4*F4/10000,0)</f>
        <v>362</v>
      </c>
      <c r="O4" s="2806">
        <f>B36/F4</f>
        <v>1128.7012079640647</v>
      </c>
      <c r="P4" s="1418" t="s">
        <v>3428</v>
      </c>
      <c r="Q4" s="3146" t="s">
        <v>3429</v>
      </c>
      <c r="R4" s="3146" t="s">
        <v>3430</v>
      </c>
      <c r="S4" s="3146" t="s">
        <v>3431</v>
      </c>
    </row>
    <row r="5" spans="1:19" s="2806" customFormat="1">
      <c r="A5" s="3222"/>
      <c r="B5" s="1426" t="s">
        <v>3432</v>
      </c>
      <c r="C5" s="1426" t="s">
        <v>3433</v>
      </c>
      <c r="D5" s="1426" t="s">
        <v>3434</v>
      </c>
      <c r="E5" s="1426" t="s">
        <v>3416</v>
      </c>
      <c r="F5" s="3144">
        <v>3418.12</v>
      </c>
      <c r="G5" s="3144"/>
      <c r="H5" s="1426" t="s">
        <v>3435</v>
      </c>
      <c r="I5" s="3144">
        <v>2</v>
      </c>
      <c r="J5" s="3145" t="s">
        <v>3427</v>
      </c>
      <c r="K5" s="3145"/>
      <c r="L5" s="3188">
        <v>2800</v>
      </c>
      <c r="M5" s="3189">
        <f t="shared" si="0"/>
        <v>957</v>
      </c>
      <c r="N5" s="1418"/>
      <c r="O5" s="2806">
        <f>B35/F5</f>
        <v>2836.5733385603785</v>
      </c>
      <c r="P5" s="1418" t="s">
        <v>3436</v>
      </c>
      <c r="Q5" s="3146" t="s">
        <v>3437</v>
      </c>
      <c r="R5" s="3146" t="s">
        <v>3438</v>
      </c>
      <c r="S5" s="3147"/>
    </row>
    <row r="6" spans="1:19" s="2806" customFormat="1">
      <c r="A6" s="3222"/>
      <c r="B6" s="1426" t="s">
        <v>3439</v>
      </c>
      <c r="C6" s="1426" t="s">
        <v>3440</v>
      </c>
      <c r="D6" s="1426" t="s">
        <v>3441</v>
      </c>
      <c r="E6" s="1426" t="s">
        <v>3442</v>
      </c>
      <c r="F6" s="3144">
        <v>131.27000000000001</v>
      </c>
      <c r="G6" s="3148">
        <v>59867</v>
      </c>
      <c r="H6" s="1426" t="s">
        <v>3417</v>
      </c>
      <c r="I6" s="3144">
        <v>1</v>
      </c>
      <c r="J6" s="3149">
        <v>1</v>
      </c>
      <c r="K6" s="3149"/>
      <c r="L6" s="3188">
        <v>2000</v>
      </c>
      <c r="M6" s="3189">
        <f t="shared" si="0"/>
        <v>26</v>
      </c>
      <c r="O6" s="2806">
        <f>B38/F6</f>
        <v>2185.4219547497523</v>
      </c>
    </row>
    <row r="7" spans="1:19" s="2806" customFormat="1">
      <c r="A7" s="3144"/>
      <c r="B7" s="3144"/>
      <c r="C7" s="3144"/>
      <c r="D7" s="3144"/>
      <c r="E7" s="1426" t="s">
        <v>3443</v>
      </c>
      <c r="F7" s="3144">
        <f>SUM(F3:F6)</f>
        <v>6436.4900000000007</v>
      </c>
      <c r="G7" s="3144"/>
      <c r="H7" s="3144"/>
      <c r="I7" s="3144"/>
      <c r="J7" s="3149"/>
      <c r="K7" s="3149"/>
      <c r="L7" s="3144"/>
      <c r="M7" s="3150">
        <f>(M3+M4+M5+M6)*10000/F7</f>
        <v>2667.6029947999605</v>
      </c>
    </row>
    <row r="8" spans="1:19" s="2806" customFormat="1">
      <c r="J8" s="3151"/>
      <c r="K8" s="3151"/>
    </row>
    <row r="9" spans="1:19" s="2806" customFormat="1">
      <c r="A9" s="1426" t="s">
        <v>3391</v>
      </c>
      <c r="B9" s="1426" t="s">
        <v>3444</v>
      </c>
      <c r="C9" s="1426" t="s">
        <v>3445</v>
      </c>
      <c r="D9" s="3144"/>
      <c r="E9" s="1426" t="s">
        <v>2480</v>
      </c>
      <c r="F9" s="3144">
        <v>9558.83</v>
      </c>
      <c r="G9" s="3148">
        <v>59867</v>
      </c>
      <c r="J9" s="3151"/>
      <c r="K9" s="3151"/>
    </row>
    <row r="10" spans="1:19" s="2806" customFormat="1" ht="14.25">
      <c r="J10" s="3151"/>
      <c r="K10" s="3151"/>
      <c r="L10" s="1418" t="s">
        <v>3446</v>
      </c>
      <c r="M10" s="1418" t="s">
        <v>3447</v>
      </c>
      <c r="N10" s="2806">
        <v>1595</v>
      </c>
      <c r="O10" s="3152"/>
    </row>
    <row r="11" spans="1:19" s="2806" customFormat="1" ht="14.25">
      <c r="M11" s="1418" t="s">
        <v>3448</v>
      </c>
      <c r="N11" s="2806">
        <v>700</v>
      </c>
      <c r="O11" s="3152"/>
    </row>
    <row r="12" spans="1:19" s="2806" customFormat="1" ht="14.25">
      <c r="M12" s="1418" t="s">
        <v>3449</v>
      </c>
      <c r="N12" s="2806">
        <v>1085</v>
      </c>
      <c r="O12" s="3152"/>
    </row>
    <row r="13" spans="1:19" s="2806" customFormat="1">
      <c r="A13" s="3143" t="s">
        <v>3450</v>
      </c>
      <c r="M13" s="1418" t="s">
        <v>2593</v>
      </c>
      <c r="N13" s="2806">
        <f>N10+N11+N12</f>
        <v>3380</v>
      </c>
    </row>
    <row r="14" spans="1:19" s="2806" customFormat="1">
      <c r="A14" s="1426" t="s">
        <v>3402</v>
      </c>
      <c r="B14" s="1426" t="s">
        <v>3451</v>
      </c>
      <c r="C14" s="1426" t="s">
        <v>3404</v>
      </c>
      <c r="D14" s="1426" t="s">
        <v>3403</v>
      </c>
      <c r="E14" s="1426" t="s">
        <v>3452</v>
      </c>
      <c r="F14" s="1426" t="s">
        <v>3453</v>
      </c>
      <c r="G14" s="1426" t="s">
        <v>3454</v>
      </c>
      <c r="H14" s="1426" t="s">
        <v>3455</v>
      </c>
    </row>
    <row r="15" spans="1:19" s="2806" customFormat="1" ht="28.9" customHeight="1">
      <c r="A15" s="3222" t="s">
        <v>3456</v>
      </c>
      <c r="B15" s="3222" t="s">
        <v>3391</v>
      </c>
      <c r="C15" s="1426" t="s">
        <v>3457</v>
      </c>
      <c r="D15" s="3144" t="str">
        <f>B6</f>
        <v>京（2019）平不动产权第0005322号</v>
      </c>
      <c r="E15" s="3222" t="s">
        <v>3458</v>
      </c>
      <c r="F15" s="3279">
        <v>3720000</v>
      </c>
      <c r="G15" s="3279" t="str">
        <f>B9</f>
        <v>京平国用（2014出）第00020号</v>
      </c>
      <c r="H15" s="3222" t="s">
        <v>3459</v>
      </c>
      <c r="L15" s="1418" t="s">
        <v>3460</v>
      </c>
      <c r="M15" s="1418" t="s">
        <v>3447</v>
      </c>
      <c r="N15" s="3095">
        <v>1800</v>
      </c>
    </row>
    <row r="16" spans="1:19" s="2806" customFormat="1" ht="14.25">
      <c r="A16" s="3222"/>
      <c r="B16" s="3222"/>
      <c r="C16" s="3144" t="str">
        <f>C4</f>
        <v>平谷区兴谷街道兴谷路29号院2号楼1至2层01</v>
      </c>
      <c r="D16" s="3144" t="str">
        <f>B4</f>
        <v>京（2019）平不动产权第0005323号</v>
      </c>
      <c r="E16" s="3222"/>
      <c r="F16" s="3279"/>
      <c r="G16" s="3279"/>
      <c r="H16" s="3222"/>
      <c r="M16" s="1418" t="s">
        <v>3448</v>
      </c>
      <c r="N16" s="3095">
        <v>100</v>
      </c>
    </row>
    <row r="17" spans="1:14" s="2806" customFormat="1" ht="14.25">
      <c r="A17" s="3222"/>
      <c r="B17" s="3222"/>
      <c r="C17" s="3144" t="str">
        <f>C5</f>
        <v>平谷区兴谷街道兴谷路29号院3号楼1至2层01</v>
      </c>
      <c r="D17" s="3144" t="str">
        <f>B5</f>
        <v>京（2019）平不动产权第0005324号</v>
      </c>
      <c r="E17" s="3222"/>
      <c r="F17" s="3279"/>
      <c r="G17" s="3279"/>
      <c r="H17" s="3222"/>
      <c r="M17" s="1418" t="s">
        <v>3449</v>
      </c>
      <c r="N17" s="3095">
        <v>672</v>
      </c>
    </row>
    <row r="18" spans="1:14" s="2806" customFormat="1">
      <c r="A18" s="3222"/>
      <c r="B18" s="3222"/>
      <c r="C18" s="3144" t="str">
        <f>C6</f>
        <v>平谷区兴谷街道兴谷路29号院5号1层01</v>
      </c>
      <c r="D18" s="3144" t="str">
        <f>B6</f>
        <v>京（2019）平不动产权第0005322号</v>
      </c>
      <c r="E18" s="3222"/>
      <c r="F18" s="3279"/>
      <c r="G18" s="3279"/>
      <c r="H18" s="3222"/>
      <c r="M18" s="1418" t="s">
        <v>2593</v>
      </c>
      <c r="N18" s="2806">
        <f>N15+N16+N17</f>
        <v>2572</v>
      </c>
    </row>
    <row r="19" spans="1:14" s="2806" customFormat="1" ht="14.25">
      <c r="L19" s="1418" t="s">
        <v>3461</v>
      </c>
      <c r="M19" s="1418" t="s">
        <v>3447</v>
      </c>
      <c r="N19" s="3095">
        <v>1800</v>
      </c>
    </row>
    <row r="20" spans="1:14" s="2806" customFormat="1" ht="14.25">
      <c r="M20" s="1418" t="s">
        <v>3448</v>
      </c>
      <c r="N20" s="3095">
        <v>100</v>
      </c>
    </row>
    <row r="21" spans="1:14" s="2806" customFormat="1" ht="14.25">
      <c r="M21" s="1418" t="s">
        <v>3449</v>
      </c>
      <c r="N21" s="3095">
        <v>672</v>
      </c>
    </row>
    <row r="22" spans="1:14" s="2806" customFormat="1">
      <c r="A22" s="3143" t="s">
        <v>3462</v>
      </c>
      <c r="M22" s="1418" t="s">
        <v>2593</v>
      </c>
      <c r="N22" s="2806">
        <f>N19+N20+N21</f>
        <v>2572</v>
      </c>
    </row>
    <row r="23" spans="1:14" s="2806" customFormat="1" ht="14.25">
      <c r="A23" s="1426" t="s">
        <v>3463</v>
      </c>
      <c r="B23" s="1426" t="s">
        <v>3464</v>
      </c>
      <c r="C23" s="1426" t="s">
        <v>3465</v>
      </c>
      <c r="D23" s="3144"/>
      <c r="L23" s="1418" t="s">
        <v>3466</v>
      </c>
      <c r="M23" s="1418" t="s">
        <v>3447</v>
      </c>
      <c r="N23" s="3095">
        <v>1503</v>
      </c>
    </row>
    <row r="24" spans="1:14" s="2806" customFormat="1" ht="14.25">
      <c r="A24" s="1426" t="s">
        <v>3467</v>
      </c>
      <c r="B24" s="3144">
        <v>3411.75</v>
      </c>
      <c r="C24" s="1426" t="s">
        <v>3434</v>
      </c>
      <c r="D24" s="3144">
        <f>B24/2</f>
        <v>1705.875</v>
      </c>
      <c r="M24" s="1418" t="s">
        <v>3448</v>
      </c>
      <c r="N24" s="3095">
        <v>60</v>
      </c>
    </row>
    <row r="25" spans="1:14" s="2806" customFormat="1" ht="14.25">
      <c r="A25" s="1426" t="s">
        <v>3468</v>
      </c>
      <c r="B25" s="3144">
        <v>5072.5</v>
      </c>
      <c r="C25" s="3153" t="s">
        <v>3469</v>
      </c>
      <c r="D25" s="3144"/>
      <c r="M25" s="1418" t="s">
        <v>3449</v>
      </c>
      <c r="N25" s="3095">
        <v>643</v>
      </c>
    </row>
    <row r="26" spans="1:14" s="2806" customFormat="1">
      <c r="A26" s="1426" t="s">
        <v>3470</v>
      </c>
      <c r="B26" s="3144">
        <v>1230.5</v>
      </c>
      <c r="C26" s="1426" t="s">
        <v>3415</v>
      </c>
      <c r="D26" s="3144">
        <f>B26/2.5</f>
        <v>492.2</v>
      </c>
      <c r="M26" s="1418" t="s">
        <v>2593</v>
      </c>
      <c r="N26" s="2806">
        <f>N23+N24+N25</f>
        <v>2206</v>
      </c>
    </row>
    <row r="27" spans="1:14" s="2806" customFormat="1">
      <c r="A27" s="1426" t="s">
        <v>3442</v>
      </c>
      <c r="B27" s="3144">
        <v>134.54</v>
      </c>
      <c r="C27" s="1426" t="s">
        <v>3441</v>
      </c>
      <c r="D27" s="3144">
        <f>B27</f>
        <v>134.54</v>
      </c>
    </row>
    <row r="28" spans="1:14" s="2806" customFormat="1">
      <c r="A28" s="1426" t="s">
        <v>3471</v>
      </c>
      <c r="B28" s="3144">
        <v>19.989999999999998</v>
      </c>
      <c r="C28" s="3137" t="s">
        <v>3472</v>
      </c>
      <c r="D28" s="3144"/>
    </row>
    <row r="29" spans="1:14" s="2806" customFormat="1">
      <c r="A29" s="1426" t="s">
        <v>3473</v>
      </c>
      <c r="B29" s="3144">
        <v>1600</v>
      </c>
      <c r="C29" s="1426" t="s">
        <v>3425</v>
      </c>
      <c r="D29" s="3144">
        <f>B29/1.5</f>
        <v>1066.6666666666667</v>
      </c>
    </row>
    <row r="30" spans="1:14" s="2806" customFormat="1">
      <c r="A30" s="1426" t="s">
        <v>3443</v>
      </c>
      <c r="B30" s="3144">
        <f>SUM(B24:B29)</f>
        <v>11469.28</v>
      </c>
      <c r="C30" s="3144"/>
      <c r="D30" s="1426" t="s">
        <v>3474</v>
      </c>
      <c r="F30" s="1418" t="s">
        <v>3475</v>
      </c>
    </row>
    <row r="31" spans="1:14" s="2806" customFormat="1">
      <c r="D31" s="2806">
        <f>D24+D26+D27+D29</f>
        <v>3399.2816666666668</v>
      </c>
      <c r="F31" s="2806">
        <f>'[2]数据-基础表'!A3-[2]信息台账!D31</f>
        <v>6159.5483333333332</v>
      </c>
    </row>
    <row r="32" spans="1:14" s="2806" customFormat="1">
      <c r="A32" s="3143" t="s">
        <v>3476</v>
      </c>
    </row>
    <row r="33" spans="1:14" s="2806" customFormat="1">
      <c r="A33" s="3222"/>
      <c r="B33" s="3222" t="s">
        <v>3477</v>
      </c>
      <c r="C33" s="3222" t="s">
        <v>3478</v>
      </c>
      <c r="D33" s="3279"/>
      <c r="E33" s="3279"/>
      <c r="F33" s="3279"/>
      <c r="G33" s="3279"/>
      <c r="J33" s="3144"/>
      <c r="K33" s="3144"/>
      <c r="L33" s="3221" t="s">
        <v>3479</v>
      </c>
      <c r="M33" s="3220"/>
      <c r="N33" s="1418" t="s">
        <v>3480</v>
      </c>
    </row>
    <row r="34" spans="1:14" s="2806" customFormat="1">
      <c r="A34" s="3222"/>
      <c r="B34" s="3222"/>
      <c r="C34" s="1426" t="s">
        <v>3481</v>
      </c>
      <c r="D34" s="1426" t="s">
        <v>3482</v>
      </c>
      <c r="E34" s="1426" t="s">
        <v>3483</v>
      </c>
      <c r="F34" s="1426" t="s">
        <v>3484</v>
      </c>
      <c r="G34" s="1426" t="s">
        <v>3485</v>
      </c>
      <c r="H34" s="1418" t="s">
        <v>3486</v>
      </c>
      <c r="I34" s="1418" t="s">
        <v>3487</v>
      </c>
      <c r="J34" s="1426" t="s">
        <v>3488</v>
      </c>
      <c r="K34" s="1426" t="s">
        <v>3489</v>
      </c>
      <c r="L34" s="1426" t="s">
        <v>3490</v>
      </c>
      <c r="M34" s="1426" t="s">
        <v>3487</v>
      </c>
    </row>
    <row r="35" spans="1:14" s="2806" customFormat="1">
      <c r="A35" s="1426" t="s">
        <v>3467</v>
      </c>
      <c r="B35" s="3144">
        <v>9695748.0600000005</v>
      </c>
      <c r="C35" s="3154">
        <v>3060820.4</v>
      </c>
      <c r="D35" s="3154">
        <v>915885</v>
      </c>
      <c r="E35" s="3154">
        <v>334801</v>
      </c>
      <c r="F35" s="3154">
        <v>716299</v>
      </c>
      <c r="G35" s="3154">
        <v>395664</v>
      </c>
      <c r="H35" s="3155">
        <f>B35-I35</f>
        <v>4272278.66</v>
      </c>
      <c r="I35" s="3156">
        <f>C35+D35+E35+F35+G35</f>
        <v>5423469.4000000004</v>
      </c>
      <c r="J35" s="1426" t="s">
        <v>3434</v>
      </c>
      <c r="K35" s="1426">
        <f>F5</f>
        <v>3418.12</v>
      </c>
      <c r="L35" s="3157">
        <f>H35/K35</f>
        <v>1249.8913613331306</v>
      </c>
      <c r="M35" s="3157">
        <f>I35/K35</f>
        <v>1586.6819772272479</v>
      </c>
      <c r="N35" s="3158">
        <f>L35+M35</f>
        <v>2836.5733385603785</v>
      </c>
    </row>
    <row r="36" spans="1:14" s="2806" customFormat="1">
      <c r="A36" s="1426" t="s">
        <v>3491</v>
      </c>
      <c r="B36" s="3144">
        <v>1859422.37</v>
      </c>
      <c r="C36" s="3154">
        <v>104958</v>
      </c>
      <c r="D36" s="3154">
        <v>197600</v>
      </c>
      <c r="E36" s="3154">
        <v>52443</v>
      </c>
      <c r="F36" s="3154"/>
      <c r="G36" s="3154"/>
      <c r="H36" s="3155">
        <f>B36-I36</f>
        <v>1504421.37</v>
      </c>
      <c r="I36" s="3155">
        <f>C36+D36+E36</f>
        <v>355001</v>
      </c>
      <c r="J36" s="1426" t="s">
        <v>3425</v>
      </c>
      <c r="K36" s="1426">
        <f>F4</f>
        <v>1647.4</v>
      </c>
      <c r="L36" s="3157">
        <f>H36/K36</f>
        <v>913.20952409857955</v>
      </c>
      <c r="M36" s="3157">
        <f>I36/K36</f>
        <v>215.49168386548499</v>
      </c>
      <c r="N36" s="3158">
        <f t="shared" ref="N36:N38" si="1">L36+M36</f>
        <v>1128.7012079640645</v>
      </c>
    </row>
    <row r="37" spans="1:14" s="2806" customFormat="1">
      <c r="A37" s="1426" t="s">
        <v>3492</v>
      </c>
      <c r="B37" s="3144">
        <v>2492532.17</v>
      </c>
      <c r="C37" s="3154">
        <v>285316</v>
      </c>
      <c r="D37" s="3154">
        <v>116018</v>
      </c>
      <c r="E37" s="3154">
        <v>85636.5</v>
      </c>
      <c r="F37" s="3154">
        <v>49360</v>
      </c>
      <c r="G37" s="3154"/>
      <c r="H37" s="3155">
        <f>B37-I37</f>
        <v>1956201.67</v>
      </c>
      <c r="I37" s="3155">
        <f>C37+D37+E37+F37</f>
        <v>536330.5</v>
      </c>
      <c r="J37" s="1426" t="s">
        <v>3415</v>
      </c>
      <c r="K37" s="1426">
        <f>F3</f>
        <v>1239.7</v>
      </c>
      <c r="L37" s="3157">
        <f>H37/K37</f>
        <v>1577.9637573606517</v>
      </c>
      <c r="M37" s="3157">
        <f>I37/K37</f>
        <v>432.62926514479307</v>
      </c>
      <c r="N37" s="3158">
        <f t="shared" si="1"/>
        <v>2010.5930225054449</v>
      </c>
    </row>
    <row r="38" spans="1:14" s="2806" customFormat="1">
      <c r="A38" s="1426" t="s">
        <v>3493</v>
      </c>
      <c r="B38" s="3144">
        <v>286880.34000000003</v>
      </c>
      <c r="C38" s="3154">
        <v>17831.32</v>
      </c>
      <c r="D38" s="3154">
        <v>4501.6000000000004</v>
      </c>
      <c r="E38" s="3154">
        <v>2325</v>
      </c>
      <c r="F38" s="3154"/>
      <c r="G38" s="3154"/>
      <c r="H38" s="3155">
        <f>B38-I38</f>
        <v>262222.42000000004</v>
      </c>
      <c r="I38" s="3155">
        <f>C38+D38+E38</f>
        <v>24657.919999999998</v>
      </c>
      <c r="J38" s="1426" t="s">
        <v>3441</v>
      </c>
      <c r="K38" s="3144">
        <f>F6</f>
        <v>131.27000000000001</v>
      </c>
      <c r="L38" s="3157">
        <f>H38/K38</f>
        <v>1997.5807115106272</v>
      </c>
      <c r="M38" s="3157">
        <f>I38/K38</f>
        <v>187.84124323912545</v>
      </c>
      <c r="N38" s="3158">
        <f t="shared" si="1"/>
        <v>2185.4219547497528</v>
      </c>
    </row>
    <row r="39" spans="1:14" s="2806" customFormat="1">
      <c r="A39" s="1426" t="s">
        <v>3494</v>
      </c>
      <c r="B39" s="3144">
        <v>40176</v>
      </c>
      <c r="C39" s="3154"/>
      <c r="D39" s="3154"/>
      <c r="E39" s="3154"/>
      <c r="F39" s="3154"/>
      <c r="G39" s="3154"/>
      <c r="J39" s="1418" t="s">
        <v>3443</v>
      </c>
      <c r="K39" s="2806">
        <f>SUM(K35:K38)</f>
        <v>6436.4900000000007</v>
      </c>
      <c r="M39" s="1418"/>
      <c r="N39" s="3158"/>
    </row>
    <row r="40" spans="1:14" s="2806" customFormat="1">
      <c r="A40" s="1426" t="s">
        <v>3495</v>
      </c>
      <c r="B40" s="3144">
        <v>291306.28000000003</v>
      </c>
      <c r="C40" s="3154"/>
      <c r="D40" s="3154"/>
      <c r="E40" s="3154"/>
      <c r="F40" s="3154"/>
      <c r="G40" s="3154"/>
    </row>
    <row r="41" spans="1:14" s="2806" customFormat="1">
      <c r="A41" s="1426" t="s">
        <v>3496</v>
      </c>
      <c r="B41" s="3144">
        <v>1584124.14</v>
      </c>
      <c r="C41" s="3154"/>
      <c r="D41" s="3154"/>
      <c r="E41" s="3154"/>
      <c r="F41" s="3154"/>
      <c r="G41" s="3154"/>
    </row>
    <row r="42" spans="1:14" s="2806" customFormat="1">
      <c r="A42" s="1426" t="s">
        <v>3497</v>
      </c>
      <c r="B42" s="3144">
        <v>1146421.3799999999</v>
      </c>
      <c r="C42" s="3154"/>
      <c r="D42" s="3154"/>
      <c r="E42" s="3154"/>
      <c r="F42" s="3154"/>
      <c r="G42" s="3154"/>
    </row>
    <row r="43" spans="1:14" s="2806" customFormat="1">
      <c r="A43" s="1426" t="s">
        <v>3498</v>
      </c>
      <c r="B43" s="3144">
        <v>1310863.1000000001</v>
      </c>
      <c r="C43" s="3154"/>
      <c r="D43" s="3154"/>
      <c r="E43" s="3154"/>
      <c r="F43" s="3154">
        <f>B43</f>
        <v>1310863.1000000001</v>
      </c>
      <c r="G43" s="3154"/>
    </row>
    <row r="44" spans="1:14" s="2806" customFormat="1">
      <c r="A44" s="1426" t="s">
        <v>3443</v>
      </c>
      <c r="B44" s="3144">
        <f>SUM(B35:B43)</f>
        <v>18707473.84</v>
      </c>
      <c r="C44" s="3278">
        <f>C35+C36+C37+C38+D35+D36+D37+D38+E35+E36+E37+E38+F35+F37+G35+F43</f>
        <v>7650321.9199999999</v>
      </c>
      <c r="D44" s="3279"/>
      <c r="E44" s="3279"/>
      <c r="F44" s="3279"/>
      <c r="G44" s="3279"/>
      <c r="H44" s="3155"/>
    </row>
    <row r="45" spans="1:14" s="2806" customFormat="1">
      <c r="H45" s="1418" t="s">
        <v>3499</v>
      </c>
    </row>
    <row r="46" spans="1:14" s="2806" customFormat="1">
      <c r="A46" s="1426" t="s">
        <v>3500</v>
      </c>
    </row>
    <row r="47" spans="1:14" s="2806" customFormat="1">
      <c r="A47" s="1426" t="s">
        <v>3501</v>
      </c>
    </row>
    <row r="48" spans="1:14" s="2806" customFormat="1">
      <c r="A48" s="1426">
        <v>5761386</v>
      </c>
      <c r="C48" s="1426" t="s">
        <v>3502</v>
      </c>
    </row>
    <row r="49" spans="1:3" s="2806" customFormat="1">
      <c r="A49" s="3144">
        <v>1242914</v>
      </c>
      <c r="C49" s="3144">
        <v>232841.58</v>
      </c>
    </row>
    <row r="50" spans="1:3" s="2806" customFormat="1">
      <c r="A50" s="1426" t="s">
        <v>3503</v>
      </c>
    </row>
    <row r="51" spans="1:3" s="2806" customFormat="1">
      <c r="A51" s="3144">
        <v>757086</v>
      </c>
      <c r="C51" s="1418" t="s">
        <v>3504</v>
      </c>
    </row>
    <row r="52" spans="1:3" s="2806" customFormat="1">
      <c r="A52" s="1418" t="s">
        <v>3443</v>
      </c>
      <c r="C52" s="2806">
        <f>A48+A49+C49+A51</f>
        <v>7994227.5800000001</v>
      </c>
    </row>
    <row r="53" spans="1:3" s="2806" customFormat="1">
      <c r="A53" s="2806">
        <f>A48+A49+A51</f>
        <v>7761386</v>
      </c>
    </row>
  </sheetData>
  <mergeCells count="12">
    <mergeCell ref="H15:H18"/>
    <mergeCell ref="A33:A34"/>
    <mergeCell ref="B33:B34"/>
    <mergeCell ref="C33:G33"/>
    <mergeCell ref="L33:M33"/>
    <mergeCell ref="C44:G44"/>
    <mergeCell ref="A3:A6"/>
    <mergeCell ref="A15:A18"/>
    <mergeCell ref="B15:B18"/>
    <mergeCell ref="E15:E18"/>
    <mergeCell ref="F15:F18"/>
    <mergeCell ref="G15:G18"/>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0" zoomScaleNormal="100" zoomScaleSheetLayoutView="80" zoomScalePageLayoutView="80" workbookViewId="0">
      <selection activeCell="D119" sqref="D119:G119"/>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1261</v>
      </c>
      <c r="B1" s="645"/>
      <c r="C1" s="1617" t="s">
        <v>3</v>
      </c>
      <c r="D1" s="645"/>
      <c r="E1" s="645"/>
      <c r="F1" s="1618" t="s">
        <v>1262</v>
      </c>
      <c r="G1" s="1450" t="s">
        <v>3399</v>
      </c>
      <c r="H1" s="1618" t="str">
        <f>IF(G1="现房","——","估价对象范围")</f>
        <v>——</v>
      </c>
      <c r="I1" s="1619"/>
    </row>
    <row r="2" spans="1:12" ht="21.75" customHeight="1" thickBot="1">
      <c r="A2" s="3347" t="str">
        <f>项目基本情况!S2</f>
        <v>北京市平谷区兴谷街道兴谷路29号院房地产</v>
      </c>
      <c r="B2" s="3348"/>
      <c r="C2" s="3348"/>
      <c r="D2" s="3348"/>
      <c r="E2" s="3348"/>
      <c r="F2" s="3348"/>
      <c r="G2" s="3348"/>
      <c r="H2" s="3348"/>
      <c r="I2" s="3349"/>
    </row>
    <row r="3" spans="1:12" ht="12.75">
      <c r="A3" s="3351" t="s">
        <v>1263</v>
      </c>
      <c r="B3" s="3352"/>
      <c r="C3" s="3352"/>
      <c r="D3" s="3352"/>
      <c r="E3" s="3352"/>
      <c r="F3" s="3352"/>
      <c r="G3" s="3352"/>
      <c r="H3" s="3352"/>
      <c r="I3" s="3352"/>
    </row>
    <row r="4" spans="1:12" ht="14.25">
      <c r="A4" s="1621" t="s">
        <v>1264</v>
      </c>
      <c r="B4" s="1622" t="s">
        <v>1265</v>
      </c>
      <c r="C4" s="1623" t="s">
        <v>3519</v>
      </c>
      <c r="D4" s="1623" t="s">
        <v>3518</v>
      </c>
      <c r="E4" s="3356" t="s">
        <v>1266</v>
      </c>
      <c r="F4" s="3357"/>
      <c r="G4" s="3357"/>
      <c r="H4" s="3357"/>
      <c r="I4" s="335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5" t="s">
        <v>1267</v>
      </c>
      <c r="B5" s="3350">
        <v>25</v>
      </c>
      <c r="C5" s="3353"/>
      <c r="D5" s="3341"/>
      <c r="E5" s="123" t="s">
        <v>1268</v>
      </c>
      <c r="F5" s="1624"/>
      <c r="G5" s="1624"/>
      <c r="H5" s="1624"/>
      <c r="I5" s="1278"/>
    </row>
    <row r="6" spans="1:12" ht="12.75">
      <c r="A6" s="3295"/>
      <c r="B6" s="3350"/>
      <c r="C6" s="3355"/>
      <c r="D6" s="3341"/>
      <c r="E6" s="123" t="s">
        <v>1269</v>
      </c>
      <c r="F6" s="1624"/>
      <c r="G6" s="1624"/>
      <c r="H6" s="1624"/>
      <c r="I6" s="1278"/>
    </row>
    <row r="7" spans="1:12" ht="12.75">
      <c r="A7" s="3295"/>
      <c r="B7" s="3350"/>
      <c r="C7" s="3354"/>
      <c r="D7" s="3341"/>
      <c r="E7" s="123" t="s">
        <v>1270</v>
      </c>
      <c r="F7" s="1624"/>
      <c r="G7" s="1624"/>
      <c r="H7" s="1624"/>
      <c r="I7" s="1278"/>
    </row>
    <row r="8" spans="1:12" ht="12.75">
      <c r="A8" s="3295" t="s">
        <v>1271</v>
      </c>
      <c r="B8" s="3350">
        <v>15</v>
      </c>
      <c r="C8" s="3353"/>
      <c r="D8" s="3341"/>
      <c r="E8" s="123" t="s">
        <v>1272</v>
      </c>
      <c r="F8" s="1624"/>
      <c r="G8" s="1624"/>
      <c r="H8" s="1624"/>
      <c r="I8" s="1278"/>
    </row>
    <row r="9" spans="1:12" ht="12.75">
      <c r="A9" s="3295"/>
      <c r="B9" s="3350"/>
      <c r="C9" s="3354"/>
      <c r="D9" s="3341"/>
      <c r="E9" s="123" t="s">
        <v>1273</v>
      </c>
      <c r="F9" s="1624"/>
      <c r="G9" s="1624"/>
      <c r="H9" s="1624"/>
      <c r="I9" s="1278"/>
    </row>
    <row r="10" spans="1:12" ht="12.75">
      <c r="A10" s="3295" t="s">
        <v>1274</v>
      </c>
      <c r="B10" s="3350">
        <v>15</v>
      </c>
      <c r="C10" s="3353"/>
      <c r="D10" s="3341"/>
      <c r="E10" s="123" t="s">
        <v>1275</v>
      </c>
      <c r="F10" s="1624"/>
      <c r="G10" s="1624"/>
      <c r="H10" s="1624"/>
      <c r="I10" s="1278"/>
    </row>
    <row r="11" spans="1:12" ht="12.75">
      <c r="A11" s="3295"/>
      <c r="B11" s="3350"/>
      <c r="C11" s="3354"/>
      <c r="D11" s="3341"/>
      <c r="E11" s="123" t="s">
        <v>1276</v>
      </c>
      <c r="F11" s="1624"/>
      <c r="G11" s="1624"/>
      <c r="H11" s="1624"/>
      <c r="I11" s="1278"/>
    </row>
    <row r="12" spans="1:12" ht="12.75">
      <c r="A12" s="3295" t="s">
        <v>1277</v>
      </c>
      <c r="B12" s="3350">
        <v>15</v>
      </c>
      <c r="C12" s="3353"/>
      <c r="D12" s="3341"/>
      <c r="E12" s="123" t="s">
        <v>1278</v>
      </c>
      <c r="F12" s="1624"/>
      <c r="G12" s="1624"/>
      <c r="H12" s="1624"/>
      <c r="I12" s="1278"/>
    </row>
    <row r="13" spans="1:12" ht="12.75">
      <c r="A13" s="3295"/>
      <c r="B13" s="3350"/>
      <c r="C13" s="3354"/>
      <c r="D13" s="3341"/>
      <c r="E13" s="123" t="s">
        <v>1279</v>
      </c>
      <c r="F13" s="1624"/>
      <c r="G13" s="1624"/>
      <c r="H13" s="1624"/>
      <c r="I13" s="1278"/>
    </row>
    <row r="14" spans="1:12" ht="12.75">
      <c r="A14" s="3295" t="s">
        <v>1280</v>
      </c>
      <c r="B14" s="3350">
        <v>30</v>
      </c>
      <c r="C14" s="3353">
        <v>5</v>
      </c>
      <c r="D14" s="3341">
        <v>5</v>
      </c>
      <c r="E14" s="123" t="s">
        <v>1281</v>
      </c>
      <c r="F14" s="1624"/>
      <c r="G14" s="1624"/>
      <c r="H14" s="1624"/>
      <c r="I14" s="1278"/>
    </row>
    <row r="15" spans="1:12" ht="12.75">
      <c r="A15" s="3295"/>
      <c r="B15" s="3350"/>
      <c r="C15" s="3355"/>
      <c r="D15" s="3341"/>
      <c r="E15" s="123" t="s">
        <v>1282</v>
      </c>
      <c r="F15" s="1624"/>
      <c r="G15" s="1624"/>
      <c r="H15" s="1624"/>
      <c r="I15" s="1278"/>
    </row>
    <row r="16" spans="1:12" ht="12.75">
      <c r="A16" s="3295"/>
      <c r="B16" s="3350"/>
      <c r="C16" s="3354"/>
      <c r="D16" s="3341"/>
      <c r="E16" s="123" t="s">
        <v>1283</v>
      </c>
      <c r="F16" s="1624"/>
      <c r="G16" s="1624"/>
      <c r="H16" s="1624"/>
      <c r="I16" s="1278"/>
    </row>
    <row r="17" spans="1:36" ht="15">
      <c r="A17" s="1625" t="s">
        <v>1284</v>
      </c>
      <c r="B17" s="54"/>
      <c r="C17" s="124">
        <f>SUM(C5:C16)</f>
        <v>5</v>
      </c>
      <c r="D17" s="124">
        <f>SUM(D5:D16)</f>
        <v>5</v>
      </c>
      <c r="E17" s="121"/>
      <c r="F17" s="121"/>
      <c r="G17" s="121"/>
      <c r="H17" s="121"/>
      <c r="I17" s="121"/>
      <c r="K17" s="294"/>
      <c r="L17" s="294" t="s">
        <v>1285</v>
      </c>
      <c r="M17" s="294" t="s">
        <v>1286</v>
      </c>
    </row>
    <row r="18" spans="1:36" ht="31.9" customHeight="1" thickBot="1">
      <c r="A18" s="1626" t="s">
        <v>1287</v>
      </c>
      <c r="B18" s="1539"/>
      <c r="C18" s="125">
        <f>ROUND(C17/SUM(C17:D17),2)</f>
        <v>0.5</v>
      </c>
      <c r="D18" s="125">
        <f>1-C18</f>
        <v>0.5</v>
      </c>
      <c r="E18" s="3372" t="s">
        <v>2130</v>
      </c>
      <c r="F18" s="3373"/>
      <c r="G18" s="3373"/>
      <c r="H18" s="3373"/>
      <c r="I18" s="3373"/>
      <c r="K18" s="294" t="s">
        <v>1288</v>
      </c>
      <c r="L18" s="294">
        <f>IF(C1="",'数据-汇总表'!E3,SUMIF(项目类型,C1,'数据-汇总表'!E17:E26)+SUMIF(项目类型,C1,'数据-汇总表'!I17:I26))</f>
        <v>6436.4900000000007</v>
      </c>
      <c r="M18" s="294">
        <f>IF(C1="",'数据-汇总表'!E3,SUMIF(项目类型,C1,'数据-汇总表'!E17:E26))</f>
        <v>6436.4900000000007</v>
      </c>
    </row>
    <row r="19" spans="1:36" ht="15">
      <c r="A19" s="1627" t="s">
        <v>1289</v>
      </c>
      <c r="B19" s="1628" t="s">
        <v>1290</v>
      </c>
      <c r="C19" s="126">
        <f ca="1">SUMIF(INDIRECT("'"&amp;C4&amp;"'"&amp;"!A:A"),结果表!B19,INDIRECT("'"&amp;C4&amp;"'"&amp;"!B:B"))</f>
        <v>3948</v>
      </c>
      <c r="D19" s="127">
        <f ca="1">SUMIF(INDIRECT("'"&amp;D4&amp;"'"&amp;"!A:A"),结果表!B19,INDIRECT("'"&amp;D4&amp;"'"&amp;"!B:B"))</f>
        <v>3512</v>
      </c>
      <c r="E19" s="1627" t="s">
        <v>1291</v>
      </c>
      <c r="F19" s="1628" t="s">
        <v>1290</v>
      </c>
      <c r="G19" s="128">
        <f ca="1">ROUND(C19*$C$18+D19*$D$18,0)</f>
        <v>3730</v>
      </c>
      <c r="H19" s="1629" t="s">
        <v>1292</v>
      </c>
      <c r="I19" s="121"/>
      <c r="K19" s="294" t="s">
        <v>1293</v>
      </c>
      <c r="L19" s="294">
        <f>IF(C1="",'数据-汇总表'!D3,SUMIF(项目类型,C1,'数据-汇总表'!D17:D26)+SUMIF(项目类型,C1,'数据-汇总表'!H17:H27))</f>
        <v>9558.83</v>
      </c>
      <c r="M19" s="294">
        <f>IF(C1="",'数据-汇总表'!D3,SUMIF(项目类型,C1,'数据-汇总表'!D17:D26))</f>
        <v>9558.83</v>
      </c>
    </row>
    <row r="20" spans="1:36" ht="15">
      <c r="A20" s="1630"/>
      <c r="B20" s="43" t="s">
        <v>1294</v>
      </c>
      <c r="C20" s="129">
        <f ca="1">SUMIF(INDIRECT("'"&amp;C4&amp;"'"&amp;"!A:A"),结果表!B20,INDIRECT("'"&amp;C4&amp;"'"&amp;"!B:B"))</f>
        <v>6134</v>
      </c>
      <c r="D20" s="130">
        <f ca="1">SUMIF(INDIRECT("'"&amp;D4&amp;"'"&amp;"!A:A"),结果表!B20,INDIRECT("'"&amp;D4&amp;"'"&amp;"!B:B"))</f>
        <v>5456</v>
      </c>
      <c r="E20" s="1630"/>
      <c r="F20" s="43" t="s">
        <v>1294</v>
      </c>
      <c r="G20" s="131">
        <f ca="1">ROUND(C20*$C$18+D20*$D$18,0)</f>
        <v>5795</v>
      </c>
      <c r="H20" s="759" t="s">
        <v>1295</v>
      </c>
      <c r="I20" s="121"/>
    </row>
    <row r="21" spans="1:36" ht="15" customHeight="1" thickBot="1">
      <c r="A21" s="449"/>
      <c r="B21" s="93" t="s">
        <v>1296</v>
      </c>
      <c r="C21" s="677">
        <f ca="1">ROUND(C19*10000/L19,0)</f>
        <v>4130</v>
      </c>
      <c r="D21" s="678">
        <f ca="1">ROUND(D19*10000/L19,0)</f>
        <v>3674</v>
      </c>
      <c r="E21" s="449"/>
      <c r="F21" s="93" t="s">
        <v>1296</v>
      </c>
      <c r="G21" s="132">
        <f ca="1">ROUND(G19*10000/L19,0)</f>
        <v>3902</v>
      </c>
      <c r="H21" s="1631" t="s">
        <v>1295</v>
      </c>
      <c r="I21" s="121"/>
    </row>
    <row r="22" spans="1:36" ht="15" thickBot="1">
      <c r="A22" s="1561" t="s">
        <v>1297</v>
      </c>
      <c r="B22" s="1632"/>
      <c r="C22" s="1633"/>
      <c r="D22" s="679">
        <f ca="1">IF(C19&lt;D19,D19/C19-1,C19/D19-1)</f>
        <v>0.12414578587699321</v>
      </c>
      <c r="E22" s="121"/>
      <c r="F22" s="121"/>
      <c r="G22" s="121"/>
      <c r="H22" s="121"/>
      <c r="I22" s="121"/>
    </row>
    <row r="23" spans="1:36" ht="13.5" thickBot="1">
      <c r="A23" s="645"/>
      <c r="B23" s="645"/>
      <c r="C23" s="645"/>
      <c r="D23" s="645"/>
      <c r="E23" s="121"/>
      <c r="F23" s="121"/>
      <c r="G23" s="121"/>
      <c r="H23" s="121"/>
      <c r="I23" s="121"/>
    </row>
    <row r="24" spans="1:36" ht="14.25">
      <c r="A24" s="3365" t="s">
        <v>1298</v>
      </c>
      <c r="B24" s="1628" t="s">
        <v>1290</v>
      </c>
      <c r="C24" s="128">
        <f>IF(B30=0,0,D30)</f>
        <v>0</v>
      </c>
      <c r="D24" s="1634"/>
      <c r="E24" s="121"/>
      <c r="F24" s="121"/>
      <c r="G24" s="121"/>
      <c r="H24" s="121"/>
      <c r="I24" s="121"/>
    </row>
    <row r="25" spans="1:36" ht="14.25">
      <c r="A25" s="3366"/>
      <c r="B25" s="43" t="s">
        <v>1294</v>
      </c>
      <c r="C25" s="133">
        <f>IF(B30=0,0,C30)</f>
        <v>0</v>
      </c>
      <c r="D25" s="1635"/>
      <c r="E25" s="121"/>
      <c r="F25" s="121"/>
      <c r="G25" s="121"/>
      <c r="H25" s="121"/>
      <c r="I25" s="121"/>
    </row>
    <row r="26" spans="1:36" ht="13.5" customHeight="1">
      <c r="A26" s="1636" t="s">
        <v>1299</v>
      </c>
      <c r="B26" s="134" t="s">
        <v>1300</v>
      </c>
      <c r="C26" s="134" t="s">
        <v>1301</v>
      </c>
      <c r="D26" s="135" t="s">
        <v>1302</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1303</v>
      </c>
      <c r="B30" s="134"/>
      <c r="C30" s="134"/>
      <c r="D30" s="134"/>
      <c r="E30" s="2124" t="s">
        <v>2131</v>
      </c>
      <c r="F30" s="121"/>
      <c r="G30" s="121"/>
      <c r="H30" s="121"/>
      <c r="I30" s="121"/>
    </row>
    <row r="31" spans="1:36" s="2130" customFormat="1" ht="26.45"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1304</v>
      </c>
      <c r="B32" s="1532"/>
      <c r="C32" s="136">
        <f ca="1">IF(D32="总价",G19-C24,G20-C25)</f>
        <v>3730</v>
      </c>
      <c r="D32" s="1638" t="s">
        <v>3520</v>
      </c>
      <c r="E32" s="121"/>
      <c r="F32" s="121"/>
      <c r="G32" s="121"/>
      <c r="H32" s="121"/>
      <c r="I32" s="121"/>
    </row>
    <row r="33" spans="1:15" ht="15">
      <c r="A33" s="739" t="s">
        <v>1305</v>
      </c>
      <c r="B33" s="123"/>
      <c r="C33" s="1639" t="s">
        <v>3640</v>
      </c>
      <c r="D33" s="1640" t="s">
        <v>3519</v>
      </c>
      <c r="E33" s="1641" t="s">
        <v>1306</v>
      </c>
      <c r="F33" s="1642" t="str">
        <f>IF(D32="楼面单价","取值（单价）","取值（总价）")</f>
        <v>取值（总价）</v>
      </c>
      <c r="G33" s="121"/>
      <c r="H33" s="121"/>
      <c r="I33" s="121"/>
    </row>
    <row r="34" spans="1:15" ht="15">
      <c r="A34" s="1643"/>
      <c r="B34" s="1644" t="s">
        <v>1307</v>
      </c>
      <c r="C34" s="140">
        <f ca="1">IF(C33="自定义",F34,C32-C35)</f>
        <v>1755</v>
      </c>
      <c r="D34" s="807">
        <f ca="1">IF(C33="自定义",ROUND(C34/C32,3),IF(C33="收益比率",SUMIF(INDIRECT("'"&amp;D33&amp;"'"&amp;"!b:b"),"土地收益比率",INDIRECT("'"&amp;D33&amp;"'"&amp;"!c:c")),SUMIF(INDIRECT("'"&amp;D33&amp;"'"&amp;"!b:b"),"土地成本比率",INDIRECT("'"&amp;D33&amp;"'"&amp;"!c:c"))))</f>
        <v>0.47099999999999997</v>
      </c>
      <c r="E34" s="1645" t="s">
        <v>1308</v>
      </c>
      <c r="F34" s="1240">
        <f ca="1">G19-F35</f>
        <v>1755</v>
      </c>
      <c r="G34" s="121"/>
      <c r="H34" s="121"/>
      <c r="I34" s="121"/>
    </row>
    <row r="35" spans="1:15" ht="15.75" thickBot="1">
      <c r="A35" s="1646"/>
      <c r="B35" s="1647" t="s">
        <v>1309</v>
      </c>
      <c r="C35" s="1087">
        <f ca="1">IF(C33="自定义",F35,ROUND(C32*D35,0))</f>
        <v>1975</v>
      </c>
      <c r="D35" s="1088">
        <f ca="1">IF(C33="自定义",ROUND(C35/C32,3),IF(C33="收益比率",SUMIF(INDIRECT("'"&amp;D33&amp;"'"&amp;"!b:b"),"建筑物收益比率",INDIRECT("'"&amp;D33&amp;"'"&amp;"!c:c")),SUMIF(INDIRECT("'"&amp;D33&amp;"'"&amp;"!b:b"),"建筑物成本比率",INDIRECT("'"&amp;D33&amp;"'"&amp;"!c:c"))))</f>
        <v>0.52900000000000003</v>
      </c>
      <c r="E35" s="1648" t="s">
        <v>1310</v>
      </c>
      <c r="F35" s="146">
        <f ca="1">成本法!C51</f>
        <v>1975</v>
      </c>
      <c r="G35" s="121"/>
      <c r="H35" s="121"/>
      <c r="I35" s="121"/>
    </row>
    <row r="36" spans="1:15" ht="15.75" thickBot="1">
      <c r="A36" s="3342" t="s">
        <v>1311</v>
      </c>
      <c r="B36" s="1649" t="s">
        <v>1312</v>
      </c>
      <c r="C36" s="137"/>
      <c r="D36" s="1650"/>
      <c r="E36" s="1564"/>
      <c r="F36" s="1651"/>
      <c r="G36" s="121"/>
      <c r="H36" s="121"/>
      <c r="I36" s="121"/>
    </row>
    <row r="37" spans="1:15" ht="15.75" thickBot="1">
      <c r="A37" s="3343"/>
      <c r="B37" s="1552" t="s">
        <v>1313</v>
      </c>
      <c r="C37" s="139"/>
      <c r="D37" s="1068"/>
      <c r="E37" s="1068"/>
      <c r="F37" s="1651"/>
      <c r="G37" s="121"/>
      <c r="H37" s="121"/>
      <c r="I37" s="121"/>
    </row>
    <row r="38" spans="1:15" ht="15.75" thickBot="1">
      <c r="A38" s="3344"/>
      <c r="B38" s="1652" t="s">
        <v>1314</v>
      </c>
      <c r="C38" s="640"/>
      <c r="D38" s="1653" t="s">
        <v>1315</v>
      </c>
      <c r="E38" s="1068"/>
      <c r="F38" s="1651"/>
      <c r="G38" s="121"/>
      <c r="H38" s="121"/>
      <c r="I38" s="121"/>
    </row>
    <row r="39" spans="1:15" ht="15">
      <c r="A39" s="1630" t="s">
        <v>1316</v>
      </c>
      <c r="B39" s="1654" t="s">
        <v>1317</v>
      </c>
      <c r="C39" s="1655" t="s">
        <v>1318</v>
      </c>
      <c r="D39" s="1655" t="s">
        <v>1319</v>
      </c>
      <c r="E39" s="1656" t="s">
        <v>1320</v>
      </c>
      <c r="F39" s="1651"/>
      <c r="G39" s="121"/>
      <c r="H39" s="121"/>
      <c r="I39" s="121"/>
    </row>
    <row r="40" spans="1:15" ht="14.25">
      <c r="A40" s="1657" t="s">
        <v>1321</v>
      </c>
      <c r="B40" s="141"/>
      <c r="C40" s="142"/>
      <c r="D40" s="142"/>
      <c r="E40" s="143"/>
      <c r="F40" s="1651"/>
      <c r="G40" s="121"/>
      <c r="H40" s="121"/>
      <c r="I40" s="121"/>
    </row>
    <row r="41" spans="1:15" ht="14.25">
      <c r="A41" s="1657" t="s">
        <v>1322</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1323</v>
      </c>
      <c r="B44" s="1661"/>
      <c r="C44" s="1661"/>
      <c r="D44" s="1662"/>
      <c r="E44" s="1662"/>
      <c r="F44" s="1663"/>
      <c r="G44" s="1663"/>
      <c r="H44" s="1663"/>
      <c r="I44" s="1663"/>
      <c r="J44" s="1664" t="s">
        <v>1324</v>
      </c>
      <c r="K44" s="4"/>
      <c r="L44" s="4"/>
      <c r="M44" s="4"/>
      <c r="N44" s="4"/>
      <c r="O44" s="4"/>
    </row>
    <row r="45" spans="1:15" ht="14.25" customHeight="1" thickBot="1">
      <c r="A45" s="3362" t="s">
        <v>1325</v>
      </c>
      <c r="B45" s="3363"/>
      <c r="C45" s="3364"/>
      <c r="D45" s="147">
        <f ca="1">ROUND(H101*F45,0)</f>
        <v>3730</v>
      </c>
      <c r="E45" s="148" t="s">
        <v>1326</v>
      </c>
      <c r="F45" s="149">
        <v>1</v>
      </c>
      <c r="G45" s="150" t="s">
        <v>1327</v>
      </c>
      <c r="H45" s="121"/>
      <c r="I45" s="121"/>
      <c r="J45" s="3282" t="s">
        <v>1328</v>
      </c>
      <c r="K45" s="3282"/>
      <c r="L45" s="3282"/>
      <c r="M45" s="3282"/>
      <c r="N45" s="3282"/>
      <c r="O45" s="3282"/>
    </row>
    <row r="46" spans="1:15" ht="14.25" customHeight="1">
      <c r="A46" s="3359" t="s">
        <v>1329</v>
      </c>
      <c r="B46" s="3360"/>
      <c r="C46" s="3360"/>
      <c r="D46" s="3360"/>
      <c r="E46" s="3360"/>
      <c r="F46" s="3360"/>
      <c r="G46" s="3361"/>
      <c r="H46" s="1665"/>
      <c r="I46" s="151"/>
      <c r="J46" s="2304">
        <v>1</v>
      </c>
      <c r="K46" s="3283" t="s">
        <v>1330</v>
      </c>
      <c r="L46" s="3283"/>
      <c r="M46" s="3284"/>
      <c r="N46" s="3284"/>
      <c r="O46" s="3284"/>
    </row>
    <row r="47" spans="1:15" ht="12" customHeight="1">
      <c r="A47" s="152" t="s">
        <v>1331</v>
      </c>
      <c r="B47" s="153"/>
      <c r="C47" s="154"/>
      <c r="D47" s="1022" t="s">
        <v>1332</v>
      </c>
      <c r="E47" s="294" t="s">
        <v>1333</v>
      </c>
      <c r="F47" s="155" t="s">
        <v>1334</v>
      </c>
      <c r="G47" s="2327" t="s">
        <v>1335</v>
      </c>
      <c r="H47" s="2328"/>
      <c r="I47" s="151"/>
      <c r="J47" s="2304">
        <v>2</v>
      </c>
      <c r="K47" s="3283" t="s">
        <v>1336</v>
      </c>
      <c r="L47" s="3283"/>
      <c r="M47" s="3285">
        <f>'数据-取费表'!B2</f>
        <v>45547</v>
      </c>
      <c r="N47" s="3285"/>
      <c r="O47" s="3285"/>
    </row>
    <row r="48" spans="1:15" ht="25.5">
      <c r="A48" s="3345" t="s">
        <v>1337</v>
      </c>
      <c r="B48" s="3346"/>
      <c r="C48" s="3346"/>
      <c r="D48" s="12">
        <f ca="1">IF(H48="情况1",0,IF(H48="情况2",D52,IF(H48="情况3",D53,IF(H48="情况4",D54))))</f>
        <v>195</v>
      </c>
      <c r="E48" s="1253" t="str">
        <f>IF(H48="情况4","(销售额-原购置价)×税（费）率","销售额×税（费）率")</f>
        <v>销售额×税（费）率</v>
      </c>
      <c r="F48" s="2329">
        <f>IF(H48="情况1","免征",'数据-取费表'!B41)</f>
        <v>5.5000000000000007E-2</v>
      </c>
      <c r="G48" s="2330" t="s">
        <v>1338</v>
      </c>
      <c r="H48" s="2331" t="s">
        <v>3521</v>
      </c>
      <c r="I48" s="1665"/>
      <c r="J48" s="2304">
        <v>3</v>
      </c>
      <c r="K48" s="3283" t="s">
        <v>1339</v>
      </c>
      <c r="L48" s="3283"/>
      <c r="M48" s="3286">
        <f ca="1">H101</f>
        <v>3730</v>
      </c>
      <c r="N48" s="3286"/>
      <c r="O48" s="3286"/>
    </row>
    <row r="49" spans="1:35" ht="25.5" customHeight="1">
      <c r="A49" s="2149" t="s">
        <v>1340</v>
      </c>
      <c r="B49" s="3331" t="s">
        <v>1341</v>
      </c>
      <c r="C49" s="3331"/>
      <c r="D49" s="1475">
        <v>0</v>
      </c>
      <c r="E49" s="316" t="s">
        <v>1342</v>
      </c>
      <c r="F49" s="2228" t="s">
        <v>28</v>
      </c>
      <c r="G49" s="3314"/>
      <c r="H49" s="2131" t="s">
        <v>2133</v>
      </c>
      <c r="I49" s="2132"/>
      <c r="J49" s="2304">
        <v>4</v>
      </c>
      <c r="K49" s="3283" t="str">
        <f>IF(项目基本情况!E8="房地产抵押价值","房地产抵押价值","抵押担保权已注销时的房地产抵押价值")</f>
        <v>房地产抵押价值</v>
      </c>
      <c r="L49" s="3283"/>
      <c r="M49" s="3286">
        <f ca="1">IF(项目基本情况!E8="房地产抵押价值",H107,H109)</f>
        <v>3730</v>
      </c>
      <c r="N49" s="3286"/>
      <c r="O49" s="3286"/>
    </row>
    <row r="50" spans="1:35" ht="25.5" customHeight="1">
      <c r="A50" s="2332"/>
      <c r="B50" s="3331" t="s">
        <v>1343</v>
      </c>
      <c r="C50" s="3331"/>
      <c r="D50" s="2186"/>
      <c r="E50" s="323"/>
      <c r="F50" s="2228"/>
      <c r="G50" s="3315"/>
      <c r="H50" s="2133" t="s">
        <v>2134</v>
      </c>
      <c r="I50" s="2132"/>
      <c r="J50" s="3282" t="s">
        <v>1344</v>
      </c>
      <c r="K50" s="3282"/>
      <c r="L50" s="3282"/>
      <c r="M50" s="3282"/>
      <c r="N50" s="3282"/>
      <c r="O50" s="3282"/>
    </row>
    <row r="51" spans="1:35" ht="20.45" customHeight="1">
      <c r="A51" s="2333"/>
      <c r="B51" s="3331" t="s">
        <v>1345</v>
      </c>
      <c r="C51" s="3331"/>
      <c r="D51" s="1022"/>
      <c r="E51" s="319"/>
      <c r="F51" s="2228"/>
      <c r="G51" s="3316"/>
      <c r="H51" s="2133" t="s">
        <v>2135</v>
      </c>
      <c r="I51" s="2132"/>
      <c r="J51" s="2305" t="s">
        <v>1346</v>
      </c>
      <c r="K51" s="3283" t="s">
        <v>1347</v>
      </c>
      <c r="L51" s="3283"/>
      <c r="M51" s="2305" t="s">
        <v>1348</v>
      </c>
      <c r="N51" s="2305" t="s">
        <v>1349</v>
      </c>
      <c r="O51" s="2305" t="s">
        <v>1350</v>
      </c>
    </row>
    <row r="52" spans="1:35" ht="24" customHeight="1">
      <c r="A52" s="2150" t="s">
        <v>1351</v>
      </c>
      <c r="B52" s="3331" t="s">
        <v>1352</v>
      </c>
      <c r="C52" s="3331"/>
      <c r="D52" s="1022">
        <f ca="1">ROUND(D45*'数据-取费表'!B41/(1+'数据-取费表'!C42),0)</f>
        <v>195</v>
      </c>
      <c r="E52" s="1253" t="s">
        <v>1353</v>
      </c>
      <c r="F52" s="2334">
        <f>'数据-取费表'!B41</f>
        <v>5.5000000000000007E-2</v>
      </c>
      <c r="G52" s="2335"/>
      <c r="H52" s="2325"/>
      <c r="I52" s="1666"/>
      <c r="J52" s="2304">
        <v>1</v>
      </c>
      <c r="K52" s="3308" t="s">
        <v>1354</v>
      </c>
      <c r="L52" s="3308"/>
      <c r="M52" s="2306">
        <f ca="1">D48</f>
        <v>195</v>
      </c>
      <c r="N52" s="2304" t="str">
        <f>E48</f>
        <v>销售额×税（费）率</v>
      </c>
      <c r="O52" s="2307">
        <f>F48</f>
        <v>5.5000000000000007E-2</v>
      </c>
    </row>
    <row r="53" spans="1:35" ht="12" customHeight="1">
      <c r="A53" s="2150" t="s">
        <v>1355</v>
      </c>
      <c r="B53" s="3332" t="s">
        <v>2290</v>
      </c>
      <c r="C53" s="3333"/>
      <c r="D53" s="1022">
        <f ca="1">ROUND(D45*'数据-取费表'!B41/(1+'数据-取费表'!C42),0)</f>
        <v>195</v>
      </c>
      <c r="E53" s="1253" t="s">
        <v>1353</v>
      </c>
      <c r="F53" s="2334">
        <f>'数据-取费表'!B41</f>
        <v>5.5000000000000007E-2</v>
      </c>
      <c r="G53" s="2335"/>
      <c r="H53" s="2325"/>
      <c r="I53" s="1666"/>
      <c r="J53" s="2304">
        <v>2</v>
      </c>
      <c r="K53" s="3308" t="s">
        <v>1356</v>
      </c>
      <c r="L53" s="3308"/>
      <c r="M53" s="2306">
        <f t="shared" ref="M53:O54" ca="1" si="0">D55</f>
        <v>2</v>
      </c>
      <c r="N53" s="2304" t="str">
        <f t="shared" si="0"/>
        <v>销售额×税（费）率</v>
      </c>
      <c r="O53" s="2307">
        <f t="shared" si="0"/>
        <v>5.0000000000000001E-4</v>
      </c>
    </row>
    <row r="54" spans="1:35" ht="12" customHeight="1">
      <c r="A54" s="2150" t="s">
        <v>1357</v>
      </c>
      <c r="B54" s="3332" t="s">
        <v>2291</v>
      </c>
      <c r="C54" s="3333"/>
      <c r="D54" s="1022">
        <f ca="1">C68</f>
        <v>195</v>
      </c>
      <c r="E54" s="319" t="s">
        <v>1358</v>
      </c>
      <c r="F54" s="2334">
        <f>'数据-取费表'!B41</f>
        <v>5.5000000000000007E-2</v>
      </c>
      <c r="G54" s="2335"/>
      <c r="H54" s="2336"/>
      <c r="I54" s="1666"/>
      <c r="J54" s="2304">
        <v>3</v>
      </c>
      <c r="K54" s="3308" t="s">
        <v>1359</v>
      </c>
      <c r="L54" s="3308"/>
      <c r="M54" s="2306">
        <f t="shared" ca="1" si="0"/>
        <v>186</v>
      </c>
      <c r="N54" s="2304" t="str">
        <f t="shared" si="0"/>
        <v>增值额×税（费）率</v>
      </c>
      <c r="O54" s="2308" t="str">
        <f t="shared" si="0"/>
        <v>——</v>
      </c>
    </row>
    <row r="55" spans="1:35" ht="24" customHeight="1">
      <c r="A55" s="3368" t="s">
        <v>1360</v>
      </c>
      <c r="B55" s="3346"/>
      <c r="C55" s="3346"/>
      <c r="D55" s="12">
        <f ca="1">IF(H55="个人住宅",0,ROUND(D45*I55,0))</f>
        <v>2</v>
      </c>
      <c r="E55" s="1253" t="s">
        <v>1361</v>
      </c>
      <c r="F55" s="2334">
        <f>IF(H55="正常",I55,"免征")</f>
        <v>5.0000000000000001E-4</v>
      </c>
      <c r="G55" s="2335"/>
      <c r="H55" s="2331" t="s">
        <v>3522</v>
      </c>
      <c r="I55" s="157">
        <f>'数据-取费表'!B49</f>
        <v>5.0000000000000001E-4</v>
      </c>
      <c r="J55" s="2304">
        <f>IF(H59="非个人房产","",4)</f>
        <v>4</v>
      </c>
      <c r="K55" s="3308" t="str">
        <f>IF(H59="非个人房产","——","个人所得税")</f>
        <v>个人所得税</v>
      </c>
      <c r="L55" s="3308"/>
      <c r="M55" s="2309">
        <f ca="1">D59</f>
        <v>36</v>
      </c>
      <c r="N55" s="1880" t="str">
        <f>E59</f>
        <v>差额计税</v>
      </c>
      <c r="O55" s="2310">
        <f>F59</f>
        <v>0.01</v>
      </c>
    </row>
    <row r="56" spans="1:35" ht="24.75">
      <c r="A56" s="3368" t="s">
        <v>1362</v>
      </c>
      <c r="B56" s="3346"/>
      <c r="C56" s="3346"/>
      <c r="D56" s="12">
        <f ca="1">IF(H56="个人住宅",D57,D58)</f>
        <v>186</v>
      </c>
      <c r="E56" s="1253" t="s">
        <v>1363</v>
      </c>
      <c r="F56" s="2334" t="str">
        <f>IF(H56="正常",F58,"免征")</f>
        <v>——</v>
      </c>
      <c r="G56" s="2337" t="s">
        <v>1364</v>
      </c>
      <c r="H56" s="2338" t="s">
        <v>3522</v>
      </c>
      <c r="I56" s="1667"/>
      <c r="J56" s="2304" t="str">
        <f>IF(项目基本情况!K6="上海银行",IF(J55="",4,J55+1),"")</f>
        <v/>
      </c>
      <c r="K56" s="3289" t="str">
        <f>IF(项目基本情况!K6="上海银行","其他处置费用","")</f>
        <v/>
      </c>
      <c r="L56" s="3290"/>
      <c r="M56" s="2306" t="str">
        <f>IF(项目基本情况!K6="上海银行",M69,"")</f>
        <v/>
      </c>
      <c r="N56" s="3289" t="str">
        <f>IF(项目基本情况!K6="上海银行","包含处置中涉及的律师、诉讼、拍卖、评估等费用","")</f>
        <v/>
      </c>
      <c r="O56" s="3292"/>
    </row>
    <row r="57" spans="1:35" ht="12.75">
      <c r="A57" s="2150" t="s">
        <v>1340</v>
      </c>
      <c r="B57" s="3332" t="s">
        <v>1365</v>
      </c>
      <c r="C57" s="3333"/>
      <c r="D57" s="1475">
        <v>0</v>
      </c>
      <c r="E57" s="316" t="s">
        <v>1342</v>
      </c>
      <c r="F57" s="294"/>
      <c r="G57" s="2335"/>
      <c r="H57" s="2339"/>
      <c r="I57" s="1667"/>
      <c r="J57" s="3308">
        <f>IF(AND(J55="",J56=""),4,IF(项目基本情况!K6="上海银行",结果表!J56+1,结果表!J55+1))</f>
        <v>5</v>
      </c>
      <c r="K57" s="3308" t="s">
        <v>1366</v>
      </c>
      <c r="L57" s="2311" t="s">
        <v>1367</v>
      </c>
      <c r="M57" s="2312"/>
      <c r="N57" s="2313">
        <f ca="1">SUMIF(M52:M56,"&lt;9e307")</f>
        <v>419</v>
      </c>
      <c r="O57" s="2314"/>
      <c r="P57" s="2457">
        <f ca="1">N57/M49</f>
        <v>0.11233243967828418</v>
      </c>
    </row>
    <row r="58" spans="1:35" ht="24.75">
      <c r="A58" s="2150" t="s">
        <v>1351</v>
      </c>
      <c r="B58" s="3332" t="s">
        <v>1368</v>
      </c>
      <c r="C58" s="3331"/>
      <c r="D58" s="12">
        <f ca="1">IF(H58="转让取得",C81,C97)</f>
        <v>186</v>
      </c>
      <c r="E58" s="1253" t="s">
        <v>1363</v>
      </c>
      <c r="F58" s="294" t="s">
        <v>28</v>
      </c>
      <c r="G58" s="2335"/>
      <c r="H58" s="2338" t="s">
        <v>3523</v>
      </c>
      <c r="I58" s="1667"/>
      <c r="J58" s="3308"/>
      <c r="K58" s="3308"/>
      <c r="L58" s="2311" t="s">
        <v>1369</v>
      </c>
      <c r="M58" s="2315"/>
      <c r="N58" s="2316" t="str">
        <f ca="1">NUMBERSTRING(INT(N57*10000),2)&amp;"元整"</f>
        <v>肆佰壹拾玖万元整</v>
      </c>
      <c r="O58" s="2317"/>
    </row>
    <row r="59" spans="1:35" ht="24.75" thickBot="1">
      <c r="A59" s="3312" t="s">
        <v>1370</v>
      </c>
      <c r="B59" s="3313"/>
      <c r="C59" s="3313"/>
      <c r="D59" s="2340">
        <f ca="1">IF(H59="非个人房产","——",IF(H59="个人住宅（满五唯一有凭证）",0,IF(H59="个人其他（无凭证）",ROUND(D45*F59,0),ROUND(C67*F59,0))))</f>
        <v>36</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1364</v>
      </c>
      <c r="H59" s="2135"/>
      <c r="I59" s="2134" t="s">
        <v>2136</v>
      </c>
      <c r="J59" s="3310">
        <f>J57+1</f>
        <v>6</v>
      </c>
      <c r="K59" s="3308" t="s">
        <v>1371</v>
      </c>
      <c r="L59" s="2304" t="s">
        <v>1367</v>
      </c>
      <c r="M59" s="2318"/>
      <c r="N59" s="2319">
        <f ca="1">M49-N57</f>
        <v>3311</v>
      </c>
      <c r="O59" s="2320"/>
    </row>
    <row r="60" spans="1:35" ht="12" customHeight="1">
      <c r="A60" s="1668"/>
      <c r="B60" s="645"/>
      <c r="C60" s="645"/>
      <c r="D60" s="645"/>
      <c r="E60" s="1463"/>
      <c r="F60" s="1667"/>
      <c r="G60" s="1667"/>
      <c r="H60" s="151"/>
      <c r="I60" s="121"/>
      <c r="J60" s="3311"/>
      <c r="K60" s="3308"/>
      <c r="L60" s="2311" t="s">
        <v>1369</v>
      </c>
      <c r="M60" s="2315"/>
      <c r="N60" s="2316" t="str">
        <f ca="1">NUMBERSTRING(INT(N59*10000),2)&amp;"元整"</f>
        <v>叁仟叁佰壹拾壹万元整</v>
      </c>
      <c r="O60" s="2317"/>
    </row>
    <row r="61" spans="1:35" ht="13.5" thickBot="1">
      <c r="A61" s="3367" t="s">
        <v>1372</v>
      </c>
      <c r="B61" s="3367"/>
      <c r="C61" s="3367"/>
      <c r="D61" s="3367"/>
      <c r="E61" s="3367"/>
      <c r="F61" s="1667"/>
      <c r="G61" s="1667"/>
      <c r="H61" s="151"/>
      <c r="I61" s="121"/>
      <c r="J61" s="2304">
        <f>J59+1</f>
        <v>7</v>
      </c>
      <c r="K61" s="3308" t="s">
        <v>1373</v>
      </c>
      <c r="L61" s="3308"/>
      <c r="M61" s="2321"/>
      <c r="N61" s="2322">
        <f ca="1">ROUND(N59*10000/'数据-汇总表'!E3,0)</f>
        <v>5144</v>
      </c>
      <c r="O61" s="2323"/>
    </row>
    <row r="62" spans="1:35" ht="12.75">
      <c r="A62" s="3327" t="s">
        <v>1374</v>
      </c>
      <c r="B62" s="3328"/>
      <c r="C62" s="1862"/>
      <c r="D62" s="1862" t="s">
        <v>1375</v>
      </c>
      <c r="E62" s="158" t="s">
        <v>1376</v>
      </c>
      <c r="F62" s="1667"/>
      <c r="G62" s="1667"/>
      <c r="H62" s="151"/>
      <c r="I62" s="121"/>
    </row>
    <row r="63" spans="1:35" ht="12.75">
      <c r="A63" s="165" t="s">
        <v>330</v>
      </c>
      <c r="B63" s="159" t="s">
        <v>1377</v>
      </c>
      <c r="C63" s="2344">
        <f ca="1">ROUND((C64+C65)/(1+'数据-取费表'!C42),0)</f>
        <v>3552</v>
      </c>
      <c r="D63" s="159"/>
      <c r="E63" s="160"/>
      <c r="F63" s="1667"/>
      <c r="G63" s="1667"/>
      <c r="H63" s="151"/>
      <c r="I63" s="121"/>
      <c r="J63" s="3291" t="s">
        <v>1378</v>
      </c>
      <c r="K63" s="1242" t="s">
        <v>1379</v>
      </c>
      <c r="L63" s="1242">
        <f ca="1">IF(M49&gt;10000,M49*0.5%,IF(AND(M49&gt;1000,M49&lt;=10000),M49*1%,IF(AND(M49&gt;100,M49&lt;=1000),M49*3%,IF(AND(M49&gt;10,M49&lt;=100),M49*5%,M49*8%))))</f>
        <v>37.300000000000004</v>
      </c>
      <c r="M63" s="294">
        <f ca="1">ROUND(L63,1)</f>
        <v>37.299999999999997</v>
      </c>
      <c r="N63" s="2324"/>
      <c r="Z63" s="1620"/>
      <c r="AI63" s="1558"/>
    </row>
    <row r="64" spans="1:35" ht="14.25" customHeight="1">
      <c r="A64" s="161" t="s">
        <v>325</v>
      </c>
      <c r="B64" s="162" t="s">
        <v>1380</v>
      </c>
      <c r="C64" s="2345">
        <f ca="1">D45</f>
        <v>3730</v>
      </c>
      <c r="D64" s="162" t="s">
        <v>26</v>
      </c>
      <c r="E64" s="164"/>
      <c r="F64" s="1667"/>
      <c r="G64" s="1667"/>
      <c r="H64" s="151"/>
      <c r="I64" s="121"/>
      <c r="J64" s="3291"/>
      <c r="K64" s="1242" t="s">
        <v>1381</v>
      </c>
      <c r="L64" s="1242">
        <f ca="1">IF(M49&gt;2000,M49*0.5%,IF(AND(M49&gt;1000,M49&lt;=2000),M49*0.6%,IF(AND(M49&gt;500,M49&lt;=1000),M49*0.7%,IF(AND(M49&gt;200,M49&lt;=500),M49*0.8%,IF(AND(M49&gt;100,M49&lt;=200),M49*0.9%,IF(AND(M49&gt;50,M49&lt;=100),M49*1%,IF(AND(M49&gt;20,M49&lt;=50),M49*1.5%,IF(AND(M49&gt;10,M49&lt;=20),M49*2%,IF(AND(M49&gt;1,M49&lt;=10),M49*2.5%)))))))))</f>
        <v>18.650000000000002</v>
      </c>
      <c r="M64" s="294">
        <f t="shared" ref="M64:M65" ca="1" si="1">ROUND(L64,1)</f>
        <v>18.7</v>
      </c>
      <c r="N64" s="2325" t="s">
        <v>1382</v>
      </c>
      <c r="Z64" s="1620"/>
      <c r="AI64" s="1558"/>
    </row>
    <row r="65" spans="1:35" ht="14.25" customHeight="1">
      <c r="A65" s="161" t="s">
        <v>326</v>
      </c>
      <c r="B65" s="162" t="s">
        <v>1383</v>
      </c>
      <c r="C65" s="2361"/>
      <c r="D65" s="162"/>
      <c r="E65" s="164"/>
      <c r="F65" s="1667"/>
      <c r="G65" s="1667"/>
      <c r="H65" s="151"/>
      <c r="I65" s="121"/>
      <c r="J65" s="3291"/>
      <c r="K65" s="1242" t="s">
        <v>1384</v>
      </c>
      <c r="L65" s="1242">
        <f ca="1">IF(M49&gt;1000,M49*0.1%,IF(AND(M49&gt;500,M49&lt;=1000),M49*0.5%,IF(AND(M49&gt;50,M49&lt;=500),M49*1%,IF(AND(M49&gt;1,M49&lt;=50),M49*1.5%))))</f>
        <v>3.73</v>
      </c>
      <c r="M65" s="294">
        <f t="shared" ca="1" si="1"/>
        <v>3.7</v>
      </c>
      <c r="N65" s="2325" t="s">
        <v>1382</v>
      </c>
      <c r="Z65" s="1620"/>
      <c r="AI65" s="1558"/>
    </row>
    <row r="66" spans="1:35" ht="14.25" customHeight="1">
      <c r="A66" s="165" t="s">
        <v>327</v>
      </c>
      <c r="B66" s="166" t="s">
        <v>1385</v>
      </c>
      <c r="C66" s="2346"/>
      <c r="D66" s="166" t="s">
        <v>26</v>
      </c>
      <c r="E66" s="1248" t="s">
        <v>671</v>
      </c>
      <c r="F66" s="1667"/>
      <c r="G66" s="1667"/>
      <c r="H66" s="151"/>
      <c r="I66" s="121"/>
      <c r="J66" s="3291"/>
      <c r="K66" s="1242" t="s">
        <v>1386</v>
      </c>
      <c r="L66" s="1242">
        <f ca="1">M49*0.5%</f>
        <v>18.650000000000002</v>
      </c>
      <c r="M66" s="294">
        <f ca="1">IF(L66&gt;0.5,0.5,ROUND(L66,0))</f>
        <v>0.5</v>
      </c>
      <c r="N66" s="2325" t="s">
        <v>1387</v>
      </c>
      <c r="Z66" s="1620"/>
      <c r="AI66" s="1558"/>
    </row>
    <row r="67" spans="1:35" ht="14.25" customHeight="1">
      <c r="A67" s="165" t="s">
        <v>328</v>
      </c>
      <c r="B67" s="166" t="s">
        <v>1388</v>
      </c>
      <c r="C67" s="2347">
        <f ca="1">C63-C66</f>
        <v>3552</v>
      </c>
      <c r="D67" s="162" t="s">
        <v>26</v>
      </c>
      <c r="E67" s="164"/>
      <c r="F67" s="1667"/>
      <c r="G67" s="1667"/>
      <c r="H67" s="151"/>
      <c r="I67" s="121"/>
      <c r="J67" s="3291"/>
      <c r="K67" s="1242" t="s">
        <v>1389</v>
      </c>
      <c r="L67" s="1242">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4"/>
      <c r="Z67" s="1620"/>
      <c r="AI67" s="1558"/>
    </row>
    <row r="68" spans="1:35" ht="14.25" customHeight="1" thickBot="1">
      <c r="A68" s="168" t="s">
        <v>329</v>
      </c>
      <c r="B68" s="169" t="s">
        <v>1390</v>
      </c>
      <c r="C68" s="2348">
        <f ca="1">IF(C67&lt;=0,0,ROUND(C67*D68,0))</f>
        <v>195</v>
      </c>
      <c r="D68" s="2349">
        <f>'数据-取费表'!B41</f>
        <v>5.5000000000000007E-2</v>
      </c>
      <c r="E68" s="170"/>
      <c r="F68" s="1667"/>
      <c r="G68" s="1667"/>
      <c r="H68" s="151"/>
      <c r="I68" s="121"/>
      <c r="J68" s="3291"/>
      <c r="K68" s="1242" t="s">
        <v>1391</v>
      </c>
      <c r="L68" s="1242">
        <f ca="1">IF(M49&gt;10000,M49*0.5%,IF(AND(M49&gt;5000,M49&lt;=10000),M49*1%,IF(AND(M49&gt;1000,M49&lt;=5000),M49*2%,IF(AND(M49&gt;200,M49&lt;=1000),M49*3%,M49*5%))))</f>
        <v>74.600000000000009</v>
      </c>
      <c r="M68" s="294">
        <f ca="1">ROUND(L68,1)</f>
        <v>74.599999999999994</v>
      </c>
      <c r="N68" s="2324"/>
      <c r="Z68" s="1620"/>
      <c r="AI68" s="1558"/>
    </row>
    <row r="69" spans="1:35" ht="16.5" customHeight="1">
      <c r="A69" s="1669"/>
      <c r="B69" s="1670"/>
      <c r="C69" s="1671"/>
      <c r="D69" s="1672"/>
      <c r="E69" s="1673"/>
      <c r="F69" s="1463"/>
      <c r="G69" s="1463"/>
      <c r="H69" s="1464"/>
      <c r="I69" s="645"/>
      <c r="J69" s="3291"/>
      <c r="K69" s="1242" t="s">
        <v>1392</v>
      </c>
      <c r="L69" s="1242"/>
      <c r="M69" s="294">
        <f ca="1">ROUND(SUM(M63:M68),0)</f>
        <v>137</v>
      </c>
      <c r="N69" s="2326">
        <f ca="1">M69/M49</f>
        <v>3.6729222520107241E-2</v>
      </c>
      <c r="Z69" s="1620"/>
      <c r="AI69" s="1558"/>
    </row>
    <row r="70" spans="1:35" s="641" customFormat="1" ht="15" thickBot="1">
      <c r="A70" s="3335" t="s">
        <v>1393</v>
      </c>
      <c r="B70" s="3336"/>
      <c r="C70" s="3336"/>
      <c r="D70" s="3336"/>
      <c r="E70" s="3336"/>
      <c r="F70" s="3336"/>
      <c r="G70" s="3336"/>
      <c r="H70" s="3336"/>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27" t="s">
        <v>1374</v>
      </c>
      <c r="B71" s="3328"/>
      <c r="C71" s="1862"/>
      <c r="D71" s="1862" t="s">
        <v>1375</v>
      </c>
      <c r="E71" s="171" t="s">
        <v>1376</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5" t="s">
        <v>330</v>
      </c>
      <c r="B72" s="166" t="s">
        <v>1394</v>
      </c>
      <c r="C72" s="2347">
        <f ca="1">ROUND(D45/(1+'数据-取费表'!C42),0)</f>
        <v>3552</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5" t="s">
        <v>327</v>
      </c>
      <c r="B73" s="155" t="s">
        <v>1395</v>
      </c>
      <c r="C73" s="2347">
        <f ca="1">C74+C78</f>
        <v>18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1396</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1" t="s">
        <v>331</v>
      </c>
      <c r="B75" s="162" t="s">
        <v>1397</v>
      </c>
      <c r="C75" s="2350"/>
      <c r="D75" s="162" t="s">
        <v>26</v>
      </c>
      <c r="E75" s="176" t="s">
        <v>1398</v>
      </c>
      <c r="F75" s="2351"/>
      <c r="G75" s="176" t="s">
        <v>1399</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1400</v>
      </c>
      <c r="C76" s="162">
        <f>IF(F75="购房发票",ROUND(C75*H75*D76,0),0)</f>
        <v>0</v>
      </c>
      <c r="D76" s="2353">
        <v>0.05</v>
      </c>
      <c r="E76" s="3332" t="s">
        <v>1401</v>
      </c>
      <c r="F76" s="3331"/>
      <c r="G76" s="3331"/>
      <c r="H76" s="333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1402</v>
      </c>
      <c r="C77" s="162">
        <f>ROUND(IF(G77="个人住宅",0,IF(G77="2016年5月1日前购买",C75*D77,C75*D77/(1+'数据-取费表'!C42))),0)</f>
        <v>0</v>
      </c>
      <c r="D77" s="2354">
        <f>'数据-取费表'!B48+'数据-取费表'!B49</f>
        <v>3.0499999999999999E-2</v>
      </c>
      <c r="E77" s="12" t="s">
        <v>1403</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1404</v>
      </c>
      <c r="C78" s="2355">
        <f ca="1">ROUND(D45*D78/(1+'数据-取费表'!C42),0)</f>
        <v>18</v>
      </c>
      <c r="D78" s="2356">
        <f>'数据-取费表'!B43</f>
        <v>5.000000000000001E-3</v>
      </c>
      <c r="E78" s="3324" t="s">
        <v>1405</v>
      </c>
      <c r="F78" s="3325"/>
      <c r="G78" s="3325"/>
      <c r="H78" s="332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5" t="s">
        <v>334</v>
      </c>
      <c r="B79" s="166" t="s">
        <v>1406</v>
      </c>
      <c r="C79" s="2347">
        <f ca="1">C72-C73</f>
        <v>3534</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1407</v>
      </c>
      <c r="C80" s="2357">
        <f ca="1">IF(C79&lt;=0,0,C79/C73)</f>
        <v>196.33333333333334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8" t="s">
        <v>336</v>
      </c>
      <c r="B81" s="169" t="s">
        <v>1408</v>
      </c>
      <c r="C81" s="2358">
        <f ca="1">ROUND(IF(C79&lt;=0,0,IF(C80&gt;=200%,C79*60%-C73*35%,IF(C80&gt;=100%,C79*50%-C73*15%,IF(C80&gt;=50%,C79*40%-C73*5%,IF(C80&lt;50%,C79*30%,0))))),0)</f>
        <v>2114</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35" t="s">
        <v>1409</v>
      </c>
      <c r="B83" s="3336"/>
      <c r="C83" s="3336"/>
      <c r="D83" s="3336"/>
      <c r="E83" s="3336"/>
      <c r="F83" s="3336"/>
      <c r="G83" s="3336"/>
      <c r="H83" s="333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27" t="s">
        <v>1374</v>
      </c>
      <c r="B84" s="3328"/>
      <c r="C84" s="1862"/>
      <c r="D84" s="1862" t="s">
        <v>1375</v>
      </c>
      <c r="E84" s="171" t="s">
        <v>1376</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5" t="s">
        <v>330</v>
      </c>
      <c r="B85" s="166" t="s">
        <v>1394</v>
      </c>
      <c r="C85" s="2347">
        <f ca="1">ROUND(D45/(1+'数据-取费表'!C42),0)</f>
        <v>3552</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5" t="s">
        <v>327</v>
      </c>
      <c r="B86" s="155" t="s">
        <v>1395</v>
      </c>
      <c r="C86" s="2347">
        <f ca="1">IF(H88="仅含出让金",C87+C90+C91+C92+C93+C94,C87+C91+C92+C93+C94)</f>
        <v>2931.886</v>
      </c>
      <c r="D86" s="2360"/>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1" t="s">
        <v>325</v>
      </c>
      <c r="B87" s="162" t="s">
        <v>1410</v>
      </c>
      <c r="C87" s="2355">
        <f>C88+C89</f>
        <v>77.708600000000004</v>
      </c>
      <c r="D87" s="2356"/>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1" t="s">
        <v>331</v>
      </c>
      <c r="B88" s="162" t="s">
        <v>1411</v>
      </c>
      <c r="C88" s="2361">
        <f>[2]信息台账!A51/10000</f>
        <v>75.708600000000004</v>
      </c>
      <c r="D88" s="2356"/>
      <c r="E88" s="185" t="s">
        <v>1412</v>
      </c>
      <c r="F88" s="2145"/>
      <c r="G88" s="186" t="s">
        <v>1413</v>
      </c>
      <c r="H88" s="1681" t="s">
        <v>3524</v>
      </c>
      <c r="I88" s="1678"/>
      <c r="J88" s="2302" t="s">
        <v>2287</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1" t="s">
        <v>332</v>
      </c>
      <c r="B89" s="162" t="s">
        <v>1402</v>
      </c>
      <c r="C89" s="2355">
        <f>ROUND(C88*D89,0)</f>
        <v>2</v>
      </c>
      <c r="D89" s="2356">
        <f>'数据-取费表'!B48+'数据-取费表'!B49</f>
        <v>3.0499999999999999E-2</v>
      </c>
      <c r="E89" s="185"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1" t="s">
        <v>326</v>
      </c>
      <c r="B90" s="162" t="s">
        <v>1415</v>
      </c>
      <c r="C90" s="2361">
        <f>([2]信息台账!A48+[2]信息台账!A49)/10000</f>
        <v>700.43</v>
      </c>
      <c r="D90" s="2356"/>
      <c r="E90" s="185" t="str">
        <f>IF(H88="-","土地取得成本中已包含该笔费用"," ")</f>
        <v xml:space="preserve"> </v>
      </c>
      <c r="F90" s="2145"/>
      <c r="G90" s="3293" t="s">
        <v>2128</v>
      </c>
      <c r="H90" s="3294"/>
      <c r="I90" s="1678"/>
      <c r="J90" s="2302" t="s">
        <v>2288</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1416</v>
      </c>
      <c r="B91" s="162" t="s">
        <v>1417</v>
      </c>
      <c r="C91" s="2355">
        <f>IF(H91="——",成本法!C33,I91)</f>
        <v>1870.7474</v>
      </c>
      <c r="D91" s="2356"/>
      <c r="E91" s="3324" t="s">
        <v>1418</v>
      </c>
      <c r="F91" s="3325"/>
      <c r="G91" s="3325"/>
      <c r="H91" s="1682" t="s">
        <v>3525</v>
      </c>
      <c r="I91" s="1683">
        <f>ROUND(信息台账!B44/10000,4)</f>
        <v>1870.7474</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1419</v>
      </c>
      <c r="B92" s="162" t="s">
        <v>1420</v>
      </c>
      <c r="C92" s="2355">
        <f>ROUND((C87+C90+C91)*D92,0)</f>
        <v>265</v>
      </c>
      <c r="D92" s="2362">
        <v>0.1</v>
      </c>
      <c r="E92" s="3324" t="s">
        <v>1421</v>
      </c>
      <c r="F92" s="3325"/>
      <c r="G92" s="3325"/>
      <c r="H92" s="3326"/>
      <c r="I92" s="1678"/>
      <c r="J92" s="2303" t="s">
        <v>2289</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1422</v>
      </c>
      <c r="B93" s="162" t="s">
        <v>1404</v>
      </c>
      <c r="C93" s="2355">
        <f ca="1">ROUND(D45*D93/(1+'数据-取费表'!C42),0)</f>
        <v>18</v>
      </c>
      <c r="D93" s="2356">
        <f>'数据-取费表'!B43</f>
        <v>5.000000000000001E-3</v>
      </c>
      <c r="E93" s="3324" t="s">
        <v>1405</v>
      </c>
      <c r="F93" s="3325"/>
      <c r="G93" s="3325"/>
      <c r="H93" s="332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1423</v>
      </c>
      <c r="B94" s="162" t="s">
        <v>1424</v>
      </c>
      <c r="C94" s="2361">
        <v>0</v>
      </c>
      <c r="D94" s="2356">
        <v>0.2</v>
      </c>
      <c r="E94" s="3369" t="s">
        <v>1425</v>
      </c>
      <c r="F94" s="3370"/>
      <c r="G94" s="3370"/>
      <c r="H94" s="337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5" t="s">
        <v>334</v>
      </c>
      <c r="B95" s="166" t="s">
        <v>1406</v>
      </c>
      <c r="C95" s="2347">
        <f ca="1">ROUND(C85-C86,0)</f>
        <v>620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1407</v>
      </c>
      <c r="C96" s="2357">
        <f ca="1">IF(C95&lt;=0,0,C95/C86)</f>
        <v>0.21146797658571992</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8" t="s">
        <v>336</v>
      </c>
      <c r="B97" s="169" t="s">
        <v>1408</v>
      </c>
      <c r="C97" s="2358">
        <f ca="1">ROUND(IF(C95&lt;=0,0,IF(C96&gt;=200%,C95*60%-C86*35%,IF(C96&gt;=100%,C95*50%-C86*15%,IF(C96&gt;=50%,C95*40%-C86*5%,IF(C96&lt;50%,C95*30%,0))))),0)</f>
        <v>186</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1426</v>
      </c>
      <c r="B99" s="645"/>
      <c r="C99" s="645"/>
      <c r="D99" s="645"/>
      <c r="E99" s="1463"/>
      <c r="F99" s="1463"/>
      <c r="G99" s="1463"/>
      <c r="H99" s="1464"/>
      <c r="I99" s="121"/>
    </row>
    <row r="100" spans="1:35" ht="18.75" customHeight="1">
      <c r="A100" s="3272" t="s">
        <v>1427</v>
      </c>
      <c r="B100" s="3273"/>
      <c r="C100" s="3273"/>
      <c r="D100" s="3309"/>
      <c r="E100" s="3273" t="s">
        <v>1428</v>
      </c>
      <c r="F100" s="3273"/>
      <c r="G100" s="3273"/>
      <c r="H100" s="3309"/>
      <c r="I100" s="121"/>
    </row>
    <row r="101" spans="1:35" ht="18.75" customHeight="1">
      <c r="A101" s="3317" t="s">
        <v>1429</v>
      </c>
      <c r="B101" s="3318"/>
      <c r="C101" s="2364" t="str">
        <f>C4</f>
        <v>成本法</v>
      </c>
      <c r="D101" s="2365" t="str">
        <f>D4</f>
        <v>收益法</v>
      </c>
      <c r="E101" s="3287" t="s">
        <v>1430</v>
      </c>
      <c r="F101" s="3288"/>
      <c r="G101" s="1684" t="s">
        <v>1431</v>
      </c>
      <c r="H101" s="2374">
        <f ca="1">H118</f>
        <v>3730</v>
      </c>
      <c r="I101" s="121"/>
    </row>
    <row r="102" spans="1:35" ht="18.75" customHeight="1">
      <c r="A102" s="3319" t="s">
        <v>1432</v>
      </c>
      <c r="B102" s="2363" t="s">
        <v>1431</v>
      </c>
      <c r="C102" s="2364">
        <f ca="1">IF(D32="楼面单价",ROUND(C19,0),C19)</f>
        <v>3948</v>
      </c>
      <c r="D102" s="2365">
        <f ca="1">IF(D32="楼面单价",ROUND(D19,0),D19)</f>
        <v>3512</v>
      </c>
      <c r="E102" s="3287"/>
      <c r="F102" s="3288"/>
      <c r="G102" s="1684" t="s">
        <v>1433</v>
      </c>
      <c r="H102" s="2335">
        <f ca="1">I118</f>
        <v>5795</v>
      </c>
      <c r="I102" s="121"/>
    </row>
    <row r="103" spans="1:35" ht="42.75" customHeight="1">
      <c r="A103" s="3319"/>
      <c r="B103" s="2363" t="s">
        <v>1433</v>
      </c>
      <c r="C103" s="2366">
        <f ca="1">C20</f>
        <v>6134</v>
      </c>
      <c r="D103" s="2367">
        <f ca="1">D20</f>
        <v>5456</v>
      </c>
      <c r="E103" s="3280" t="s">
        <v>1434</v>
      </c>
      <c r="F103" s="3281"/>
      <c r="G103" s="1685" t="s">
        <v>1435</v>
      </c>
      <c r="H103" s="2374">
        <f>IF(D36="正常操作",H104+H105+H106,H105+H106)</f>
        <v>0</v>
      </c>
      <c r="I103" s="121"/>
    </row>
    <row r="104" spans="1:35" ht="18.75" customHeight="1">
      <c r="A104" s="3319" t="s">
        <v>1436</v>
      </c>
      <c r="B104" s="2368" t="s">
        <v>1431</v>
      </c>
      <c r="C104" s="2369">
        <f ca="1">H118</f>
        <v>3730</v>
      </c>
      <c r="D104" s="2370"/>
      <c r="E104" s="1552" t="s">
        <v>1437</v>
      </c>
      <c r="F104" s="1545"/>
      <c r="G104" s="1685" t="s">
        <v>1435</v>
      </c>
      <c r="H104" s="2375">
        <f>IF(D36="同一抵押权人同一抵押物续贷",C36&amp;"（续贷，未扣减，详见特别提示）",C36)</f>
        <v>0</v>
      </c>
      <c r="I104" s="121"/>
    </row>
    <row r="105" spans="1:35" ht="18.75" customHeight="1" thickBot="1">
      <c r="A105" s="3329"/>
      <c r="B105" s="2371" t="s">
        <v>1433</v>
      </c>
      <c r="C105" s="2372">
        <f ca="1">I118</f>
        <v>5795</v>
      </c>
      <c r="D105" s="2373"/>
      <c r="E105" s="1552" t="s">
        <v>1438</v>
      </c>
      <c r="F105" s="1545"/>
      <c r="G105" s="1685" t="s">
        <v>1435</v>
      </c>
      <c r="H105" s="2376">
        <f>C37</f>
        <v>0</v>
      </c>
      <c r="I105" s="121"/>
    </row>
    <row r="106" spans="1:35" ht="18.75" customHeight="1">
      <c r="A106" s="645" t="s">
        <v>1439</v>
      </c>
      <c r="B106" s="645"/>
      <c r="C106" s="645"/>
      <c r="D106" s="645"/>
      <c r="E106" s="1686" t="s">
        <v>1440</v>
      </c>
      <c r="F106" s="1545"/>
      <c r="G106" s="1685" t="s">
        <v>1435</v>
      </c>
      <c r="H106" s="2376">
        <f>C38</f>
        <v>0</v>
      </c>
      <c r="I106" s="121"/>
    </row>
    <row r="107" spans="1:35" ht="18.75" customHeight="1">
      <c r="A107" s="121"/>
      <c r="B107" s="121"/>
      <c r="C107" s="121"/>
      <c r="D107" s="121"/>
      <c r="E107" s="3320" t="str">
        <f>IF(项目基本情况!E8="已注销","——","3.房地产抵押价值")</f>
        <v>3.房地产抵押价值</v>
      </c>
      <c r="F107" s="3288"/>
      <c r="G107" s="1684" t="s">
        <v>1431</v>
      </c>
      <c r="H107" s="2374">
        <f ca="1">IF(E107="——","——",H101-H103)</f>
        <v>3730</v>
      </c>
      <c r="I107" s="121"/>
    </row>
    <row r="108" spans="1:35" ht="18.75" customHeight="1">
      <c r="A108" s="121"/>
      <c r="B108" s="121"/>
      <c r="C108" s="121"/>
      <c r="D108" s="121"/>
      <c r="E108" s="3320"/>
      <c r="F108" s="3288"/>
      <c r="G108" s="1684" t="s">
        <v>1433</v>
      </c>
      <c r="H108" s="2335">
        <f ca="1">IF(H107=H101,H102,ROUND(H107*10000/'数据-汇总表'!E3,0))</f>
        <v>5795</v>
      </c>
      <c r="I108" s="121"/>
    </row>
    <row r="109" spans="1:35" ht="18.75" customHeight="1">
      <c r="A109" s="121"/>
      <c r="B109" s="121"/>
      <c r="C109" s="121"/>
      <c r="D109" s="121"/>
      <c r="E109" s="3320" t="str">
        <f>IF(项目基本情况!E8="已注销及未注销","4.抵押担保权已注销时的房地产抵押价值",IF(项目基本情况!E8="已注销","3.抵押担保权已注销时的房地产抵押价值","——"))</f>
        <v>——</v>
      </c>
      <c r="F109" s="3288"/>
      <c r="G109" s="1684" t="s">
        <v>1431</v>
      </c>
      <c r="H109" s="2377" t="str">
        <f>IF(E109="——","——",H101-H105-H106)</f>
        <v>——</v>
      </c>
      <c r="I109" s="121"/>
    </row>
    <row r="110" spans="1:35" ht="18.75" customHeight="1">
      <c r="A110" s="121"/>
      <c r="B110" s="121"/>
      <c r="C110" s="121"/>
      <c r="D110" s="121"/>
      <c r="E110" s="3320"/>
      <c r="F110" s="3288"/>
      <c r="G110" s="1684" t="s">
        <v>1433</v>
      </c>
      <c r="H110" s="2335"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4.抵押净值</v>
      </c>
      <c r="F111" s="3307"/>
      <c r="G111" s="1684" t="s">
        <v>1431</v>
      </c>
      <c r="H111" s="2374">
        <f ca="1">IF(E111="——","——",N59)</f>
        <v>3311</v>
      </c>
      <c r="I111" s="121"/>
    </row>
    <row r="112" spans="1:35" ht="18.75" customHeight="1" thickBot="1">
      <c r="A112" s="121"/>
      <c r="B112" s="121"/>
      <c r="C112" s="121"/>
      <c r="D112" s="121"/>
      <c r="E112" s="3322"/>
      <c r="F112" s="3323"/>
      <c r="G112" s="1687" t="s">
        <v>1433</v>
      </c>
      <c r="H112" s="2378">
        <f ca="1">IF(E111="——","——",N61)</f>
        <v>5144</v>
      </c>
      <c r="I112" s="121"/>
    </row>
    <row r="113" spans="1:27" ht="18.75" customHeight="1">
      <c r="A113" s="121"/>
      <c r="B113" s="121"/>
      <c r="C113" s="121"/>
      <c r="D113" s="121"/>
      <c r="E113" s="3330" t="s">
        <v>1439</v>
      </c>
      <c r="F113" s="3330"/>
      <c r="G113" s="3330"/>
      <c r="H113" s="3330"/>
      <c r="I113" s="121"/>
    </row>
    <row r="114" spans="1:27" ht="3.75" customHeight="1">
      <c r="A114" s="645"/>
      <c r="B114" s="645"/>
      <c r="C114" s="645"/>
      <c r="D114" s="645"/>
      <c r="E114" s="1668"/>
      <c r="F114" s="1668"/>
      <c r="G114" s="1668"/>
      <c r="H114" s="1668"/>
      <c r="I114" s="645"/>
    </row>
    <row r="115" spans="1:27" ht="18.75" customHeight="1">
      <c r="A115" s="3338" t="s">
        <v>1441</v>
      </c>
      <c r="B115" s="3339"/>
      <c r="C115" s="3339"/>
      <c r="D115" s="3339"/>
      <c r="E115" s="3339"/>
      <c r="F115" s="3339"/>
      <c r="G115" s="3339"/>
      <c r="H115" s="3339"/>
      <c r="I115" s="3340"/>
    </row>
    <row r="116" spans="1:27" ht="27" customHeight="1">
      <c r="A116" s="3295" t="s">
        <v>1442</v>
      </c>
      <c r="B116" s="3299" t="s">
        <v>1443</v>
      </c>
      <c r="C116" s="3299" t="s">
        <v>1444</v>
      </c>
      <c r="D116" s="3305" t="s">
        <v>1445</v>
      </c>
      <c r="E116" s="3306"/>
      <c r="F116" s="3337" t="s">
        <v>1446</v>
      </c>
      <c r="G116" s="3337"/>
      <c r="H116" s="3295" t="s">
        <v>1447</v>
      </c>
      <c r="I116" s="3295"/>
    </row>
    <row r="117" spans="1:27" ht="18.75" customHeight="1">
      <c r="A117" s="3295"/>
      <c r="B117" s="3300"/>
      <c r="C117" s="3300"/>
      <c r="D117" s="2147" t="s">
        <v>1448</v>
      </c>
      <c r="E117" s="2147" t="s">
        <v>1449</v>
      </c>
      <c r="F117" s="2147" t="s">
        <v>1448</v>
      </c>
      <c r="G117" s="2147" t="s">
        <v>1450</v>
      </c>
      <c r="H117" s="2147" t="s">
        <v>1448</v>
      </c>
      <c r="I117" s="2147" t="s">
        <v>1450</v>
      </c>
    </row>
    <row r="118" spans="1:27" ht="24.75" customHeight="1">
      <c r="A118" s="2379" t="str">
        <f>项目基本情况!S2</f>
        <v>北京市平谷区兴谷街道兴谷路29号院房地产</v>
      </c>
      <c r="B118" s="2147">
        <f>M18</f>
        <v>6436.4900000000007</v>
      </c>
      <c r="C118" s="2147">
        <f>M19</f>
        <v>9558.83</v>
      </c>
      <c r="D118" s="2147">
        <f ca="1">ROUND(IF(D32="总价",C34,E118*B118/10000),0)</f>
        <v>1755</v>
      </c>
      <c r="E118" s="2147">
        <f ca="1">ROUND(IF(C33="自定义",IF(D32="楼面单价",C34,D118*10000/B118),I118-G118),0)</f>
        <v>2727</v>
      </c>
      <c r="F118" s="2147">
        <f ca="1">ROUND(IF(D32="总价",C35,G118*B118/10000),0)</f>
        <v>1975</v>
      </c>
      <c r="G118" s="2147">
        <f ca="1">ROUND(IF(D32="楼面单价",C35,F118*10000/B118),0)</f>
        <v>3068</v>
      </c>
      <c r="H118" s="2147">
        <f ca="1">ROUND(IF(D32="总价",C32,I118*B118/10000),0)</f>
        <v>3730</v>
      </c>
      <c r="I118" s="2147">
        <f ca="1">ROUND(IF(D32="楼面单价",C32,H118*10000/B118),0)</f>
        <v>5795</v>
      </c>
      <c r="K118" s="683">
        <f ca="1">D118/(C118/666.67)</f>
        <v>122.40052914425719</v>
      </c>
    </row>
    <row r="119" spans="1:27" ht="18.75" customHeight="1">
      <c r="A119" s="3295" t="s">
        <v>1451</v>
      </c>
      <c r="B119" s="3295"/>
      <c r="C119" s="3295"/>
      <c r="D119" s="3301" t="str">
        <f ca="1">NUMBERSTRING(INT(D118*10000),2)&amp;"元整"</f>
        <v>壹仟柒佰伍拾伍万元整</v>
      </c>
      <c r="E119" s="3302"/>
      <c r="F119" s="3301" t="str">
        <f ca="1">NUMBERSTRING(INT(F118*10000),2)&amp;"元整"</f>
        <v>壹仟玖佰柒拾伍万元整</v>
      </c>
      <c r="G119" s="3302"/>
      <c r="H119" s="3301" t="str">
        <f ca="1">NUMBERSTRING(INT(H118*10000),2)&amp;"元整"</f>
        <v>叁仟柒佰叁拾万元整</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1" t="s">
        <v>1451</v>
      </c>
      <c r="B121" s="3303"/>
      <c r="C121" s="3302"/>
      <c r="D121" s="3301" t="str">
        <f>IF(D120=0,"零元整",NUMBERSTRING(INT(D120*10000),2)&amp;"元整")</f>
        <v>零元整</v>
      </c>
      <c r="E121" s="3303"/>
      <c r="F121" s="3303"/>
      <c r="G121" s="3303"/>
      <c r="H121" s="3303"/>
      <c r="I121" s="3302"/>
      <c r="AA121" s="683"/>
    </row>
    <row r="122" spans="1:27" ht="18.75" customHeight="1">
      <c r="A122" s="3307" t="str">
        <f>IF(项目基本情况!B9="房地产市场价值","",MID(E107,3,LEN(E107)-2))</f>
        <v>房地产抵押价值</v>
      </c>
      <c r="B122" s="3307"/>
      <c r="C122" s="3307"/>
      <c r="D122" s="3296">
        <f ca="1">H107</f>
        <v>3730</v>
      </c>
      <c r="E122" s="3297"/>
      <c r="F122" s="3297"/>
      <c r="G122" s="3297"/>
      <c r="H122" s="3297"/>
      <c r="I122" s="3298"/>
      <c r="AA122" s="683"/>
    </row>
    <row r="123" spans="1:27" ht="18.75" customHeight="1">
      <c r="A123" s="3295" t="s">
        <v>1451</v>
      </c>
      <c r="B123" s="3295"/>
      <c r="C123" s="3295"/>
      <c r="D123" s="3301" t="str">
        <f ca="1">NUMBERSTRING(INT(D122*10000),2)&amp;"元整"</f>
        <v>叁仟柒佰叁拾万元整</v>
      </c>
      <c r="E123" s="3303"/>
      <c r="F123" s="3303"/>
      <c r="G123" s="3303"/>
      <c r="H123" s="3303"/>
      <c r="I123" s="3302"/>
      <c r="AA123" s="683"/>
    </row>
    <row r="124" spans="1:27" ht="18.75" customHeight="1">
      <c r="A124" s="3307" t="str">
        <f>IF(项目基本情况!B9="房地产市场价值","",MID(E109,3,LEN(E109)-2))</f>
        <v/>
      </c>
      <c r="B124" s="3307"/>
      <c r="C124" s="3307"/>
      <c r="D124" s="3296" t="str">
        <f>H109</f>
        <v>——</v>
      </c>
      <c r="E124" s="3297"/>
      <c r="F124" s="3297"/>
      <c r="G124" s="3297"/>
      <c r="H124" s="3297"/>
      <c r="I124" s="3298"/>
      <c r="AA124" s="683"/>
    </row>
    <row r="125" spans="1:27" ht="18.75" customHeight="1">
      <c r="A125" s="3295" t="s">
        <v>1451</v>
      </c>
      <c r="B125" s="3295"/>
      <c r="C125" s="3295"/>
      <c r="D125" s="3301" t="e">
        <f>NUMBERSTRING(INT(D124*10000),2)&amp;"元整"</f>
        <v>#VALUE!</v>
      </c>
      <c r="E125" s="3303"/>
      <c r="F125" s="3303"/>
      <c r="G125" s="3303"/>
      <c r="H125" s="3303"/>
      <c r="I125" s="3302"/>
      <c r="AA125" s="683"/>
    </row>
    <row r="126" spans="1:27" ht="18.75" customHeight="1">
      <c r="A126" s="3307" t="str">
        <f>IF(项目基本情况!B9="房地产市场价值","",MID(E111,3,LEN(E111)-2))</f>
        <v>抵押净值</v>
      </c>
      <c r="B126" s="3307"/>
      <c r="C126" s="3307"/>
      <c r="D126" s="3296">
        <f ca="1">H111</f>
        <v>3311</v>
      </c>
      <c r="E126" s="3297"/>
      <c r="F126" s="3297"/>
      <c r="G126" s="3297"/>
      <c r="H126" s="3297"/>
      <c r="I126" s="3298"/>
      <c r="AA126" s="683"/>
    </row>
    <row r="127" spans="1:27" ht="18.75" customHeight="1">
      <c r="A127" s="3295" t="s">
        <v>1451</v>
      </c>
      <c r="B127" s="3295"/>
      <c r="C127" s="3295"/>
      <c r="D127" s="3301" t="str">
        <f ca="1">NUMBERSTRING(INT(D126*10000),2)&amp;"元整"</f>
        <v>叁仟叁佰壹拾壹万元整</v>
      </c>
      <c r="E127" s="3303"/>
      <c r="F127" s="3303"/>
      <c r="G127" s="3303"/>
      <c r="H127" s="3303"/>
      <c r="I127" s="3302"/>
      <c r="AA127" s="683"/>
    </row>
    <row r="128" spans="1:27" ht="21.75" customHeight="1">
      <c r="A128" s="3304" t="s">
        <v>1452</v>
      </c>
      <c r="B128" s="3304"/>
      <c r="C128" s="3304"/>
      <c r="D128" s="3304"/>
      <c r="E128" s="3304"/>
      <c r="F128" s="3304"/>
      <c r="G128" s="3304"/>
      <c r="H128" s="3304"/>
      <c r="I128" s="3304"/>
      <c r="AA128" s="683"/>
    </row>
    <row r="129" spans="1:35" ht="21.75" customHeight="1">
      <c r="A129" s="1688" t="s">
        <v>1453</v>
      </c>
      <c r="B129" s="1689"/>
      <c r="C129" s="1690" t="s">
        <v>1454</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1455</v>
      </c>
      <c r="G135" s="1703"/>
      <c r="H135" s="1703"/>
      <c r="I135" s="1704" t="s">
        <v>1456</v>
      </c>
    </row>
    <row r="136" spans="1:35" ht="21.75" customHeight="1">
      <c r="A136" s="683"/>
      <c r="B136" s="1705"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1458</v>
      </c>
    </row>
    <row r="139" spans="1:35" ht="21.75" customHeight="1">
      <c r="A139" s="683"/>
      <c r="B139" s="1705" t="s">
        <v>1459</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1458</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1"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7"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北京市平谷区兴谷街道兴谷路29号院房地产抵押价值预评估</v>
      </c>
      <c r="C37" s="3190"/>
      <c r="D37" s="3190"/>
      <c r="E37" s="3190"/>
      <c r="F37" s="3190"/>
      <c r="G37" s="3190"/>
      <c r="H37" s="3190"/>
      <c r="I37" s="3190"/>
    </row>
    <row r="38" spans="1:9">
      <c r="A38" s="793"/>
      <c r="B38" s="793"/>
    </row>
    <row r="39" spans="1:9">
      <c r="A39" s="791" t="s">
        <v>371</v>
      </c>
      <c r="B39" s="791" t="s">
        <v>373</v>
      </c>
    </row>
    <row r="40" spans="1:9">
      <c r="A40" s="791"/>
      <c r="B40" s="1375" t="str">
        <f>项目基本情况!B5</f>
        <v>恒丰银行股份有限公司北京分行</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ht="12.75">
      <c r="B46" s="1375"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1" t="s">
        <v>3</v>
      </c>
      <c r="C1" s="190"/>
      <c r="D1" s="190"/>
      <c r="E1" s="190"/>
      <c r="F1" s="190"/>
      <c r="G1" s="1060">
        <f>MATCH(B1,'数据-取费表'!A6:A16,0)+5</f>
        <v>6</v>
      </c>
    </row>
    <row r="2" spans="1:9" s="192" customFormat="1" ht="18" customHeight="1">
      <c r="A2" s="193" t="s">
        <v>1461</v>
      </c>
      <c r="B2" s="194">
        <f ca="1">IF(D2="——",C52,C52-E2)</f>
        <v>3948</v>
      </c>
      <c r="C2" s="191" t="s">
        <v>1462</v>
      </c>
      <c r="D2" s="1708" t="s">
        <v>43</v>
      </c>
      <c r="E2" s="1086" t="e">
        <f ca="1">SUMIF(INDIRECT("'"&amp;G2&amp;"'"&amp;"!A:A"),"承租人权益价值",INDIRECT("'"&amp;G2&amp;"'"&amp;"!c:c"))</f>
        <v>#REF!</v>
      </c>
      <c r="F2" s="1709" t="s">
        <v>1462</v>
      </c>
      <c r="G2" s="1710"/>
    </row>
    <row r="3" spans="1:9" s="192" customFormat="1" ht="18" customHeight="1" thickBot="1">
      <c r="A3" s="195" t="s">
        <v>1463</v>
      </c>
      <c r="B3" s="196">
        <f ca="1">ROUND(B2*10000/(IF(B1="",'数据-汇总表'!E3,INDIRECT("'数据-取费表'!k"&amp;$G$1))),0)</f>
        <v>6134</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1655</v>
      </c>
      <c r="D5" s="203" t="s">
        <v>1468</v>
      </c>
      <c r="E5" s="204" t="s">
        <v>1469</v>
      </c>
      <c r="F5" s="204" t="s">
        <v>1470</v>
      </c>
      <c r="G5" s="205"/>
    </row>
    <row r="6" spans="1:9" s="206" customFormat="1" ht="13.5" customHeight="1">
      <c r="A6" s="731" t="s">
        <v>1471</v>
      </c>
      <c r="B6" s="207" t="s">
        <v>1472</v>
      </c>
      <c r="C6" s="208">
        <f>ROUND('土地比较法-工业'!C43*'数据-基础表'!A3/10000,0)</f>
        <v>1557</v>
      </c>
      <c r="D6" s="209"/>
      <c r="E6" s="210"/>
      <c r="F6" s="210"/>
      <c r="G6" s="211"/>
    </row>
    <row r="7" spans="1:9" s="206" customFormat="1" ht="13.5" customHeight="1">
      <c r="A7" s="731" t="s">
        <v>1473</v>
      </c>
      <c r="B7" s="207" t="s">
        <v>1474</v>
      </c>
      <c r="C7" s="212">
        <f>ROUND(C6*F7,0)</f>
        <v>47</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51</v>
      </c>
      <c r="D8" s="214"/>
      <c r="E8" s="212"/>
      <c r="F8" s="213"/>
      <c r="G8" s="1711" t="s">
        <v>3526</v>
      </c>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0</v>
      </c>
      <c r="F9" s="213"/>
      <c r="G9" s="1712"/>
      <c r="H9" s="3167">
        <f ca="1">C10</f>
        <v>51</v>
      </c>
      <c r="I9" s="1713" t="s">
        <v>1478</v>
      </c>
    </row>
    <row r="10" spans="1:9" s="206" customFormat="1" ht="13.5" customHeight="1">
      <c r="A10" s="732" t="s">
        <v>356</v>
      </c>
      <c r="B10" s="216" t="s">
        <v>1479</v>
      </c>
      <c r="C10" s="217">
        <f ca="1">ROUND(D10*E10/10000,0)</f>
        <v>51</v>
      </c>
      <c r="D10" s="794">
        <f ca="1">IF(B1="",'数据-汇总表'!E6,IF(INDIRECT("'数据-取费表'!c"&amp;$G$1)="住宅",INDIRECT("'数据-取费表'!s"&amp;$G$1),INDIRECT("'数据-取费表'!k"&amp;$G$1)+INDIRECT("'数据-取费表'!s"&amp;$G$1)))</f>
        <v>6436.4900000000007</v>
      </c>
      <c r="E10" s="217">
        <f>'数据-取费表'!B28</f>
        <v>80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6436.4900000000007</v>
      </c>
      <c r="E19" s="203">
        <f>'数据-取费表'!B31</f>
        <v>200</v>
      </c>
      <c r="F19" s="223"/>
      <c r="G19" s="1711" t="s">
        <v>3527</v>
      </c>
    </row>
    <row r="20" spans="1:7" s="206" customFormat="1" ht="13.5" customHeight="1">
      <c r="A20" s="247" t="s">
        <v>1492</v>
      </c>
      <c r="B20" s="202" t="s">
        <v>1493</v>
      </c>
      <c r="C20" s="224">
        <f ca="1">ROUND((C5+C19)*F20,0)</f>
        <v>33</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9">
        <f ca="1">ROUND(SUM(C23:C25),0)</f>
        <v>56</v>
      </c>
      <c r="D22" s="227">
        <f ca="1">C26</f>
        <v>2.9999999999999997E-4</v>
      </c>
      <c r="E22" s="228" t="s">
        <v>1497</v>
      </c>
      <c r="F22" s="229">
        <f ca="1">'数据-取费表'!B40</f>
        <v>3.3500000000000002E-2</v>
      </c>
      <c r="G22" s="226" t="str">
        <f>IF('数据-取费表'!B22&lt;=1,"单利计息","复利计息")</f>
        <v>单利计息</v>
      </c>
    </row>
    <row r="23" spans="1:7" s="206" customFormat="1" ht="13.5" customHeight="1">
      <c r="A23" s="733" t="s">
        <v>1501</v>
      </c>
      <c r="B23" s="207" t="s">
        <v>1502</v>
      </c>
      <c r="C23" s="1040">
        <f ca="1">ROUND(IF('数据-取费表'!B22&lt;=1,C5*F22*'数据-取费表'!B23,C5*(POWER((1+F22),'数据-取费表'!B23)-1)),0)</f>
        <v>55</v>
      </c>
      <c r="D23" s="230"/>
      <c r="E23" s="230"/>
      <c r="F23" s="231"/>
      <c r="G23" s="232" t="s">
        <v>1503</v>
      </c>
    </row>
    <row r="24" spans="1:7" s="206" customFormat="1" ht="13.5" customHeight="1">
      <c r="A24" s="733" t="s">
        <v>1504</v>
      </c>
      <c r="B24" s="207" t="s">
        <v>1505</v>
      </c>
      <c r="C24" s="1040">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0">
        <f ca="1">ROUND(IF('数据-取费表'!B22&lt;=1,C20*F22*'数据-取费表'!B23/2,C20*(POWER((1+F22),'数据-取费表'!B23/2)-1)),0)</f>
        <v>1</v>
      </c>
      <c r="D25" s="230"/>
      <c r="E25" s="233"/>
      <c r="F25" s="231"/>
      <c r="G25" s="234" t="s">
        <v>1509</v>
      </c>
    </row>
    <row r="26" spans="1:7" s="206" customFormat="1">
      <c r="A26" s="733" t="s">
        <v>350</v>
      </c>
      <c r="B26" s="207" t="s">
        <v>1510</v>
      </c>
      <c r="C26" s="230">
        <f ca="1">ROUND(IF('数据-取费表'!B22&lt;=1,F21*F22*'数据-取费表'!B23/2,F21*(POWER((1+F22),'数据-取费表'!B23/2)-1)),4)</f>
        <v>2.9999999999999997E-4</v>
      </c>
      <c r="D26" s="230"/>
      <c r="E26" s="233"/>
      <c r="F26" s="231"/>
      <c r="G26" s="235"/>
    </row>
    <row r="27" spans="1:7" s="206" customFormat="1" ht="24.75">
      <c r="A27" s="247" t="s">
        <v>1511</v>
      </c>
      <c r="B27" s="236" t="s">
        <v>1512</v>
      </c>
      <c r="C27" s="237">
        <f ca="1">C28</f>
        <v>84</v>
      </c>
      <c r="D27" s="227">
        <f ca="1">C29</f>
        <v>1E-3</v>
      </c>
      <c r="E27" s="228" t="s">
        <v>1513</v>
      </c>
      <c r="F27" s="238">
        <f ca="1">IF(B1="",'数据-取费表'!Q16,INDIRECT("'数据-取费表'!q"&amp;$G$1))</f>
        <v>0.05</v>
      </c>
      <c r="G27" s="239" t="s">
        <v>1514</v>
      </c>
    </row>
    <row r="28" spans="1:7" s="206" customFormat="1" ht="13.5" customHeight="1">
      <c r="A28" s="733" t="s">
        <v>346</v>
      </c>
      <c r="B28" s="240" t="s">
        <v>1515</v>
      </c>
      <c r="C28" s="241">
        <f ca="1">ROUND((C5+C19+C20)*F27*'数据-取费表'!B21/'数据-取费表'!B20,0)</f>
        <v>84</v>
      </c>
      <c r="D28" s="227"/>
      <c r="E28" s="228"/>
      <c r="F28" s="238"/>
      <c r="G28" s="239"/>
    </row>
    <row r="29" spans="1:7" s="206" customFormat="1" ht="13.5" customHeight="1">
      <c r="A29" s="733" t="s">
        <v>347</v>
      </c>
      <c r="B29" s="240" t="s">
        <v>1516</v>
      </c>
      <c r="C29" s="230">
        <f ca="1">ROUND(C21*F27*'数据-取费表'!B21/'数据-取费表'!B20,4)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1973</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1932</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1717</v>
      </c>
      <c r="D34" s="209"/>
      <c r="E34" s="212"/>
      <c r="F34" s="249">
        <f ca="1">IF('数据-取费表'!B24=0,1,IF(B1="",'数据-取费表'!N16,INDIRECT("'数据-取费表'!n"&amp;$G$1)))</f>
        <v>1</v>
      </c>
      <c r="G34" s="211" t="s">
        <v>1525</v>
      </c>
    </row>
    <row r="35" spans="1:7" ht="13.5" customHeight="1">
      <c r="A35" s="733" t="s">
        <v>351</v>
      </c>
      <c r="B35" s="207" t="s">
        <v>1526</v>
      </c>
      <c r="C35" s="212">
        <f ca="1">ROUND(C34*F35,0)</f>
        <v>52</v>
      </c>
      <c r="D35" s="212"/>
      <c r="E35" s="212"/>
      <c r="F35" s="251">
        <f>'数据-取费表'!B33</f>
        <v>0.03</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129</v>
      </c>
      <c r="D37" s="209">
        <f ca="1">D19</f>
        <v>6436.4900000000007</v>
      </c>
      <c r="E37" s="241">
        <f>'数据-取费表'!B35</f>
        <v>200</v>
      </c>
      <c r="F37" s="251"/>
      <c r="G37" s="253" t="s">
        <v>1531</v>
      </c>
    </row>
    <row r="38" spans="1:7" ht="13.5" customHeight="1">
      <c r="A38" s="733" t="s">
        <v>354</v>
      </c>
      <c r="B38" s="207" t="s">
        <v>1532</v>
      </c>
      <c r="C38" s="212">
        <f ca="1">ROUND(C34*F38,0)</f>
        <v>34</v>
      </c>
      <c r="D38" s="212"/>
      <c r="E38" s="212"/>
      <c r="F38" s="251">
        <f>'数据-取费表'!B36</f>
        <v>0.02</v>
      </c>
      <c r="G38" s="211" t="s">
        <v>1527</v>
      </c>
    </row>
    <row r="39" spans="1:7" s="206" customFormat="1" ht="13.5" customHeight="1">
      <c r="A39" s="247" t="s">
        <v>1533</v>
      </c>
      <c r="B39" s="202" t="s">
        <v>1534</v>
      </c>
      <c r="C39" s="224">
        <f ca="1">ROUND(C33*F20,0)</f>
        <v>39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33</v>
      </c>
      <c r="D41" s="227">
        <f ca="1">C44</f>
        <v>2.9999999999999997E-4</v>
      </c>
      <c r="E41" s="228" t="s">
        <v>1538</v>
      </c>
      <c r="F41" s="229">
        <f ca="1">F22</f>
        <v>3.3500000000000002E-2</v>
      </c>
      <c r="G41" s="226" t="str">
        <f>IF('数据-取费表'!B22&lt;=1,"单利计息","复利计息")</f>
        <v>单利计息</v>
      </c>
    </row>
    <row r="42" spans="1:7" ht="13.5" customHeight="1">
      <c r="A42" s="733" t="s">
        <v>346</v>
      </c>
      <c r="B42" s="207" t="s">
        <v>1542</v>
      </c>
      <c r="C42" s="230">
        <f ca="1">ROUND(IF('数据-取费表'!B22&lt;=1,C33*F22*'数据-取费表'!B21/2,C33*(POWER((1+F22),'数据-取费表'!B21/2)-1)),0)</f>
        <v>32</v>
      </c>
      <c r="D42" s="230"/>
      <c r="E42" s="230"/>
      <c r="F42" s="231"/>
      <c r="G42" s="3374" t="s">
        <v>1543</v>
      </c>
    </row>
    <row r="43" spans="1:7" ht="13.5" customHeight="1">
      <c r="A43" s="733" t="s">
        <v>347</v>
      </c>
      <c r="B43" s="207" t="s">
        <v>1544</v>
      </c>
      <c r="C43" s="230">
        <f ca="1">ROUND(IF('数据-取费表'!B22&lt;=1,C39*F22*'数据-取费表'!B21/2,C39*(POWER((1+F22),'数据-取费表'!B21/2)-1)),0)</f>
        <v>1</v>
      </c>
      <c r="D43" s="230"/>
      <c r="E43" s="230"/>
      <c r="F43" s="231"/>
      <c r="G43" s="3375"/>
    </row>
    <row r="44" spans="1:7" ht="13.5" customHeight="1">
      <c r="A44" s="733" t="s">
        <v>348</v>
      </c>
      <c r="B44" s="207" t="s">
        <v>1545</v>
      </c>
      <c r="C44" s="230">
        <f ca="1">ROUND(IF('数据-取费表'!B22&lt;=1,C40*F22*'数据-取费表'!B21/2,C40*(POWER((1+F22),'数据-取费表'!B21/2)-1)),4)</f>
        <v>2.9999999999999997E-4</v>
      </c>
      <c r="D44" s="230"/>
      <c r="E44" s="230"/>
      <c r="F44" s="231"/>
      <c r="G44" s="3376"/>
    </row>
    <row r="45" spans="1:7" s="206" customFormat="1" ht="13.5" customHeight="1">
      <c r="A45" s="247" t="s">
        <v>1546</v>
      </c>
      <c r="B45" s="236" t="s">
        <v>1512</v>
      </c>
      <c r="C45" s="237">
        <f ca="1">C46</f>
        <v>99</v>
      </c>
      <c r="D45" s="227">
        <f ca="1">C47</f>
        <v>1E-3</v>
      </c>
      <c r="E45" s="228" t="s">
        <v>1538</v>
      </c>
      <c r="F45" s="238">
        <f ca="1">F27</f>
        <v>0.05</v>
      </c>
      <c r="G45" s="239" t="s">
        <v>1547</v>
      </c>
    </row>
    <row r="46" spans="1:7" s="206" customFormat="1" ht="13.5" customHeight="1">
      <c r="A46" s="733" t="s">
        <v>346</v>
      </c>
      <c r="B46" s="240" t="s">
        <v>1548</v>
      </c>
      <c r="C46" s="241">
        <f ca="1">ROUND((C33+C39)*F27,0)</f>
        <v>99</v>
      </c>
      <c r="D46" s="255"/>
      <c r="E46" s="228"/>
      <c r="F46" s="238"/>
      <c r="G46" s="239"/>
    </row>
    <row r="47" spans="1:7" s="206" customFormat="1" ht="13.5" customHeight="1">
      <c r="A47" s="733" t="s">
        <v>347</v>
      </c>
      <c r="B47" s="240" t="s">
        <v>1549</v>
      </c>
      <c r="C47" s="230">
        <f ca="1">ROUND(C40*F27,4)</f>
        <v>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2270</v>
      </c>
      <c r="D49" s="224"/>
      <c r="E49" s="224"/>
      <c r="F49" s="256"/>
      <c r="G49" s="226" t="s">
        <v>1553</v>
      </c>
    </row>
    <row r="50" spans="1:7" s="250" customFormat="1" ht="24">
      <c r="A50" s="247" t="s">
        <v>1554</v>
      </c>
      <c r="B50" s="202" t="s">
        <v>1555</v>
      </c>
      <c r="C50" s="224"/>
      <c r="D50" s="224"/>
      <c r="E50" s="224"/>
      <c r="F50" s="256">
        <f>IF('数据-取费表'!B24=0,'数据-取费表'!N16,1)</f>
        <v>0.87</v>
      </c>
      <c r="G50" s="239" t="s">
        <v>1556</v>
      </c>
    </row>
    <row r="51" spans="1:7" ht="16.5" customHeight="1">
      <c r="A51" s="247" t="s">
        <v>1557</v>
      </c>
      <c r="B51" s="202" t="s">
        <v>1558</v>
      </c>
      <c r="C51" s="224">
        <f ca="1">ROUND(C49*F50,0)</f>
        <v>1975</v>
      </c>
      <c r="D51" s="224"/>
      <c r="E51" s="224"/>
      <c r="F51" s="256"/>
      <c r="G51" s="226" t="s">
        <v>1559</v>
      </c>
    </row>
    <row r="52" spans="1:7" s="200" customFormat="1" ht="16.5" thickBot="1">
      <c r="A52" s="257" t="s">
        <v>1560</v>
      </c>
      <c r="B52" s="258"/>
      <c r="C52" s="259">
        <f ca="1">C31+C51</f>
        <v>3948</v>
      </c>
      <c r="D52" s="258"/>
      <c r="E52" s="258"/>
      <c r="F52" s="258"/>
      <c r="G52" s="260"/>
    </row>
    <row r="55" spans="1:7" ht="15">
      <c r="B55" s="262" t="s">
        <v>1561</v>
      </c>
      <c r="C55" s="263"/>
    </row>
    <row r="56" spans="1:7">
      <c r="B56" s="265" t="s">
        <v>802</v>
      </c>
      <c r="C56" s="267">
        <f ca="1">1-C57</f>
        <v>0.5</v>
      </c>
    </row>
    <row r="57" spans="1:7">
      <c r="B57" s="265" t="s">
        <v>803</v>
      </c>
      <c r="C57" s="266">
        <f ca="1">ROUND(C51/C52,3)</f>
        <v>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1"/>
      <c r="C1" s="1714" t="s">
        <v>1562</v>
      </c>
      <c r="D1" s="190"/>
      <c r="E1" s="190"/>
      <c r="F1" s="190"/>
      <c r="G1" s="1060">
        <f>MATCH(B1,'数据-取费表'!A6:A16,0)+5</f>
        <v>7</v>
      </c>
      <c r="H1" s="996" t="str">
        <f>IF(ISERROR(FIND("住宅",B1)),"非住宅","住宅")</f>
        <v>非住宅</v>
      </c>
    </row>
    <row r="2" spans="1:8" s="192" customFormat="1" ht="18" customHeight="1">
      <c r="A2" s="193" t="s">
        <v>1461</v>
      </c>
      <c r="B2" s="3115">
        <f ca="1">ROUND(IF(D2="——",C52/10000,C52/10000-E2),4)</f>
        <v>2188.9391000000001</v>
      </c>
      <c r="C2" s="191" t="s">
        <v>1462</v>
      </c>
      <c r="D2" s="1708" t="s">
        <v>43</v>
      </c>
      <c r="E2" s="1086" t="e">
        <f ca="1">SUMIF(INDIRECT("'"&amp;G2&amp;"'"&amp;"!A:A"),"承租人权益价值",INDIRECT("'"&amp;G2&amp;"'"&amp;"!c:c"))</f>
        <v>#REF!</v>
      </c>
      <c r="F2" s="1709" t="s">
        <v>1462</v>
      </c>
      <c r="G2" s="1710"/>
    </row>
    <row r="3" spans="1:8" s="192" customFormat="1" ht="18" customHeight="1" thickBot="1">
      <c r="A3" s="195" t="s">
        <v>1463</v>
      </c>
      <c r="B3" s="196">
        <f ca="1">ROUND(B2*10000/(IF(B1="",'数据-汇总表'!E3,INDIRECT("'数据-取费表'!k"&amp;$G$1))),0)</f>
        <v>3401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514919</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514919</v>
      </c>
      <c r="D8" s="214"/>
      <c r="E8" s="212"/>
      <c r="F8" s="213"/>
      <c r="G8" s="1711"/>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1479</v>
      </c>
      <c r="C10" s="217">
        <f ca="1">ROUND(D10*E10,0)</f>
        <v>514919</v>
      </c>
      <c r="D10" s="794">
        <f ca="1">IF(B1="",'数据-汇总表'!E6,IF(INDIRECT("'数据-取费表'!c"&amp;$G$1)="住宅",INDIRECT("'数据-取费表'!s"&amp;$G$1),INDIRECT("'数据-取费表'!k"&amp;$G$1)+INDIRECT("'数据-取费表'!s"&amp;$G$1)))</f>
        <v>6436.4900000000007</v>
      </c>
      <c r="E10" s="217">
        <f>'数据-取费表'!B28</f>
        <v>80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1287298</v>
      </c>
      <c r="D19" s="204">
        <f ca="1">D9+D10</f>
        <v>6436.4900000000007</v>
      </c>
      <c r="E19" s="203">
        <f>'数据-取费表'!B31</f>
        <v>200</v>
      </c>
      <c r="F19" s="223"/>
      <c r="G19" s="1711"/>
    </row>
    <row r="20" spans="1:7" s="206" customFormat="1" ht="13.5" customHeight="1">
      <c r="A20" s="247" t="s">
        <v>1573</v>
      </c>
      <c r="B20" s="202" t="s">
        <v>1574</v>
      </c>
      <c r="C20" s="224">
        <f ca="1">ROUND((C5+C19)*F20,0)</f>
        <v>36044</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60978</v>
      </c>
      <c r="D22" s="227">
        <f ca="1">C26</f>
        <v>2.9999999999999997E-4</v>
      </c>
      <c r="E22" s="228" t="s">
        <v>1578</v>
      </c>
      <c r="F22" s="229">
        <f ca="1">'数据-取费表'!B40</f>
        <v>3.3500000000000002E-2</v>
      </c>
      <c r="G22" s="226" t="str">
        <f>IF('数据-取费表'!B22&lt;=1,"单利计息","复利计息")</f>
        <v>单利计息</v>
      </c>
    </row>
    <row r="23" spans="1:7" s="206" customFormat="1" ht="13.5" customHeight="1">
      <c r="A23" s="733" t="s">
        <v>1471</v>
      </c>
      <c r="B23" s="207" t="s">
        <v>1582</v>
      </c>
      <c r="C23" s="230">
        <f ca="1">ROUND(IF('数据-取费表'!B22&lt;=1,C5*F22*'数据-取费表'!B22,C5*(POWER((1+F22),'数据-取费表'!B22)-1)),0)</f>
        <v>17250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43124</v>
      </c>
      <c r="D24" s="230"/>
      <c r="E24" s="230"/>
      <c r="F24" s="231"/>
      <c r="G24" s="232" t="s">
        <v>1585</v>
      </c>
    </row>
    <row r="25" spans="1:7" s="206" customFormat="1" ht="24">
      <c r="A25" s="733" t="s">
        <v>1475</v>
      </c>
      <c r="B25" s="207" t="s">
        <v>1586</v>
      </c>
      <c r="C25" s="230">
        <f ca="1">ROUND(IF('数据-取费表'!B22&lt;=1,C20*F22*'数据-取费表'!B22/2,C20*(POWER((1+F22),'数据-取费表'!B22/2)-1)),0)</f>
        <v>604</v>
      </c>
      <c r="D25" s="230"/>
      <c r="E25" s="233"/>
      <c r="F25" s="231"/>
      <c r="G25" s="234" t="s">
        <v>1587</v>
      </c>
    </row>
    <row r="26" spans="1:7" s="206" customFormat="1">
      <c r="A26" s="733" t="s">
        <v>350</v>
      </c>
      <c r="B26" s="207" t="s">
        <v>1510</v>
      </c>
      <c r="C26" s="230">
        <f ca="1">ROUND(IF('数据-取费表'!B22&lt;=1,F21*F22*'数据-取费表'!B22/2,F21*(POWER((1+F22),'数据-取费表'!B22/2)-1)),4)</f>
        <v>2.9999999999999997E-4</v>
      </c>
      <c r="D26" s="230"/>
      <c r="E26" s="233"/>
      <c r="F26" s="231"/>
      <c r="G26" s="235"/>
    </row>
    <row r="27" spans="1:7" s="206" customFormat="1" ht="24.75">
      <c r="A27" s="247" t="s">
        <v>1511</v>
      </c>
      <c r="B27" s="236" t="s">
        <v>1512</v>
      </c>
      <c r="C27" s="237">
        <f ca="1">C28</f>
        <v>91913</v>
      </c>
      <c r="D27" s="227">
        <f ca="1">C29</f>
        <v>1E-3</v>
      </c>
      <c r="E27" s="228" t="s">
        <v>1513</v>
      </c>
      <c r="F27" s="238">
        <f ca="1">IF(B1="",'数据-取费表'!Q16,INDIRECT("'数据-取费表'!q"&amp;$G$1))</f>
        <v>0.05</v>
      </c>
      <c r="G27" s="239" t="s">
        <v>1514</v>
      </c>
    </row>
    <row r="28" spans="1:7" s="206" customFormat="1" ht="13.5" customHeight="1">
      <c r="A28" s="733" t="s">
        <v>346</v>
      </c>
      <c r="B28" s="240" t="s">
        <v>1515</v>
      </c>
      <c r="C28" s="241">
        <f ca="1">ROUND((C5+C19+C20)*F27,0)</f>
        <v>91913</v>
      </c>
      <c r="D28" s="227"/>
      <c r="E28" s="228"/>
      <c r="F28" s="238"/>
      <c r="G28" s="239"/>
    </row>
    <row r="29" spans="1:7" s="206" customFormat="1" ht="13.5" customHeight="1">
      <c r="A29" s="733" t="s">
        <v>347</v>
      </c>
      <c r="B29" s="240" t="s">
        <v>1516</v>
      </c>
      <c r="C29" s="230">
        <f ca="1">ROUND(C21*F27,4)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2149576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19315798</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17170000</v>
      </c>
      <c r="D34" s="209"/>
      <c r="E34" s="212"/>
      <c r="F34" s="249"/>
      <c r="G34" s="211"/>
    </row>
    <row r="35" spans="1:7" ht="13.5" customHeight="1">
      <c r="A35" s="733" t="s">
        <v>351</v>
      </c>
      <c r="B35" s="207" t="s">
        <v>1526</v>
      </c>
      <c r="C35" s="212">
        <f ca="1">ROUND(C34*F35,0)</f>
        <v>515100</v>
      </c>
      <c r="D35" s="212"/>
      <c r="E35" s="212"/>
      <c r="F35" s="251">
        <f>'数据-取费表'!B33</f>
        <v>0.03</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1287298</v>
      </c>
      <c r="D37" s="209">
        <f ca="1">D19</f>
        <v>6436.4900000000007</v>
      </c>
      <c r="E37" s="241">
        <f>'数据-取费表'!B35</f>
        <v>200</v>
      </c>
      <c r="F37" s="251"/>
      <c r="G37" s="253"/>
    </row>
    <row r="38" spans="1:7" ht="13.5" customHeight="1">
      <c r="A38" s="733" t="s">
        <v>354</v>
      </c>
      <c r="B38" s="207" t="s">
        <v>1532</v>
      </c>
      <c r="C38" s="212">
        <f ca="1">ROUND(C34*F38,0)</f>
        <v>343400</v>
      </c>
      <c r="D38" s="212"/>
      <c r="E38" s="212"/>
      <c r="F38" s="251">
        <f>'数据-取费表'!B36</f>
        <v>0.02</v>
      </c>
      <c r="G38" s="211" t="s">
        <v>1527</v>
      </c>
    </row>
    <row r="39" spans="1:7" s="206" customFormat="1" ht="13.5" customHeight="1">
      <c r="A39" s="247" t="s">
        <v>1533</v>
      </c>
      <c r="B39" s="202" t="s">
        <v>1534</v>
      </c>
      <c r="C39" s="224">
        <f ca="1">ROUND(C33*F20,0)</f>
        <v>386316</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330011</v>
      </c>
      <c r="D41" s="227">
        <f ca="1">C44</f>
        <v>2.9999999999999997E-4</v>
      </c>
      <c r="E41" s="228" t="s">
        <v>1538</v>
      </c>
      <c r="F41" s="229">
        <f ca="1">F22</f>
        <v>3.3500000000000002E-2</v>
      </c>
      <c r="G41" s="226" t="str">
        <f>IF('数据-取费表'!B22&lt;=1,"单利计息","复利计息")</f>
        <v>单利计息</v>
      </c>
    </row>
    <row r="42" spans="1:7" ht="13.5" customHeight="1">
      <c r="A42" s="733" t="s">
        <v>346</v>
      </c>
      <c r="B42" s="207" t="s">
        <v>1542</v>
      </c>
      <c r="C42" s="230">
        <f ca="1">ROUND(IF('数据-取费表'!B22&lt;=1,C33*F22*'数据-取费表'!B20/2,C33*(POWER((1+F22),'数据-取费表'!B20/2)-1)),0)</f>
        <v>323540</v>
      </c>
      <c r="D42" s="230"/>
      <c r="E42" s="230"/>
      <c r="F42" s="231"/>
      <c r="G42" s="3374" t="s">
        <v>1590</v>
      </c>
    </row>
    <row r="43" spans="1:7" ht="13.5" customHeight="1">
      <c r="A43" s="733" t="s">
        <v>347</v>
      </c>
      <c r="B43" s="207" t="s">
        <v>1544</v>
      </c>
      <c r="C43" s="230">
        <f ca="1">ROUND(IF('数据-取费表'!B22&lt;=1,C39*F22*'数据-取费表'!B20/2,C39*(POWER((1+F22),'数据-取费表'!B20/2)-1)),0)</f>
        <v>6471</v>
      </c>
      <c r="D43" s="230"/>
      <c r="E43" s="230"/>
      <c r="F43" s="231"/>
      <c r="G43" s="3375"/>
    </row>
    <row r="44" spans="1:7" ht="13.5" customHeight="1">
      <c r="A44" s="733" t="s">
        <v>348</v>
      </c>
      <c r="B44" s="207" t="s">
        <v>1545</v>
      </c>
      <c r="C44" s="230">
        <f ca="1">ROUND(IF('数据-取费表'!B22&lt;=1,C40*F22*'数据-取费表'!B20/2,C40*(POWER((1+F22),'数据-取费表'!B20/2)-1)),4)</f>
        <v>2.9999999999999997E-4</v>
      </c>
      <c r="D44" s="230"/>
      <c r="E44" s="230"/>
      <c r="F44" s="231"/>
      <c r="G44" s="3376"/>
    </row>
    <row r="45" spans="1:7" s="206" customFormat="1" ht="13.5" customHeight="1">
      <c r="A45" s="247" t="s">
        <v>1546</v>
      </c>
      <c r="B45" s="236" t="s">
        <v>1512</v>
      </c>
      <c r="C45" s="237">
        <f ca="1">C46</f>
        <v>985106</v>
      </c>
      <c r="D45" s="227">
        <f ca="1">C47</f>
        <v>1E-3</v>
      </c>
      <c r="E45" s="228" t="s">
        <v>1538</v>
      </c>
      <c r="F45" s="238">
        <f ca="1">F27</f>
        <v>0.05</v>
      </c>
      <c r="G45" s="239" t="s">
        <v>1547</v>
      </c>
    </row>
    <row r="46" spans="1:7" s="206" customFormat="1" ht="13.5" customHeight="1">
      <c r="A46" s="733" t="s">
        <v>346</v>
      </c>
      <c r="B46" s="240" t="s">
        <v>1548</v>
      </c>
      <c r="C46" s="241">
        <f ca="1">ROUND((C33+C39)*F27,0)</f>
        <v>985106</v>
      </c>
      <c r="D46" s="255"/>
      <c r="E46" s="228"/>
      <c r="F46" s="238"/>
      <c r="G46" s="239"/>
    </row>
    <row r="47" spans="1:7" s="206" customFormat="1" ht="13.5" customHeight="1">
      <c r="A47" s="733" t="s">
        <v>347</v>
      </c>
      <c r="B47" s="240" t="s">
        <v>1549</v>
      </c>
      <c r="C47" s="230">
        <f ca="1">ROUND(C40*F27,4)</f>
        <v>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22689443</v>
      </c>
      <c r="D49" s="224"/>
      <c r="E49" s="224"/>
      <c r="F49" s="256"/>
      <c r="G49" s="226" t="s">
        <v>1553</v>
      </c>
    </row>
    <row r="50" spans="1:7" s="250" customFormat="1">
      <c r="A50" s="247" t="s">
        <v>1554</v>
      </c>
      <c r="B50" s="202" t="s">
        <v>1555</v>
      </c>
      <c r="C50" s="224"/>
      <c r="D50" s="224"/>
      <c r="E50" s="224"/>
      <c r="F50" s="256">
        <f>IF('数据-取费表'!B24=0,'数据-取费表'!N16,1)</f>
        <v>0.87</v>
      </c>
      <c r="G50" s="239"/>
    </row>
    <row r="51" spans="1:7" ht="16.5" customHeight="1">
      <c r="A51" s="247" t="s">
        <v>1557</v>
      </c>
      <c r="B51" s="202" t="s">
        <v>1592</v>
      </c>
      <c r="C51" s="224">
        <f ca="1">ROUND(C49*F50,0)</f>
        <v>19739815</v>
      </c>
      <c r="D51" s="224"/>
      <c r="E51" s="224"/>
      <c r="F51" s="256"/>
      <c r="G51" s="226" t="s">
        <v>1559</v>
      </c>
    </row>
    <row r="52" spans="1:7" s="200" customFormat="1" ht="16.5" thickBot="1">
      <c r="A52" s="257" t="s">
        <v>1560</v>
      </c>
      <c r="B52" s="258"/>
      <c r="C52" s="259">
        <f ca="1">C31+C51</f>
        <v>21889391</v>
      </c>
      <c r="D52" s="258"/>
      <c r="E52" s="258"/>
      <c r="F52" s="258"/>
      <c r="G52" s="260"/>
    </row>
    <row r="55" spans="1:7" ht="15">
      <c r="B55" s="262" t="s">
        <v>1561</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7"/>
      <c r="D1" s="1106"/>
      <c r="E1" s="2560"/>
      <c r="F1" s="2560"/>
      <c r="G1" s="2441"/>
      <c r="H1" s="2560"/>
      <c r="I1" s="2560"/>
      <c r="J1" s="2560"/>
      <c r="K1" s="2561">
        <f>MATCH(C1,'数据-取费表'!A6:A16,0)+5</f>
        <v>7</v>
      </c>
    </row>
    <row r="2" spans="1:33" ht="18" customHeight="1">
      <c r="A2" s="193" t="s">
        <v>1461</v>
      </c>
      <c r="B2" s="196">
        <f ca="1">C32</f>
        <v>0</v>
      </c>
      <c r="C2" s="268" t="s">
        <v>1594</v>
      </c>
      <c r="D2" s="268"/>
      <c r="E2" s="2560"/>
      <c r="F2" s="2560"/>
      <c r="G2" s="2560"/>
      <c r="H2" s="2560"/>
      <c r="I2" s="2560"/>
      <c r="J2" s="2560"/>
      <c r="K2" s="2560"/>
    </row>
    <row r="3" spans="1:33" ht="18" customHeight="1" thickBot="1">
      <c r="A3" s="195" t="s">
        <v>1463</v>
      </c>
      <c r="B3" s="196">
        <f ca="1">ROUND(B2*10000/IF(C1="",'数据-汇总表'!E3,INDIRECT("'数据-取费表'!K"&amp;$K$1)),0)</f>
        <v>0</v>
      </c>
      <c r="C3" s="268" t="s">
        <v>1595</v>
      </c>
      <c r="D3" s="268"/>
      <c r="E3" s="2560"/>
      <c r="F3" s="2560"/>
      <c r="G3" s="2560"/>
      <c r="H3" s="2560"/>
      <c r="I3" s="2560"/>
      <c r="J3" s="2560"/>
      <c r="K3" s="2560"/>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6436.4900000000007</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6436.4900000000007</v>
      </c>
      <c r="E17" s="21">
        <f>'数据-取费表'!B32</f>
        <v>0</v>
      </c>
      <c r="F17" s="757"/>
      <c r="G17" s="123" t="s">
        <v>1622</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v>
      </c>
      <c r="D18" s="795"/>
      <c r="E18" s="21"/>
      <c r="F18" s="755"/>
      <c r="G18" s="1717"/>
      <c r="H18" s="1103"/>
      <c r="I18" s="1718"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0</v>
      </c>
      <c r="F19" s="755"/>
      <c r="G19" s="12"/>
      <c r="H19" s="1105"/>
      <c r="I19" s="760"/>
      <c r="J19" s="760"/>
      <c r="K19" s="761"/>
    </row>
    <row r="20" spans="1:33" s="754" customFormat="1" ht="13.5" customHeight="1">
      <c r="A20" s="751" t="s">
        <v>361</v>
      </c>
      <c r="B20" s="752" t="s">
        <v>1626</v>
      </c>
      <c r="C20" s="21">
        <f ca="1">ROUND(D20*E20/10000,0)</f>
        <v>51</v>
      </c>
      <c r="D20" s="795">
        <f ca="1">IF(C1="",'数据-汇总表'!E6,IF(INDIRECT("'数据-取费表'!c"&amp;$K$1)="住宅",INDIRECT("'数据-取费表'!s"&amp;$K$1),INDIRECT("'数据-取费表'!k"&amp;$K$1)+INDIRECT("'数据-取费表'!s"&amp;$K$1)))</f>
        <v>6436.4900000000007</v>
      </c>
      <c r="E20" s="21">
        <f>'数据-取费表'!B28</f>
        <v>80</v>
      </c>
      <c r="F20" s="755"/>
      <c r="G20" s="12"/>
      <c r="H20" s="760"/>
      <c r="I20" s="760"/>
      <c r="J20" s="760"/>
      <c r="K20" s="761"/>
    </row>
    <row r="21" spans="1:33" s="754" customFormat="1" ht="13.5" customHeight="1">
      <c r="A21" s="743" t="s">
        <v>357</v>
      </c>
      <c r="B21" s="764" t="s">
        <v>1627</v>
      </c>
      <c r="C21" s="765">
        <f ca="1">C16+C17+C18</f>
        <v>0</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6"/>
      <c r="E27" s="277"/>
      <c r="F27" s="278"/>
      <c r="G27" s="1719" t="str">
        <f>IF('数据-取费表'!B22&lt;=1,"（1）-（3）项×年利率×建设期÷2","（1）-（3）项×((1+年利率)^(建设期÷2)-1)")</f>
        <v>（1）-（3）项×年利率×建设期÷2</v>
      </c>
      <c r="H27" s="758"/>
      <c r="I27" s="758"/>
      <c r="J27" s="758"/>
      <c r="K27" s="759"/>
    </row>
    <row r="28" spans="1:33" s="281" customFormat="1" ht="13.5" customHeight="1">
      <c r="A28" s="743" t="s">
        <v>1640</v>
      </c>
      <c r="B28" s="1720" t="s">
        <v>1641</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1"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52" sqref="J5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3</v>
      </c>
      <c r="D1" s="1268" t="s">
        <v>43</v>
      </c>
      <c r="E1" s="1269" t="s">
        <v>678</v>
      </c>
      <c r="F1" s="997">
        <f ca="1">J53</f>
        <v>39.229999999999997</v>
      </c>
      <c r="G1" s="1283">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3512</v>
      </c>
      <c r="C2" s="1286" t="s">
        <v>805</v>
      </c>
      <c r="D2" s="1286"/>
      <c r="E2" s="1292"/>
      <c r="F2" s="1293"/>
      <c r="G2" s="2471"/>
      <c r="H2" s="2461"/>
      <c r="I2" s="2461"/>
      <c r="J2" s="2461"/>
      <c r="K2" s="2462"/>
      <c r="L2" s="2461"/>
      <c r="M2" s="2461"/>
    </row>
    <row r="3" spans="1:37" ht="18" customHeight="1" thickBot="1">
      <c r="A3" s="1294" t="s">
        <v>806</v>
      </c>
      <c r="B3" s="1295">
        <f ca="1">IF(ISERROR(B2*10000/F43),0,ROUND(B2*10000/F43,0))</f>
        <v>5456</v>
      </c>
      <c r="C3" s="1286" t="s">
        <v>807</v>
      </c>
      <c r="D3" s="1286"/>
      <c r="E3" s="1292"/>
      <c r="F3" s="1293"/>
      <c r="G3" s="2471"/>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233</v>
      </c>
      <c r="D5" s="1270" t="s">
        <v>693</v>
      </c>
      <c r="E5" s="1006"/>
      <c r="F5" s="1007"/>
      <c r="G5" s="1289"/>
      <c r="H5" s="291">
        <v>1</v>
      </c>
      <c r="I5" s="292" t="s">
        <v>692</v>
      </c>
      <c r="J5" s="1005">
        <f ca="1">J6+J10+J12</f>
        <v>0</v>
      </c>
      <c r="K5" s="1270" t="s">
        <v>693</v>
      </c>
      <c r="L5" s="1006"/>
      <c r="M5" s="1007"/>
    </row>
    <row r="6" spans="1:37" ht="18" customHeight="1">
      <c r="A6" s="1004" t="s">
        <v>398</v>
      </c>
      <c r="B6" s="3379" t="s">
        <v>694</v>
      </c>
      <c r="C6" s="1009">
        <f ca="1">ROUND(F6*F8*F7*(1-F9)/10000,0)</f>
        <v>233</v>
      </c>
      <c r="D6" s="147" t="s">
        <v>2108</v>
      </c>
      <c r="E6" s="294" t="s">
        <v>696</v>
      </c>
      <c r="F6" s="295">
        <f ca="1">INDIRECT("'数据-取费表'!u"&amp;$G$1)</f>
        <v>1.1000000000000001</v>
      </c>
      <c r="G6" s="1289"/>
      <c r="H6" s="1004" t="s">
        <v>398</v>
      </c>
      <c r="I6" s="3379" t="s">
        <v>694</v>
      </c>
      <c r="J6" s="293">
        <f ca="1">ROUND(M6*M8*M7*(1-M9)/10000,0)</f>
        <v>0</v>
      </c>
      <c r="K6" s="147" t="s">
        <v>2107</v>
      </c>
      <c r="L6" s="294" t="s">
        <v>696</v>
      </c>
      <c r="M6" s="295">
        <f ca="1">INDIRECT("'数据-取费表'!z"&amp;$G$1)</f>
        <v>0</v>
      </c>
    </row>
    <row r="7" spans="1:37" ht="18" customHeight="1">
      <c r="A7" s="1008"/>
      <c r="B7" s="3380"/>
      <c r="C7" s="1010"/>
      <c r="D7" s="299"/>
      <c r="E7" s="1011" t="s">
        <v>697</v>
      </c>
      <c r="F7" s="295">
        <f ca="1">IF(INDIRECT("'数据-取费表'!ah"&amp;$G$1)="",INDIRECT("'数据-取费表'!k"&amp;$G$1),INDIRECT("'数据-取费表'!ah"&amp;$G$1))</f>
        <v>6436.4900000000007</v>
      </c>
      <c r="G7" s="1289"/>
      <c r="H7" s="296"/>
      <c r="I7" s="3380"/>
      <c r="J7" s="298"/>
      <c r="K7" s="299"/>
      <c r="L7" s="294" t="s">
        <v>697</v>
      </c>
      <c r="M7" s="295">
        <f ca="1">F7</f>
        <v>6436.4900000000007</v>
      </c>
    </row>
    <row r="8" spans="1:37" ht="18" customHeight="1">
      <c r="A8" s="296"/>
      <c r="B8" s="3380"/>
      <c r="C8" s="298"/>
      <c r="D8" s="299"/>
      <c r="E8" s="294" t="s">
        <v>698</v>
      </c>
      <c r="F8" s="295">
        <f ca="1">INDIRECT("'数据-取费表'!ai"&amp;$G$1)</f>
        <v>365</v>
      </c>
      <c r="G8" s="1289"/>
      <c r="H8" s="296"/>
      <c r="I8" s="3380"/>
      <c r="J8" s="298"/>
      <c r="K8" s="299"/>
      <c r="L8" s="294" t="s">
        <v>698</v>
      </c>
      <c r="M8" s="295">
        <f ca="1">INDIRECT("'数据-取费表'!ai"&amp;$G$1)</f>
        <v>365</v>
      </c>
    </row>
    <row r="9" spans="1:37" ht="18" customHeight="1">
      <c r="A9" s="296"/>
      <c r="B9" s="3381"/>
      <c r="C9" s="298"/>
      <c r="D9" s="299"/>
      <c r="E9" s="294" t="s">
        <v>699</v>
      </c>
      <c r="F9" s="304">
        <f ca="1">INDIRECT("'数据-取费表'!w"&amp;$G$1)</f>
        <v>0.1</v>
      </c>
      <c r="G9" s="1289"/>
      <c r="H9" s="296"/>
      <c r="I9" s="3381"/>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t="s">
        <v>3638</v>
      </c>
      <c r="G10" s="1289"/>
      <c r="H10" s="1004" t="s">
        <v>402</v>
      </c>
      <c r="I10" s="1271" t="s">
        <v>700</v>
      </c>
      <c r="J10" s="293">
        <f ca="1">ROUND(IF(M10="押一",J6/12*M11,IF(M10="押二",J6/12*2*M11,IF(M10="押三",J6/12*3*M11,J11*M11))),0)</f>
        <v>0</v>
      </c>
      <c r="K10" s="150" t="s">
        <v>2115</v>
      </c>
      <c r="L10" s="305" t="s">
        <v>701</v>
      </c>
      <c r="M10" s="1051"/>
    </row>
    <row r="11" spans="1:37" ht="18" customHeight="1">
      <c r="A11" s="300"/>
      <c r="B11" s="1272" t="s">
        <v>679</v>
      </c>
      <c r="C11" s="904"/>
      <c r="D11" s="1273"/>
      <c r="E11" s="305" t="s">
        <v>702</v>
      </c>
      <c r="F11" s="306">
        <f ca="1">'数据-取费表'!B39</f>
        <v>1.4999999999999999E-2</v>
      </c>
      <c r="G11" s="1289"/>
      <c r="H11" s="1012"/>
      <c r="I11" s="1272" t="s">
        <v>679</v>
      </c>
      <c r="J11" s="904"/>
      <c r="K11" s="645"/>
      <c r="L11" s="305"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1975</v>
      </c>
      <c r="D13" s="1016" t="s">
        <v>705</v>
      </c>
      <c r="E13" s="1016" t="s">
        <v>706</v>
      </c>
      <c r="F13" s="1017">
        <f ca="1">INDIRECT("'数据-取费表'!y"&amp;$G$1)</f>
        <v>0.87</v>
      </c>
      <c r="G13" s="1289"/>
      <c r="H13" s="1014">
        <v>2</v>
      </c>
      <c r="I13" s="1015" t="s">
        <v>704</v>
      </c>
      <c r="J13" s="1003">
        <f ca="1">ROUND(J14*J15,0)</f>
        <v>0</v>
      </c>
      <c r="K13" s="1022" t="s">
        <v>705</v>
      </c>
      <c r="L13" s="1296"/>
      <c r="M13" s="1297"/>
    </row>
    <row r="14" spans="1:37" ht="18" customHeight="1">
      <c r="A14" s="927" t="s">
        <v>397</v>
      </c>
      <c r="B14" s="294" t="s">
        <v>707</v>
      </c>
      <c r="C14" s="310">
        <f ca="1">INDIRECT("'数据-取费表'!m"&amp;$G$1)+INDIRECT("'数据-取费表'!t"&amp;$G$1)</f>
        <v>1717</v>
      </c>
      <c r="D14" s="1254" t="s">
        <v>708</v>
      </c>
      <c r="E14" s="1252"/>
      <c r="F14" s="311"/>
      <c r="G14" s="1289"/>
      <c r="H14" s="927" t="s">
        <v>398</v>
      </c>
      <c r="I14" s="294" t="s">
        <v>709</v>
      </c>
      <c r="J14" s="21">
        <f ca="1">C29</f>
        <v>2270</v>
      </c>
      <c r="K14" s="12"/>
      <c r="L14" s="758"/>
      <c r="M14" s="759"/>
    </row>
    <row r="15" spans="1:37" s="1301" customFormat="1" ht="18" customHeight="1" thickBot="1">
      <c r="A15" s="927" t="s">
        <v>399</v>
      </c>
      <c r="B15" s="294" t="s">
        <v>710</v>
      </c>
      <c r="C15" s="21">
        <f ca="1">ROUND(C14*F15,0)</f>
        <v>52</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24</v>
      </c>
      <c r="K16" s="1022" t="s">
        <v>715</v>
      </c>
      <c r="L16" s="1023"/>
      <c r="M16" s="1007"/>
    </row>
    <row r="17" spans="1:37" s="1301" customFormat="1" ht="18" customHeight="1">
      <c r="A17" s="927" t="s">
        <v>681</v>
      </c>
      <c r="B17" s="294" t="s">
        <v>716</v>
      </c>
      <c r="C17" s="21">
        <f ca="1">ROUND(F17*(F43+INDIRECT("'数据-取费表'!S"&amp;$G$1))/10000,0)</f>
        <v>129</v>
      </c>
      <c r="D17" s="294" t="s">
        <v>717</v>
      </c>
      <c r="E17" s="294" t="s">
        <v>718</v>
      </c>
      <c r="F17" s="23">
        <f>'数据-取费表'!B35</f>
        <v>200</v>
      </c>
      <c r="G17" s="1300"/>
      <c r="H17" s="927" t="s">
        <v>398</v>
      </c>
      <c r="I17" s="294" t="s">
        <v>719</v>
      </c>
      <c r="J17" s="2137">
        <f ca="1">ROUND(IF(AND(项目基本情况!B11="自然人",项目基本情况!B10="北京市"),J6*M17/(1+'数据-取费表'!C42),J18+J19+J20),2)</f>
        <v>1.43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4" t="s">
        <v>722</v>
      </c>
      <c r="C18" s="21">
        <f ca="1">ROUND(C14*F18,0)</f>
        <v>34</v>
      </c>
      <c r="D18" s="294" t="s">
        <v>711</v>
      </c>
      <c r="E18" s="294" t="s">
        <v>712</v>
      </c>
      <c r="F18" s="314">
        <f>'数据-取费表'!B36</f>
        <v>0.02</v>
      </c>
      <c r="G18" s="1300"/>
      <c r="H18" s="927" t="s">
        <v>397</v>
      </c>
      <c r="I18" s="294" t="s">
        <v>723</v>
      </c>
      <c r="J18" s="21">
        <f ca="1">ROUND(J6*M18/(1+'数据-取费表'!C42),2)</f>
        <v>0</v>
      </c>
      <c r="K18" s="1253" t="s">
        <v>724</v>
      </c>
      <c r="L18" s="294" t="s">
        <v>712</v>
      </c>
      <c r="M18" s="314">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4" t="s">
        <v>725</v>
      </c>
      <c r="C19" s="21">
        <f ca="1">SUM(C14:C18)</f>
        <v>1932</v>
      </c>
      <c r="D19" s="123" t="s">
        <v>726</v>
      </c>
      <c r="E19" s="1266"/>
      <c r="F19" s="23"/>
      <c r="G19" s="1289"/>
      <c r="H19" s="927" t="s">
        <v>399</v>
      </c>
      <c r="I19" s="294" t="s">
        <v>727</v>
      </c>
      <c r="J19" s="21">
        <f ca="1">IF(K19="按租金收入计税",ROUND(J6*M19/(1+'数据-取费表'!C42),2),ROUND(C29*M19*0.7,2))</f>
        <v>0</v>
      </c>
      <c r="K19" s="1275" t="s">
        <v>3337</v>
      </c>
      <c r="L19" s="294" t="s">
        <v>712</v>
      </c>
      <c r="M19" s="314">
        <f>IF(K19="按租金收入计税",'数据-取费表'!B51,'数据-取费表'!B50)</f>
        <v>0.12</v>
      </c>
    </row>
    <row r="20" spans="1:37" s="1301" customFormat="1" ht="18" customHeight="1">
      <c r="A20" s="927" t="s">
        <v>402</v>
      </c>
      <c r="B20" s="294" t="s">
        <v>728</v>
      </c>
      <c r="C20" s="21">
        <f ca="1">ROUND(C19*F20,0)</f>
        <v>39</v>
      </c>
      <c r="D20" s="315" t="s">
        <v>729</v>
      </c>
      <c r="E20" s="294" t="s">
        <v>712</v>
      </c>
      <c r="F20" s="314">
        <f>'数据-取费表'!B37</f>
        <v>0.02</v>
      </c>
      <c r="G20" s="1300"/>
      <c r="H20" s="927" t="s">
        <v>680</v>
      </c>
      <c r="I20" s="147" t="s">
        <v>730</v>
      </c>
      <c r="J20" s="22">
        <f ca="1">ROUND(M20*M21/10000,2)</f>
        <v>1.43</v>
      </c>
      <c r="K20" s="316" t="s">
        <v>731</v>
      </c>
      <c r="L20" s="294" t="s">
        <v>732</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4" t="s">
        <v>733</v>
      </c>
      <c r="C21" s="21" t="s">
        <v>15</v>
      </c>
      <c r="D21" s="315" t="s">
        <v>734</v>
      </c>
      <c r="E21" s="294" t="s">
        <v>735</v>
      </c>
      <c r="F21" s="314">
        <f>'数据-取费表'!B38</f>
        <v>0.02</v>
      </c>
      <c r="G21" s="1300"/>
      <c r="H21" s="318"/>
      <c r="I21" s="303"/>
      <c r="J21" s="26"/>
      <c r="K21" s="319"/>
      <c r="L21" s="294" t="s">
        <v>736</v>
      </c>
      <c r="M21" s="295">
        <f ca="1">INDIRECT("'数据-取费表'!r"&amp;$G$1)</f>
        <v>9558.83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6"/>
      <c r="F22" s="23"/>
      <c r="G22" s="1289"/>
      <c r="H22" s="927" t="s">
        <v>402</v>
      </c>
      <c r="I22" s="294" t="s">
        <v>738</v>
      </c>
      <c r="J22" s="21">
        <f ca="1">ROUND(J14*M22,2)</f>
        <v>22.7</v>
      </c>
      <c r="K22" s="1253" t="s">
        <v>739</v>
      </c>
      <c r="L22" s="294" t="s">
        <v>712</v>
      </c>
      <c r="M22" s="320">
        <f ca="1">INDIRECT("'数据-取费表'!Ak"&amp;$G$1)</f>
        <v>0.01</v>
      </c>
    </row>
    <row r="23" spans="1:37" s="1301" customFormat="1" ht="18" customHeight="1">
      <c r="A23" s="927" t="s">
        <v>397</v>
      </c>
      <c r="B23" s="294" t="s">
        <v>740</v>
      </c>
      <c r="C23" s="21">
        <f ca="1">IF('数据-取费表'!B22&lt;=1,ROUND(C19*F24*F23/2,0)+ROUND(C20*F24*F23/2,0),ROUND(C19*(POWER((1+F24),F23/2)-1),0)+ROUND(C20*(POWER((1+F24),F23/2)-1),0))</f>
        <v>33</v>
      </c>
      <c r="D23" s="138" t="str">
        <f>IF(F23&lt;=1,"(建造成本+管理费用)×利率×(建设周期÷2)","(建造成本+管理费用)×((1+利率)^(建设周期÷2)-1)")</f>
        <v>(建造成本+管理费用)×利率×(建设周期÷2)</v>
      </c>
      <c r="E23" s="294" t="s">
        <v>741</v>
      </c>
      <c r="F23" s="317">
        <f>'数据-取费表'!B20</f>
        <v>1</v>
      </c>
      <c r="G23" s="1300"/>
      <c r="H23" s="927" t="s">
        <v>437</v>
      </c>
      <c r="I23" s="294" t="s">
        <v>742</v>
      </c>
      <c r="J23" s="21">
        <f ca="1">ROUND(J13*M23,2)</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4" t="s">
        <v>750</v>
      </c>
      <c r="C25" s="21"/>
      <c r="D25" s="123" t="s">
        <v>751</v>
      </c>
      <c r="E25" s="1266"/>
      <c r="F25" s="23"/>
      <c r="G25" s="1289"/>
      <c r="H25" s="1014" t="s">
        <v>394</v>
      </c>
      <c r="I25" s="1029" t="s">
        <v>752</v>
      </c>
      <c r="J25" s="302">
        <f ca="1">J5-J16</f>
        <v>-24</v>
      </c>
      <c r="K25" s="1030" t="s">
        <v>753</v>
      </c>
      <c r="L25" s="1031"/>
      <c r="M25" s="1032"/>
    </row>
    <row r="26" spans="1:37">
      <c r="A26" s="927" t="s">
        <v>397</v>
      </c>
      <c r="B26" s="294" t="s">
        <v>754</v>
      </c>
      <c r="C26" s="21">
        <f ca="1">ROUND((C19+C20)*F26,0)</f>
        <v>99</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7" t="s">
        <v>400</v>
      </c>
      <c r="B28" s="294" t="s">
        <v>764</v>
      </c>
      <c r="C28" s="21">
        <f>ROUND(F28/(1+'数据-取费表'!C42),4)</f>
        <v>5.2400000000000002E-2</v>
      </c>
      <c r="D28" s="315" t="s">
        <v>765</v>
      </c>
      <c r="E28" s="294" t="s">
        <v>712</v>
      </c>
      <c r="F28" s="314">
        <f>'数据-取费表'!B41</f>
        <v>5.5000000000000007E-2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2270</v>
      </c>
      <c r="D29" s="1027"/>
      <c r="E29" s="1025"/>
      <c r="F29" s="1028"/>
      <c r="G29" s="1300"/>
      <c r="H29" s="325" t="s">
        <v>396</v>
      </c>
      <c r="I29" s="326" t="s">
        <v>768</v>
      </c>
      <c r="J29" s="327">
        <f ca="1">ROUND(J26/(1+F40)^F41,0)</f>
        <v>0</v>
      </c>
      <c r="K29" s="328" t="s">
        <v>769</v>
      </c>
      <c r="L29" s="329"/>
      <c r="M29" s="330">
        <f ca="1">INDIRECT("'数据-取费表'!k"&amp;$G$1)</f>
        <v>6436.4900000000007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68</v>
      </c>
      <c r="D30" s="1022" t="s">
        <v>715</v>
      </c>
      <c r="E30" s="1023"/>
      <c r="F30" s="1007"/>
      <c r="G30" s="1289"/>
      <c r="H30" s="2463"/>
      <c r="I30" s="1302"/>
      <c r="J30" s="1303"/>
      <c r="K30" s="121"/>
      <c r="L30" s="2464"/>
      <c r="M30" s="2465"/>
    </row>
    <row r="31" spans="1:37" ht="18" customHeight="1">
      <c r="A31" s="927" t="s">
        <v>398</v>
      </c>
      <c r="B31" s="294" t="s">
        <v>719</v>
      </c>
      <c r="C31" s="2137">
        <f ca="1">ROUND(IF(AND(项目基本情况!B11="自然人",项目基本情况!B10="北京市"),C6*F31/(1+'数据-取费表'!C42),C32+C33+C34),2)</f>
        <v>40.26</v>
      </c>
      <c r="D31" s="1254" t="s">
        <v>720</v>
      </c>
      <c r="E31" s="1253" t="s">
        <v>770</v>
      </c>
      <c r="F31" s="2136" t="str">
        <f>IF(项目基本情况!B11="企业","——",IF(M47="住宅",IF(F6*F7*F8/12/(1+'数据-取费表'!F30)&gt;100000,4%,2.5%),IF(F6*F7*F8/12/(1+'数据-取费表'!F30)&gt;100000,12%,7%)))</f>
        <v>——</v>
      </c>
      <c r="G31" s="1289"/>
      <c r="H31" s="2562" t="s">
        <v>2307</v>
      </c>
      <c r="I31" s="1302"/>
      <c r="J31" s="1303"/>
      <c r="K31" s="121"/>
      <c r="L31" s="2464"/>
      <c r="M31" s="2465"/>
    </row>
    <row r="32" spans="1:37" ht="18" customHeight="1">
      <c r="A32" s="927" t="s">
        <v>397</v>
      </c>
      <c r="B32" s="294" t="s">
        <v>723</v>
      </c>
      <c r="C32" s="21">
        <f ca="1">IF(项目基本情况!B11="自然人","——",ROUND(C6*F32/(1+'数据-取费表'!C42),2))</f>
        <v>12.2</v>
      </c>
      <c r="D32" s="1253" t="s">
        <v>724</v>
      </c>
      <c r="E32" s="294" t="s">
        <v>712</v>
      </c>
      <c r="F32" s="322">
        <f>'数据-取费表'!B41</f>
        <v>5.5000000000000007E-2</v>
      </c>
      <c r="G32" s="1289"/>
      <c r="H32" s="2463"/>
      <c r="I32" s="1302"/>
      <c r="J32" s="1303"/>
      <c r="K32" s="121"/>
      <c r="L32" s="2464"/>
      <c r="M32" s="2465"/>
    </row>
    <row r="33" spans="1:18" ht="18" customHeight="1">
      <c r="A33" s="927" t="s">
        <v>399</v>
      </c>
      <c r="B33" s="294" t="s">
        <v>727</v>
      </c>
      <c r="C33" s="21">
        <f ca="1">IF(项目基本情况!B11="自然人","——",IF(D33="按租金收入计税",ROUND(C6*F33/(1+'数据-取费表'!C42),2),IF(D33="按房产原值计税",ROUND(C29*F33*0.7,2),INDIRECT("'数据-取费表'!Aj"&amp;$G$1))))</f>
        <v>26.63</v>
      </c>
      <c r="D33" s="1275" t="s">
        <v>3337</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1.43</v>
      </c>
      <c r="D34" s="316" t="s">
        <v>731</v>
      </c>
      <c r="E34" s="294" t="s">
        <v>732</v>
      </c>
      <c r="F34" s="317">
        <f>'数据-取费表'!B52</f>
        <v>1.5</v>
      </c>
      <c r="G34" s="1289"/>
      <c r="H34" s="2463"/>
      <c r="I34" s="1302"/>
      <c r="J34" s="1303"/>
      <c r="K34" s="2468"/>
      <c r="L34" s="2469"/>
      <c r="M34" s="2469"/>
    </row>
    <row r="35" spans="1:18" ht="18" customHeight="1">
      <c r="A35" s="1038"/>
      <c r="B35" s="1036"/>
      <c r="C35" s="26"/>
      <c r="D35" s="319"/>
      <c r="E35" s="294" t="s">
        <v>736</v>
      </c>
      <c r="F35" s="295">
        <f ca="1">INDIRECT("'数据-取费表'!r"&amp;$G$1)</f>
        <v>9558.83</v>
      </c>
      <c r="G35" s="1289"/>
      <c r="H35" s="2463"/>
      <c r="I35" s="1302"/>
      <c r="J35" s="1303"/>
      <c r="K35" s="2467"/>
      <c r="L35" s="2466"/>
      <c r="M35" s="2466"/>
    </row>
    <row r="36" spans="1:18" ht="18" customHeight="1">
      <c r="A36" s="1037" t="s">
        <v>402</v>
      </c>
      <c r="B36" s="294" t="s">
        <v>738</v>
      </c>
      <c r="C36" s="21">
        <f ca="1">ROUND(C29*F36,2)</f>
        <v>22.7</v>
      </c>
      <c r="D36" s="1253" t="s">
        <v>771</v>
      </c>
      <c r="E36" s="294" t="s">
        <v>712</v>
      </c>
      <c r="F36" s="320">
        <f ca="1">INDIRECT("'数据-取费表'!Ak"&amp;$G$1)</f>
        <v>0.01</v>
      </c>
      <c r="G36" s="1289"/>
      <c r="H36" s="2466"/>
      <c r="I36" s="1302"/>
      <c r="J36" s="1303"/>
      <c r="K36" s="2325"/>
      <c r="L36" s="2466"/>
      <c r="M36" s="2466"/>
    </row>
    <row r="37" spans="1:18" ht="18" customHeight="1">
      <c r="A37" s="927" t="s">
        <v>437</v>
      </c>
      <c r="B37" s="294" t="s">
        <v>742</v>
      </c>
      <c r="C37" s="21">
        <f ca="1">ROUND(C13*F37,2)</f>
        <v>2.96</v>
      </c>
      <c r="D37" s="1253" t="s">
        <v>743</v>
      </c>
      <c r="E37" s="294" t="s">
        <v>744</v>
      </c>
      <c r="F37" s="321">
        <f ca="1">INDIRECT("'数据-取费表'!Al"&amp;$G$1)</f>
        <v>1.5E-3</v>
      </c>
      <c r="G37" s="1289"/>
      <c r="H37" s="2466"/>
      <c r="I37" s="1302"/>
      <c r="J37" s="1303"/>
      <c r="K37" s="2325"/>
      <c r="L37" s="2466"/>
      <c r="M37" s="2466"/>
    </row>
    <row r="38" spans="1:18" ht="18" customHeight="1" thickBot="1">
      <c r="A38" s="1024" t="s">
        <v>684</v>
      </c>
      <c r="B38" s="1025" t="s">
        <v>728</v>
      </c>
      <c r="C38" s="1026">
        <f ca="1">ROUND(C5*F38,2)</f>
        <v>2.33</v>
      </c>
      <c r="D38" s="1027" t="s">
        <v>748</v>
      </c>
      <c r="E38" s="1025" t="s">
        <v>744</v>
      </c>
      <c r="F38" s="1021">
        <f ca="1">INDIRECT("'数据-取费表'!Am"&amp;$G$1)</f>
        <v>0.01</v>
      </c>
      <c r="G38" s="1289"/>
      <c r="H38" s="2466"/>
      <c r="I38" s="1302">
        <f ca="1">C39/C5</f>
        <v>0.70815450643776823</v>
      </c>
      <c r="J38" s="1303"/>
      <c r="K38" s="2464"/>
      <c r="L38" s="2466"/>
      <c r="M38" s="2466"/>
    </row>
    <row r="39" spans="1:18" ht="24.6" customHeight="1" thickTop="1">
      <c r="A39" s="1014" t="s">
        <v>394</v>
      </c>
      <c r="B39" s="1029" t="s">
        <v>772</v>
      </c>
      <c r="C39" s="302">
        <f ca="1">C5-C30</f>
        <v>165</v>
      </c>
      <c r="D39" s="1030" t="s">
        <v>773</v>
      </c>
      <c r="E39" s="1031"/>
      <c r="F39" s="1032"/>
      <c r="G39" s="1289"/>
      <c r="H39" s="2466"/>
      <c r="I39" s="1302"/>
      <c r="J39" s="1303"/>
      <c r="K39" s="2464"/>
      <c r="L39" s="2466"/>
      <c r="M39" s="2466"/>
    </row>
    <row r="40" spans="1:18" ht="18" customHeight="1">
      <c r="A40" s="291" t="s">
        <v>395</v>
      </c>
      <c r="B40" s="292" t="s">
        <v>774</v>
      </c>
      <c r="C40" s="293">
        <f ca="1">ROUND(C39*(1-((1+F42)/(1+F40))^F41)/(F40-F42),0)</f>
        <v>3459</v>
      </c>
      <c r="D40" s="316" t="s">
        <v>758</v>
      </c>
      <c r="E40" s="294" t="s">
        <v>759</v>
      </c>
      <c r="F40" s="304">
        <f ca="1">INDIRECT("'数据-取费表'!I"&amp;$G$1)</f>
        <v>5.5E-2</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39.229999999999997</v>
      </c>
      <c r="G41" s="1289"/>
      <c r="H41" s="121"/>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5374</v>
      </c>
      <c r="D43" s="328" t="s">
        <v>777</v>
      </c>
      <c r="E43" s="329" t="s">
        <v>778</v>
      </c>
      <c r="F43" s="330">
        <f ca="1">INDIRECT("'数据-取费表'!k"&amp;$G$1)</f>
        <v>6436.4900000000007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0" t="s">
        <v>808</v>
      </c>
      <c r="P45" s="1363"/>
      <c r="Q45" s="1363"/>
      <c r="R45" s="1363"/>
    </row>
    <row r="46" spans="1:18" s="1289" customFormat="1" ht="13.5" thickBot="1">
      <c r="A46" s="1308" t="s">
        <v>809</v>
      </c>
      <c r="C46" s="1309">
        <f ca="1">C68-C40</f>
        <v>-3890</v>
      </c>
      <c r="D46" s="1310" t="str">
        <f>C2</f>
        <v>万元</v>
      </c>
      <c r="E46" s="1304"/>
      <c r="F46" s="1304"/>
      <c r="I46" s="1311" t="s">
        <v>810</v>
      </c>
      <c r="J46" s="1312"/>
      <c r="K46" s="1313"/>
      <c r="L46" s="1314">
        <f ca="1">IF(M47="住宅",0,IF(L48&gt;J51,L60,J60))</f>
        <v>53</v>
      </c>
      <c r="O46" s="1315" t="s">
        <v>811</v>
      </c>
      <c r="P46" s="1316" t="s">
        <v>812</v>
      </c>
      <c r="Q46" s="1317" t="s">
        <v>813</v>
      </c>
      <c r="R46" s="1317" t="s">
        <v>814</v>
      </c>
    </row>
    <row r="47" spans="1:18" s="1289" customFormat="1" ht="13.5" thickBot="1">
      <c r="A47" s="891" t="s">
        <v>687</v>
      </c>
      <c r="B47" s="923" t="s">
        <v>688</v>
      </c>
      <c r="C47" s="1052" t="s">
        <v>689</v>
      </c>
      <c r="D47" s="923" t="s">
        <v>690</v>
      </c>
      <c r="E47" s="993" t="s">
        <v>691</v>
      </c>
      <c r="F47" s="994"/>
      <c r="G47" s="680"/>
      <c r="I47" s="1318" t="s">
        <v>815</v>
      </c>
      <c r="J47" s="1319" t="s">
        <v>3426</v>
      </c>
      <c r="K47" s="1320" t="s">
        <v>816</v>
      </c>
      <c r="L47" s="1321">
        <f ca="1">INDIRECT("'数据-取费表'!d"&amp;$G$1)</f>
        <v>50</v>
      </c>
      <c r="M47" s="1285" t="str">
        <f>IF(ISNUMBER(FIND("住宅",C1)),"住宅","非住宅")</f>
        <v>非住宅</v>
      </c>
      <c r="O47" s="1322" t="s">
        <v>403</v>
      </c>
      <c r="P47" s="1323" t="s">
        <v>817</v>
      </c>
      <c r="Q47" s="1324">
        <f ca="1">C40+J29</f>
        <v>3459</v>
      </c>
      <c r="R47" s="1324" t="s">
        <v>818</v>
      </c>
    </row>
    <row r="48" spans="1:18" s="1289" customFormat="1" ht="28.5" thickBot="1">
      <c r="A48" s="1045" t="s">
        <v>438</v>
      </c>
      <c r="B48" s="292" t="s">
        <v>692</v>
      </c>
      <c r="C48" s="1265">
        <f ca="1">C49+C53+C55</f>
        <v>0</v>
      </c>
      <c r="D48" s="1047"/>
      <c r="E48" s="1048"/>
      <c r="F48" s="907"/>
      <c r="G48" s="680"/>
      <c r="H48" s="681"/>
      <c r="I48" s="1325" t="s">
        <v>819</v>
      </c>
      <c r="J48" s="1326" t="s">
        <v>3639</v>
      </c>
      <c r="K48" s="1327" t="s">
        <v>820</v>
      </c>
      <c r="L48" s="1328">
        <f ca="1">INDIRECT("'数据-取费表'!f"&amp;$G$1)</f>
        <v>39.229999999999997</v>
      </c>
      <c r="O48" s="1322" t="s">
        <v>404</v>
      </c>
      <c r="P48" s="1323" t="s">
        <v>821</v>
      </c>
      <c r="Q48" s="1324">
        <f ca="1">J60</f>
        <v>53</v>
      </c>
      <c r="R48" s="1324" t="s">
        <v>822</v>
      </c>
    </row>
    <row r="49" spans="1:18" s="1289" customFormat="1" ht="13.5" thickBot="1">
      <c r="A49" s="920" t="s">
        <v>439</v>
      </c>
      <c r="B49" s="1276" t="s">
        <v>779</v>
      </c>
      <c r="C49" s="1049">
        <f ca="1">ROUND(F49*F51*F50*(1-F52)/10000,0)</f>
        <v>0</v>
      </c>
      <c r="D49" s="990" t="s">
        <v>2109</v>
      </c>
      <c r="E49" s="1277" t="s">
        <v>780</v>
      </c>
      <c r="F49" s="995"/>
      <c r="H49" s="681"/>
      <c r="I49" s="1325" t="s">
        <v>823</v>
      </c>
      <c r="J49" s="1329">
        <f>'数据-取费表'!P18</f>
        <v>2016</v>
      </c>
      <c r="K49" s="1327" t="s">
        <v>824</v>
      </c>
      <c r="L49" s="1330"/>
      <c r="O49" s="1331" t="s">
        <v>405</v>
      </c>
      <c r="P49" s="1323" t="s">
        <v>825</v>
      </c>
      <c r="Q49" s="1324">
        <f ca="1">C29</f>
        <v>2270</v>
      </c>
      <c r="R49" s="1324" t="s">
        <v>818</v>
      </c>
    </row>
    <row r="50" spans="1:18" s="1289" customFormat="1" ht="13.5" thickBot="1">
      <c r="A50" s="921"/>
      <c r="B50" s="924"/>
      <c r="C50" s="1053"/>
      <c r="D50" s="898"/>
      <c r="E50" s="991" t="s">
        <v>697</v>
      </c>
      <c r="F50" s="992">
        <f ca="1">F7</f>
        <v>6436.4900000000007</v>
      </c>
      <c r="H50" s="681"/>
      <c r="I50" s="1325" t="s">
        <v>826</v>
      </c>
      <c r="J50" s="1332">
        <f>SUMPRODUCT((I63:I65=J47)*(J62:L62=J48)*(J63:L65))</f>
        <v>50</v>
      </c>
      <c r="K50" s="1327" t="s">
        <v>827</v>
      </c>
      <c r="L50" s="1330"/>
      <c r="M50" s="1333"/>
      <c r="O50" s="1331" t="s">
        <v>406</v>
      </c>
      <c r="P50" s="1323" t="s">
        <v>828</v>
      </c>
      <c r="Q50" s="1334">
        <f ca="1">J58</f>
        <v>0.4</v>
      </c>
      <c r="R50" s="1324"/>
    </row>
    <row r="51" spans="1:18" s="1289" customFormat="1" ht="13.5" thickBot="1">
      <c r="A51" s="922"/>
      <c r="B51" s="924"/>
      <c r="C51" s="925"/>
      <c r="D51" s="898"/>
      <c r="E51" s="926" t="s">
        <v>698</v>
      </c>
      <c r="F51" s="295">
        <f ca="1">F8</f>
        <v>365</v>
      </c>
      <c r="I51" s="1335" t="s">
        <v>829</v>
      </c>
      <c r="J51" s="1328">
        <f>IF(J49="",J50,J49+J50-YEAR('数据-取费表'!B2))</f>
        <v>42</v>
      </c>
      <c r="K51" s="1336" t="s">
        <v>830</v>
      </c>
      <c r="L51" s="1337">
        <f ca="1">ROUND(-PV(INDIRECT("'数据-取费表'!h"&amp;$G$1),J51,(C39-C13*C76),0),0)</f>
        <v>466</v>
      </c>
      <c r="M51" s="1338"/>
      <c r="O51" s="1331" t="s">
        <v>407</v>
      </c>
      <c r="P51" s="1323" t="s">
        <v>831</v>
      </c>
      <c r="Q51" s="1334">
        <f>J52</f>
        <v>7.4999999999999997E-2</v>
      </c>
      <c r="R51" s="1324"/>
    </row>
    <row r="52" spans="1:18" s="1289" customFormat="1" ht="13.5" thickBot="1">
      <c r="A52" s="922"/>
      <c r="B52" s="924"/>
      <c r="C52" s="925"/>
      <c r="D52" s="898"/>
      <c r="E52" s="926" t="s">
        <v>699</v>
      </c>
      <c r="F52" s="989"/>
      <c r="I52" s="1339" t="s">
        <v>832</v>
      </c>
      <c r="J52" s="1340">
        <v>7.4999999999999997E-2</v>
      </c>
      <c r="K52" s="1339" t="s">
        <v>833</v>
      </c>
      <c r="L52" s="1340"/>
      <c r="O52" s="1331" t="s">
        <v>408</v>
      </c>
      <c r="P52" s="1323" t="s">
        <v>834</v>
      </c>
      <c r="Q52" s="1324">
        <f ca="1">J53</f>
        <v>39.229999999999997</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1"/>
      <c r="I53" s="1341" t="s">
        <v>836</v>
      </c>
      <c r="J53" s="2003">
        <f ca="1">IF(M47="住宅",IF(D1="——",MAX(J51,L48),MAX(J51,L48-'数据-取费表'!B24)),IF(D1="——",MIN(J51,L48),MIN(J51,L48-'数据-取费表'!B24)))</f>
        <v>39.229999999999997</v>
      </c>
      <c r="K53" s="3377" t="s">
        <v>837</v>
      </c>
      <c r="L53" s="3378"/>
      <c r="O53" s="1322" t="s">
        <v>409</v>
      </c>
      <c r="P53" s="1323" t="s">
        <v>838</v>
      </c>
      <c r="Q53" s="1324">
        <f ca="1">Q47+Q48</f>
        <v>3512</v>
      </c>
      <c r="R53" s="1324" t="s">
        <v>410</v>
      </c>
    </row>
    <row r="54" spans="1:18" s="1289" customFormat="1" ht="13.5" thickBot="1">
      <c r="A54" s="1077"/>
      <c r="B54" s="1272" t="s">
        <v>679</v>
      </c>
      <c r="C54" s="904"/>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5.5E-2</v>
      </c>
      <c r="K55" s="1347" t="s">
        <v>841</v>
      </c>
      <c r="L55" s="1348"/>
      <c r="O55" s="1315" t="s">
        <v>811</v>
      </c>
      <c r="P55" s="1316" t="s">
        <v>812</v>
      </c>
      <c r="Q55" s="1317" t="s">
        <v>813</v>
      </c>
      <c r="R55" s="1317" t="s">
        <v>814</v>
      </c>
    </row>
    <row r="56" spans="1:18" s="1289" customFormat="1" ht="25.5" thickTop="1" thickBot="1">
      <c r="A56" s="902">
        <v>2</v>
      </c>
      <c r="B56" s="903" t="s">
        <v>704</v>
      </c>
      <c r="C56" s="224">
        <f ca="1">C13</f>
        <v>1975</v>
      </c>
      <c r="D56" s="1349"/>
      <c r="E56" s="1350"/>
      <c r="F56" s="1342"/>
      <c r="I56" s="1351" t="s">
        <v>842</v>
      </c>
      <c r="J56" s="1352" t="s">
        <v>3505</v>
      </c>
      <c r="K56" s="1325" t="s">
        <v>843</v>
      </c>
      <c r="L56" s="1328" t="str">
        <f ca="1">IF(L48&lt;J51,"——",L48-J53)</f>
        <v>——</v>
      </c>
      <c r="O56" s="1322" t="s">
        <v>403</v>
      </c>
      <c r="P56" s="1323" t="s">
        <v>817</v>
      </c>
      <c r="Q56" s="1324">
        <f ca="1">C40+J29</f>
        <v>3459</v>
      </c>
      <c r="R56" s="1324" t="s">
        <v>818</v>
      </c>
    </row>
    <row r="57" spans="1:18" s="1289" customFormat="1" ht="24.75" thickBot="1">
      <c r="A57" s="1353"/>
      <c r="B57" s="895" t="s">
        <v>767</v>
      </c>
      <c r="C57" s="230">
        <f ca="1">C29</f>
        <v>2270</v>
      </c>
      <c r="D57" s="1354"/>
      <c r="E57" s="1355"/>
      <c r="F57" s="1356"/>
      <c r="I57" s="1357" t="s">
        <v>844</v>
      </c>
      <c r="J57" s="1358">
        <f ca="1">IF(OR(M47="住宅",J51&lt;L48,J56="是"),"——",J51-L48)</f>
        <v>2.7700000000000031</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3" t="s">
        <v>714</v>
      </c>
      <c r="C58" s="308">
        <f ca="1">ROUND(C59+C64+C65+C66,0)</f>
        <v>27</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7" t="s">
        <v>398</v>
      </c>
      <c r="B59" s="895" t="s">
        <v>719</v>
      </c>
      <c r="C59" s="2137">
        <f ca="1">ROUND(IF(AND(项目基本情况!B11="自然人",项目基本情况!B10="北京市"),C49*F59/(1+'数据-取费表'!C42),C60+C61+C62),0)</f>
        <v>1</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908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0" t="s">
        <v>853</v>
      </c>
      <c r="J60" s="1361">
        <f ca="1">IF(OR(M47="住宅",J51&lt;L48,J56="是"),"0",ROUND(J59/(1+J52)^J53,0))</f>
        <v>53</v>
      </c>
      <c r="K60" s="1362" t="s">
        <v>854</v>
      </c>
      <c r="L60" s="1361">
        <f ca="1">IF(OR(M47="住宅",L48&lt;J51),0,ROUND(L57*(L58/L59-1),0))</f>
        <v>0</v>
      </c>
      <c r="O60" s="1331" t="s">
        <v>407</v>
      </c>
      <c r="P60" s="1323" t="s">
        <v>855</v>
      </c>
      <c r="Q60" s="1324" t="e">
        <f ca="1">L58</f>
        <v>#DIV/0!</v>
      </c>
      <c r="R60" s="1324" t="s">
        <v>856</v>
      </c>
    </row>
    <row r="61" spans="1:18" s="1289" customFormat="1" ht="13.5" thickBot="1">
      <c r="A61" s="927" t="s">
        <v>781</v>
      </c>
      <c r="B61" s="895" t="s">
        <v>782</v>
      </c>
      <c r="C61" s="21">
        <f ca="1">IF(项目基本情况!B11="自然人","——",IF(D61="按租金收入计税",ROUND(C49*F61/(1+'数据-取费表'!C42),2),IF(D61="按房产原值计税",ROUND(C57*F61*0.7,2),INDIRECT("'数据-取费表'!Aj"&amp;$G$1))))</f>
        <v>0</v>
      </c>
      <c r="D61" s="1275" t="s">
        <v>3337</v>
      </c>
      <c r="E61" s="895"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7" t="s">
        <v>784</v>
      </c>
      <c r="B62" s="894" t="s">
        <v>785</v>
      </c>
      <c r="C62" s="22">
        <f ca="1">IF(项目基本情况!B11="自然人","——",ROUND(F62*F63/10000,2))</f>
        <v>1.43</v>
      </c>
      <c r="D62" s="910" t="s">
        <v>786</v>
      </c>
      <c r="E62" s="895" t="s">
        <v>787</v>
      </c>
      <c r="F62" s="317">
        <f t="shared" si="0"/>
        <v>1.5</v>
      </c>
      <c r="I62" s="1364" t="s">
        <v>858</v>
      </c>
      <c r="J62" s="610" t="s">
        <v>859</v>
      </c>
      <c r="K62" s="610" t="s">
        <v>860</v>
      </c>
      <c r="L62" s="610" t="s">
        <v>861</v>
      </c>
      <c r="M62" s="1365" t="s">
        <v>862</v>
      </c>
      <c r="O62" s="1322" t="s">
        <v>409</v>
      </c>
      <c r="P62" s="1323" t="s">
        <v>863</v>
      </c>
      <c r="Q62" s="1324">
        <f ca="1">Q56+Q57</f>
        <v>3459</v>
      </c>
      <c r="R62" s="1324" t="s">
        <v>410</v>
      </c>
    </row>
    <row r="63" spans="1:18" s="1289" customFormat="1" ht="13.5" thickBot="1">
      <c r="A63" s="318"/>
      <c r="B63" s="901"/>
      <c r="C63" s="26"/>
      <c r="D63" s="911"/>
      <c r="E63" s="895" t="s">
        <v>788</v>
      </c>
      <c r="F63" s="295">
        <f t="shared" ca="1" si="0"/>
        <v>9558.83</v>
      </c>
      <c r="I63" s="1364" t="s">
        <v>864</v>
      </c>
      <c r="J63" s="610">
        <v>70</v>
      </c>
      <c r="K63" s="610">
        <v>50</v>
      </c>
      <c r="L63" s="610">
        <v>80</v>
      </c>
      <c r="M63" s="1366">
        <v>0.02</v>
      </c>
      <c r="O63" s="1307" t="s">
        <v>865</v>
      </c>
      <c r="P63" s="1286"/>
      <c r="Q63" s="1286"/>
      <c r="R63" s="1286"/>
    </row>
    <row r="64" spans="1:18" s="1289" customFormat="1" ht="13.5" thickBot="1">
      <c r="A64" s="927" t="s">
        <v>789</v>
      </c>
      <c r="B64" s="895" t="s">
        <v>790</v>
      </c>
      <c r="C64" s="21">
        <f ca="1">ROUND(C57*F64,2)</f>
        <v>22.7</v>
      </c>
      <c r="D64" s="909" t="s">
        <v>791</v>
      </c>
      <c r="E64" s="895"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5" thickBot="1">
      <c r="A65" s="927" t="s">
        <v>792</v>
      </c>
      <c r="B65" s="895" t="s">
        <v>742</v>
      </c>
      <c r="C65" s="21">
        <f ca="1">ROUND(C56*F65,2)</f>
        <v>2.96</v>
      </c>
      <c r="D65" s="909" t="s">
        <v>743</v>
      </c>
      <c r="E65" s="895" t="s">
        <v>744</v>
      </c>
      <c r="F65" s="321">
        <f t="shared" ca="1" si="0"/>
        <v>1.5E-3</v>
      </c>
      <c r="I65" s="1364" t="s">
        <v>867</v>
      </c>
      <c r="J65" s="610">
        <v>40</v>
      </c>
      <c r="K65" s="610">
        <v>30</v>
      </c>
      <c r="L65" s="610">
        <v>50</v>
      </c>
      <c r="M65" s="1366">
        <v>0.02</v>
      </c>
      <c r="O65" s="1322" t="s">
        <v>403</v>
      </c>
      <c r="P65" s="1323" t="s">
        <v>868</v>
      </c>
      <c r="Q65" s="1324">
        <f ca="1">C40+J29</f>
        <v>3459</v>
      </c>
      <c r="R65" s="1324" t="s">
        <v>818</v>
      </c>
    </row>
    <row r="66" spans="1:18" s="1289" customFormat="1" ht="16.5" thickBot="1">
      <c r="A66" s="927" t="s">
        <v>793</v>
      </c>
      <c r="B66" s="895" t="s">
        <v>728</v>
      </c>
      <c r="C66" s="21">
        <f ca="1">ROUND(C48*F66,2)</f>
        <v>0</v>
      </c>
      <c r="D66" s="909" t="s">
        <v>794</v>
      </c>
      <c r="E66" s="895" t="s">
        <v>712</v>
      </c>
      <c r="F66" s="304">
        <f t="shared" ca="1" si="0"/>
        <v>0.01</v>
      </c>
      <c r="O66" s="1322" t="s">
        <v>404</v>
      </c>
      <c r="P66" s="1323" t="s">
        <v>846</v>
      </c>
      <c r="Q66" s="1324">
        <f ca="1">L60</f>
        <v>0</v>
      </c>
      <c r="R66" s="1324" t="s">
        <v>869</v>
      </c>
    </row>
    <row r="67" spans="1:18" s="1289" customFormat="1" ht="16.5" thickBot="1">
      <c r="A67" s="902" t="s">
        <v>394</v>
      </c>
      <c r="B67" s="912" t="s">
        <v>752</v>
      </c>
      <c r="C67" s="308">
        <f ca="1">C48-C58</f>
        <v>-27</v>
      </c>
      <c r="D67" s="908" t="s">
        <v>753</v>
      </c>
      <c r="E67" s="913"/>
      <c r="F67" s="914"/>
      <c r="O67" s="1331" t="s">
        <v>405</v>
      </c>
      <c r="P67" s="1323" t="s">
        <v>850</v>
      </c>
      <c r="Q67" s="1367">
        <f ca="1">L51</f>
        <v>466</v>
      </c>
      <c r="R67" s="1324" t="s">
        <v>870</v>
      </c>
    </row>
    <row r="68" spans="1:18" s="1289" customFormat="1" ht="16.5" thickBot="1">
      <c r="A68" s="892" t="s">
        <v>395</v>
      </c>
      <c r="B68" s="893" t="s">
        <v>774</v>
      </c>
      <c r="C68" s="293">
        <f ca="1">ROUND(C67*(1-((1+F70)/(1+F68))^F69)/(F68-F70),0)</f>
        <v>-431</v>
      </c>
      <c r="D68" s="910" t="s">
        <v>758</v>
      </c>
      <c r="E68" s="895" t="s">
        <v>759</v>
      </c>
      <c r="F68" s="304">
        <f ca="1">F40</f>
        <v>5.5E-2</v>
      </c>
      <c r="O68" s="1331" t="s">
        <v>406</v>
      </c>
      <c r="P68" s="1368" t="s">
        <v>871</v>
      </c>
      <c r="Q68" s="1324">
        <f ca="1">ROUND(Q69-Q70*Q71,0)</f>
        <v>27</v>
      </c>
      <c r="R68" s="1324" t="s">
        <v>414</v>
      </c>
    </row>
    <row r="69" spans="1:18" s="1289" customFormat="1" ht="13.5" thickBot="1">
      <c r="A69" s="896"/>
      <c r="B69" s="897"/>
      <c r="C69" s="298"/>
      <c r="D69" s="915" t="s">
        <v>762</v>
      </c>
      <c r="E69" s="895" t="s">
        <v>763</v>
      </c>
      <c r="F69" s="324">
        <f ca="1">F41</f>
        <v>39.229999999999997</v>
      </c>
      <c r="O69" s="1331" t="s">
        <v>411</v>
      </c>
      <c r="P69" s="1368" t="s">
        <v>872</v>
      </c>
      <c r="Q69" s="1324">
        <f ca="1">C39</f>
        <v>165</v>
      </c>
      <c r="R69" s="1324" t="s">
        <v>818</v>
      </c>
    </row>
    <row r="70" spans="1:18" s="1289" customFormat="1" ht="13.5" thickBot="1">
      <c r="A70" s="899"/>
      <c r="B70" s="900"/>
      <c r="C70" s="302"/>
      <c r="D70" s="911"/>
      <c r="E70" s="895" t="s">
        <v>766</v>
      </c>
      <c r="F70" s="989"/>
      <c r="O70" s="1331" t="s">
        <v>412</v>
      </c>
      <c r="P70" s="1368" t="s">
        <v>873</v>
      </c>
      <c r="Q70" s="1324">
        <f ca="1">C13</f>
        <v>1975</v>
      </c>
      <c r="R70" s="1324" t="s">
        <v>818</v>
      </c>
    </row>
    <row r="71" spans="1:18" s="1289" customFormat="1" ht="13.5" thickBot="1">
      <c r="A71" s="916" t="s">
        <v>396</v>
      </c>
      <c r="B71" s="917" t="s">
        <v>776</v>
      </c>
      <c r="C71" s="327">
        <f ca="1">ROUND(C68*10000/F71,0)</f>
        <v>-670</v>
      </c>
      <c r="D71" s="918" t="s">
        <v>777</v>
      </c>
      <c r="E71" s="919" t="s">
        <v>778</v>
      </c>
      <c r="F71" s="330">
        <f ca="1">F43</f>
        <v>6436.4900000000007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138</v>
      </c>
      <c r="D75" s="1289"/>
      <c r="E75" s="1289"/>
      <c r="F75" s="1289"/>
      <c r="K75" s="1306"/>
      <c r="L75" s="1289"/>
      <c r="O75" s="1322" t="s">
        <v>409</v>
      </c>
      <c r="P75" s="1323" t="s">
        <v>838</v>
      </c>
      <c r="Q75" s="1324">
        <f ca="1">Q65+Q66</f>
        <v>3459</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0.16400000000000003</v>
      </c>
    </row>
    <row r="80" spans="1:18">
      <c r="B80" s="331" t="s">
        <v>800</v>
      </c>
      <c r="C80" s="266">
        <f ca="1">ROUND(C75/C39,3)</f>
        <v>0.83599999999999997</v>
      </c>
    </row>
    <row r="81" spans="2:3">
      <c r="B81" s="262" t="s">
        <v>801</v>
      </c>
      <c r="C81" s="230"/>
    </row>
    <row r="82" spans="2:3">
      <c r="B82" s="265" t="s">
        <v>802</v>
      </c>
      <c r="C82" s="267">
        <f ca="1">1-C83</f>
        <v>0.42900000000000005</v>
      </c>
    </row>
    <row r="83" spans="2:3">
      <c r="B83" s="265" t="s">
        <v>803</v>
      </c>
      <c r="C83" s="266">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c r="D1" s="1268" t="s">
        <v>43</v>
      </c>
      <c r="E1" s="1269" t="s">
        <v>678</v>
      </c>
      <c r="F1" s="997">
        <f ca="1">J53</f>
        <v>0</v>
      </c>
      <c r="G1" s="1283">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379" t="s">
        <v>694</v>
      </c>
      <c r="C6" s="1009">
        <f ca="1">ROUND(F6*F8*F7*(1-F9),0)</f>
        <v>0</v>
      </c>
      <c r="D6" s="147" t="s">
        <v>2105</v>
      </c>
      <c r="E6" s="294" t="s">
        <v>696</v>
      </c>
      <c r="F6" s="295">
        <f ca="1">INDIRECT("'数据-取费表'!u"&amp;$G$1)</f>
        <v>0</v>
      </c>
      <c r="G6" s="1289"/>
      <c r="H6" s="1004" t="s">
        <v>398</v>
      </c>
      <c r="I6" s="3379" t="s">
        <v>694</v>
      </c>
      <c r="J6" s="293">
        <f ca="1">ROUND(M6*M8*M7*(1-M9),0)</f>
        <v>0</v>
      </c>
      <c r="K6" s="1281" t="s">
        <v>2106</v>
      </c>
      <c r="L6" s="294" t="s">
        <v>696</v>
      </c>
      <c r="M6" s="295">
        <f ca="1">INDIRECT("'数据-取费表'!z"&amp;$G$1)</f>
        <v>0</v>
      </c>
    </row>
    <row r="7" spans="1:37" ht="18" customHeight="1">
      <c r="A7" s="1008"/>
      <c r="B7" s="3380"/>
      <c r="C7" s="1010"/>
      <c r="D7" s="299"/>
      <c r="E7" s="1011" t="s">
        <v>697</v>
      </c>
      <c r="F7" s="295">
        <f ca="1">IF(INDIRECT("'数据-取费表'!ah"&amp;$G$1)="",INDIRECT("'数据-取费表'!k"&amp;$G$1),INDIRECT("'数据-取费表'!ah"&amp;$G$1))</f>
        <v>0</v>
      </c>
      <c r="G7" s="1289"/>
      <c r="H7" s="296"/>
      <c r="I7" s="3380"/>
      <c r="J7" s="298"/>
      <c r="K7" s="299"/>
      <c r="L7" s="294" t="s">
        <v>697</v>
      </c>
      <c r="M7" s="295">
        <f ca="1">F7</f>
        <v>0</v>
      </c>
    </row>
    <row r="8" spans="1:37" ht="18" customHeight="1">
      <c r="A8" s="296"/>
      <c r="B8" s="3380"/>
      <c r="C8" s="298"/>
      <c r="D8" s="299"/>
      <c r="E8" s="294" t="s">
        <v>698</v>
      </c>
      <c r="F8" s="295">
        <f ca="1">INDIRECT("'数据-取费表'!ai"&amp;$G$1)</f>
        <v>0</v>
      </c>
      <c r="G8" s="1289"/>
      <c r="H8" s="296"/>
      <c r="I8" s="3380"/>
      <c r="J8" s="298"/>
      <c r="K8" s="299"/>
      <c r="L8" s="294" t="s">
        <v>698</v>
      </c>
      <c r="M8" s="295">
        <f ca="1">INDIRECT("'数据-取费表'!ai"&amp;$G$1)</f>
        <v>0</v>
      </c>
    </row>
    <row r="9" spans="1:37" ht="18" customHeight="1">
      <c r="A9" s="296"/>
      <c r="B9" s="3381"/>
      <c r="C9" s="298"/>
      <c r="D9" s="299"/>
      <c r="E9" s="294" t="s">
        <v>699</v>
      </c>
      <c r="F9" s="304">
        <f ca="1">INDIRECT("'数据-取费表'!w"&amp;$G$1)</f>
        <v>0</v>
      </c>
      <c r="G9" s="1289"/>
      <c r="H9" s="296"/>
      <c r="I9" s="3381"/>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2115</v>
      </c>
      <c r="E10" s="305" t="s">
        <v>701</v>
      </c>
      <c r="F10" s="1051"/>
      <c r="G10" s="1289"/>
      <c r="H10" s="1004" t="s">
        <v>402</v>
      </c>
      <c r="I10" s="1271" t="s">
        <v>700</v>
      </c>
      <c r="J10" s="293">
        <f ca="1">ROUND(IF(M10="押一",J6/12*M11,IF(M10="押二",J6/12*2*M11,IF(M10="押三",J6/12*3*M11,J11*M11))),0)</f>
        <v>0</v>
      </c>
      <c r="K10" s="1282" t="s">
        <v>2117</v>
      </c>
      <c r="L10" s="305" t="s">
        <v>701</v>
      </c>
      <c r="M10" s="1051"/>
    </row>
    <row r="11" spans="1:37" ht="18" customHeight="1">
      <c r="A11" s="300"/>
      <c r="B11" s="1272" t="s">
        <v>890</v>
      </c>
      <c r="C11" s="904"/>
      <c r="D11" s="299"/>
      <c r="E11" s="305" t="s">
        <v>702</v>
      </c>
      <c r="F11" s="306">
        <f ca="1">'数据-取费表'!B39</f>
        <v>1.4999999999999999E-2</v>
      </c>
      <c r="G11" s="1289"/>
      <c r="H11" s="1012"/>
      <c r="I11" s="1272" t="s">
        <v>891</v>
      </c>
      <c r="J11" s="904"/>
      <c r="K11" s="645"/>
      <c r="L11" s="305"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7" t="s">
        <v>397</v>
      </c>
      <c r="B14" s="294" t="s">
        <v>707</v>
      </c>
      <c r="C14" s="310">
        <f ca="1">ROUND(INDIRECT("'数据-取费表'!l"&amp;$G$1)*F43+'数据-取费表'!L14*INDIRECT("'数据-取费表'!S"&amp;$G$1),0)</f>
        <v>0</v>
      </c>
      <c r="D14" s="1254" t="s">
        <v>708</v>
      </c>
      <c r="E14" s="1252"/>
      <c r="F14" s="311"/>
      <c r="G14" s="1289"/>
      <c r="H14" s="927" t="s">
        <v>398</v>
      </c>
      <c r="I14" s="294" t="s">
        <v>709</v>
      </c>
      <c r="J14" s="21">
        <f ca="1">C29</f>
        <v>0</v>
      </c>
      <c r="K14" s="12"/>
      <c r="L14" s="758"/>
      <c r="M14" s="759"/>
    </row>
    <row r="15" spans="1:37" s="1301" customFormat="1" ht="18" customHeight="1" thickBot="1">
      <c r="A15" s="927" t="s">
        <v>399</v>
      </c>
      <c r="B15" s="294" t="s">
        <v>710</v>
      </c>
      <c r="C15" s="21">
        <f ca="1">ROUND(C14*F15,0)</f>
        <v>0</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7" t="s">
        <v>681</v>
      </c>
      <c r="B17" s="294" t="s">
        <v>716</v>
      </c>
      <c r="C17" s="21">
        <f ca="1">ROUND(F17*(F43+INDIRECT("'数据-取费表'!S"&amp;$G$1)),0)</f>
        <v>0</v>
      </c>
      <c r="D17" s="294" t="s">
        <v>717</v>
      </c>
      <c r="E17" s="294" t="s">
        <v>718</v>
      </c>
      <c r="F17" s="23">
        <f>'数据-取费表'!B35</f>
        <v>200</v>
      </c>
      <c r="G17" s="1300"/>
      <c r="H17" s="927"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4" t="s">
        <v>722</v>
      </c>
      <c r="C18" s="21">
        <f ca="1">ROUND(C14*F18,0)</f>
        <v>0</v>
      </c>
      <c r="D18" s="294" t="s">
        <v>711</v>
      </c>
      <c r="E18" s="294" t="s">
        <v>712</v>
      </c>
      <c r="F18" s="314">
        <f>'数据-取费表'!B36</f>
        <v>0.02</v>
      </c>
      <c r="G18" s="1300"/>
      <c r="H18" s="927" t="s">
        <v>397</v>
      </c>
      <c r="I18" s="294" t="s">
        <v>723</v>
      </c>
      <c r="J18" s="21">
        <f ca="1">ROUND(J6*M18/(1+'数据-取费表'!C42),0)</f>
        <v>0</v>
      </c>
      <c r="K18" s="1253" t="s">
        <v>724</v>
      </c>
      <c r="L18" s="294" t="s">
        <v>712</v>
      </c>
      <c r="M18" s="314">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4" t="s">
        <v>725</v>
      </c>
      <c r="C19" s="21">
        <f ca="1">SUM(C14:C18)</f>
        <v>0</v>
      </c>
      <c r="D19" s="123" t="s">
        <v>726</v>
      </c>
      <c r="E19" s="1266"/>
      <c r="F19" s="23"/>
      <c r="G19" s="1289"/>
      <c r="H19" s="927" t="s">
        <v>399</v>
      </c>
      <c r="I19" s="294" t="s">
        <v>727</v>
      </c>
      <c r="J19" s="21">
        <f ca="1">IF(K19="按租金收入计税",ROUND(J6*M19/(1+'数据-取费表'!C42),0),ROUND(C29*M19*0.7,0))</f>
        <v>0</v>
      </c>
      <c r="K19" s="1275" t="s">
        <v>3337</v>
      </c>
      <c r="L19" s="294" t="s">
        <v>712</v>
      </c>
      <c r="M19" s="314">
        <f>IF(K19="按租金收入计税",'数据-取费表'!B51,'数据-取费表'!B50)</f>
        <v>0.12</v>
      </c>
    </row>
    <row r="20" spans="1:37" s="1301" customFormat="1" ht="18" customHeight="1">
      <c r="A20" s="927" t="s">
        <v>402</v>
      </c>
      <c r="B20" s="294" t="s">
        <v>728</v>
      </c>
      <c r="C20" s="21">
        <f ca="1">ROUND(C19*F20,0)</f>
        <v>0</v>
      </c>
      <c r="D20" s="315" t="s">
        <v>729</v>
      </c>
      <c r="E20" s="294" t="s">
        <v>712</v>
      </c>
      <c r="F20" s="314">
        <f>'数据-取费表'!B37</f>
        <v>0.02</v>
      </c>
      <c r="G20" s="1300"/>
      <c r="H20" s="927" t="s">
        <v>680</v>
      </c>
      <c r="I20" s="147" t="s">
        <v>730</v>
      </c>
      <c r="J20" s="22">
        <f ca="1">ROUND(M20*M21,0)</f>
        <v>0</v>
      </c>
      <c r="K20" s="316" t="s">
        <v>731</v>
      </c>
      <c r="L20" s="294" t="s">
        <v>732</v>
      </c>
      <c r="M20" s="317">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6"/>
      <c r="F22" s="23"/>
      <c r="G22" s="1289"/>
      <c r="H22" s="927" t="s">
        <v>402</v>
      </c>
      <c r="I22" s="294" t="s">
        <v>738</v>
      </c>
      <c r="J22" s="21">
        <f ca="1">ROUND(J14*M22,0)</f>
        <v>0</v>
      </c>
      <c r="K22" s="1253" t="s">
        <v>739</v>
      </c>
      <c r="L22" s="294" t="s">
        <v>712</v>
      </c>
      <c r="M22" s="320">
        <f ca="1">INDIRECT("'数据-取费表'!Ak"&amp;$G$1)</f>
        <v>0</v>
      </c>
    </row>
    <row r="23" spans="1:37" s="1301"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0"/>
      <c r="H23" s="927"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7" t="s">
        <v>400</v>
      </c>
      <c r="B28" s="294" t="s">
        <v>764</v>
      </c>
      <c r="C28" s="21">
        <f>ROUND(F28/(1+'数据-取费表'!C42),4)</f>
        <v>5.2400000000000002E-2</v>
      </c>
      <c r="D28" s="315" t="s">
        <v>765</v>
      </c>
      <c r="E28" s="294" t="s">
        <v>712</v>
      </c>
      <c r="F28" s="314">
        <f>'数据-取费表'!B41</f>
        <v>5.5000000000000007E-2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3"/>
      <c r="I30" s="1302"/>
      <c r="J30" s="1303"/>
      <c r="K30" s="121"/>
      <c r="L30" s="2464"/>
      <c r="M30" s="2465"/>
    </row>
    <row r="31" spans="1:37" ht="18" customHeight="1">
      <c r="A31" s="927"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2" t="s">
        <v>2307</v>
      </c>
      <c r="I31" s="1302"/>
      <c r="J31" s="1303"/>
      <c r="K31" s="121"/>
      <c r="L31" s="2464"/>
      <c r="M31" s="2465"/>
    </row>
    <row r="32" spans="1:37" ht="18" customHeight="1">
      <c r="A32" s="927" t="s">
        <v>397</v>
      </c>
      <c r="B32" s="294" t="s">
        <v>723</v>
      </c>
      <c r="C32" s="21">
        <f ca="1">IF(项目基本情况!B11="自然人","——",ROUND(C6*F32/(1+'数据-取费表'!C42),0))</f>
        <v>0</v>
      </c>
      <c r="D32" s="1253" t="s">
        <v>724</v>
      </c>
      <c r="E32" s="294" t="s">
        <v>712</v>
      </c>
      <c r="F32" s="322">
        <f>'数据-取费表'!B41</f>
        <v>5.5000000000000007E-2</v>
      </c>
      <c r="G32" s="1289"/>
      <c r="H32" s="2463"/>
      <c r="I32" s="1302"/>
      <c r="J32" s="1303"/>
      <c r="K32" s="121"/>
      <c r="L32" s="2464"/>
      <c r="M32" s="2465"/>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5" t="s">
        <v>3337</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IF(项目基本情况!B11="自然人","——",ROUND(F34*F35,0))</f>
        <v>0</v>
      </c>
      <c r="D34" s="316" t="s">
        <v>731</v>
      </c>
      <c r="E34" s="294" t="s">
        <v>732</v>
      </c>
      <c r="F34" s="317">
        <f>'数据-取费表'!B52</f>
        <v>1.5</v>
      </c>
      <c r="G34" s="1289"/>
      <c r="H34" s="2463"/>
      <c r="I34" s="1302"/>
      <c r="J34" s="1303"/>
      <c r="K34" s="2468"/>
      <c r="L34" s="2469"/>
      <c r="M34" s="2469"/>
    </row>
    <row r="35" spans="1:18" ht="18" customHeight="1">
      <c r="A35" s="1038"/>
      <c r="B35" s="1036"/>
      <c r="C35" s="26"/>
      <c r="D35" s="319"/>
      <c r="E35" s="294" t="s">
        <v>736</v>
      </c>
      <c r="F35" s="295">
        <f ca="1">INDIRECT("'数据-取费表'!r"&amp;$G$1)</f>
        <v>0</v>
      </c>
      <c r="G35" s="1289"/>
      <c r="H35" s="2463"/>
      <c r="I35" s="1302"/>
      <c r="J35" s="1303"/>
      <c r="K35" s="2467"/>
      <c r="L35" s="2466"/>
      <c r="M35" s="2466"/>
    </row>
    <row r="36" spans="1:18" ht="18" customHeight="1">
      <c r="A36" s="1037" t="s">
        <v>402</v>
      </c>
      <c r="B36" s="294" t="s">
        <v>738</v>
      </c>
      <c r="C36" s="21">
        <f ca="1">ROUND(C29*F36,0)</f>
        <v>0</v>
      </c>
      <c r="D36" s="1253" t="s">
        <v>771</v>
      </c>
      <c r="E36" s="294" t="s">
        <v>712</v>
      </c>
      <c r="F36" s="320">
        <f ca="1">INDIRECT("'数据-取费表'!Ak"&amp;$G$1)</f>
        <v>0</v>
      </c>
      <c r="G36" s="1289"/>
      <c r="H36" s="2466"/>
      <c r="I36" s="1302"/>
      <c r="J36" s="1303"/>
      <c r="K36" s="2325"/>
      <c r="L36" s="2466"/>
      <c r="M36" s="2466"/>
    </row>
    <row r="37" spans="1:18" ht="18" customHeight="1">
      <c r="A37" s="927" t="s">
        <v>437</v>
      </c>
      <c r="B37" s="294" t="s">
        <v>742</v>
      </c>
      <c r="C37" s="21">
        <f ca="1">ROUND(C13*F37,0)</f>
        <v>0</v>
      </c>
      <c r="D37" s="1253" t="s">
        <v>743</v>
      </c>
      <c r="E37" s="294" t="s">
        <v>744</v>
      </c>
      <c r="F37" s="321">
        <f ca="1">INDIRECT("'数据-取费表'!Al"&amp;$G$1)</f>
        <v>0</v>
      </c>
      <c r="G37" s="1289"/>
      <c r="H37" s="2466"/>
      <c r="I37" s="1302"/>
      <c r="J37" s="1303"/>
      <c r="K37" s="2325"/>
      <c r="L37" s="2466"/>
      <c r="M37" s="2466"/>
    </row>
    <row r="38" spans="1:18" ht="18" customHeight="1" thickBot="1">
      <c r="A38" s="1024" t="s">
        <v>684</v>
      </c>
      <c r="B38" s="1025" t="s">
        <v>728</v>
      </c>
      <c r="C38" s="1026">
        <f ca="1">ROUND(C5*F38,0)</f>
        <v>0</v>
      </c>
      <c r="D38" s="1027" t="s">
        <v>748</v>
      </c>
      <c r="E38" s="1025" t="s">
        <v>744</v>
      </c>
      <c r="F38" s="1021">
        <f ca="1">INDIRECT("'数据-取费表'!Am"&amp;$G$1)</f>
        <v>0</v>
      </c>
      <c r="G38" s="1289"/>
      <c r="H38" s="2466"/>
      <c r="I38" s="1302"/>
      <c r="J38" s="1303"/>
      <c r="K38" s="2464"/>
      <c r="L38" s="2466"/>
      <c r="M38" s="2466"/>
    </row>
    <row r="39" spans="1:18" ht="24.6" customHeight="1" thickTop="1">
      <c r="A39" s="1014" t="s">
        <v>394</v>
      </c>
      <c r="B39" s="1029" t="s">
        <v>772</v>
      </c>
      <c r="C39" s="302">
        <f ca="1">C5-C30</f>
        <v>0</v>
      </c>
      <c r="D39" s="1030" t="s">
        <v>773</v>
      </c>
      <c r="E39" s="1031"/>
      <c r="F39" s="1032"/>
      <c r="G39" s="1289"/>
      <c r="H39" s="2466"/>
      <c r="I39" s="1302"/>
      <c r="J39" s="1303"/>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122" t="s">
        <v>3353</v>
      </c>
      <c r="B45" s="1304"/>
      <c r="C45" s="1373" t="e">
        <f ca="1">ROUND((C68-C40)/10000,4)</f>
        <v>#DIV/0!</v>
      </c>
      <c r="D45" s="3123" t="s">
        <v>3354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1" t="s">
        <v>687</v>
      </c>
      <c r="B47" s="923" t="s">
        <v>688</v>
      </c>
      <c r="C47" s="923" t="s">
        <v>689</v>
      </c>
      <c r="D47" s="923" t="s">
        <v>690</v>
      </c>
      <c r="E47" s="993" t="s">
        <v>691</v>
      </c>
      <c r="F47" s="994"/>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7"/>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20" t="s">
        <v>439</v>
      </c>
      <c r="B49" s="1276" t="s">
        <v>779</v>
      </c>
      <c r="C49" s="1049">
        <f ca="1">ROUND(F49*F51*F50*(1-F52),0)</f>
        <v>0</v>
      </c>
      <c r="D49" s="990" t="s">
        <v>695</v>
      </c>
      <c r="E49" s="1277" t="s">
        <v>780</v>
      </c>
      <c r="F49" s="995"/>
      <c r="H49" s="681"/>
      <c r="I49" s="1325" t="s">
        <v>823</v>
      </c>
      <c r="J49" s="1329"/>
      <c r="K49" s="1327" t="s">
        <v>824</v>
      </c>
      <c r="L49" s="1330"/>
      <c r="O49" s="1331" t="s">
        <v>405</v>
      </c>
      <c r="P49" s="1323" t="s">
        <v>825</v>
      </c>
      <c r="Q49" s="1324">
        <f ca="1">C29</f>
        <v>0</v>
      </c>
      <c r="R49" s="1324" t="s">
        <v>818</v>
      </c>
    </row>
    <row r="50" spans="1:18" s="1289" customFormat="1" ht="13.5" thickBot="1">
      <c r="A50" s="921"/>
      <c r="B50" s="924"/>
      <c r="C50" s="925"/>
      <c r="D50" s="898"/>
      <c r="E50" s="991" t="s">
        <v>697</v>
      </c>
      <c r="F50" s="992">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2"/>
      <c r="B51" s="924"/>
      <c r="C51" s="925"/>
      <c r="D51" s="898"/>
      <c r="E51" s="926"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2"/>
      <c r="B52" s="924"/>
      <c r="C52" s="925"/>
      <c r="D52" s="898"/>
      <c r="E52" s="926"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2118</v>
      </c>
      <c r="E53" s="305" t="s">
        <v>701</v>
      </c>
      <c r="F53" s="1051"/>
      <c r="I53" s="1341" t="s">
        <v>836</v>
      </c>
      <c r="J53" s="2003">
        <f ca="1">IF(M47="住宅",IF(D1="——",MAX(J51,L48),MAX(J51,L48-'数据-取费表'!B24)),IF(D1="——",MIN(J51,L48),MIN(J51,L48-'数据-取费表'!B24)))</f>
        <v>0</v>
      </c>
      <c r="K53" s="3377" t="s">
        <v>837</v>
      </c>
      <c r="L53" s="3378"/>
      <c r="O53" s="1322" t="s">
        <v>409</v>
      </c>
      <c r="P53" s="1323" t="s">
        <v>838</v>
      </c>
      <c r="Q53" s="1324" t="e">
        <f ca="1">Q47+Q48</f>
        <v>#DIV/0!</v>
      </c>
      <c r="R53" s="1324" t="s">
        <v>410</v>
      </c>
    </row>
    <row r="54" spans="1:18" s="1289" customFormat="1" ht="13.5" thickBot="1">
      <c r="A54" s="920"/>
      <c r="B54" s="1374" t="s">
        <v>891</v>
      </c>
      <c r="C54" s="904"/>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2">
        <v>2</v>
      </c>
      <c r="B56" s="903"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5"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3" t="s">
        <v>714</v>
      </c>
      <c r="C58" s="308">
        <f ca="1">ROUND(C59+C64+C65+C66,0)</f>
        <v>0</v>
      </c>
      <c r="D58" s="905" t="s">
        <v>715</v>
      </c>
      <c r="E58" s="906"/>
      <c r="F58" s="907"/>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7" t="s">
        <v>781</v>
      </c>
      <c r="B61" s="895" t="s">
        <v>782</v>
      </c>
      <c r="C61" s="21">
        <f ca="1">IF(项目基本情况!B11="自然人","——",IF(D61="按租金收入计税",ROUND(C49*F61/(1+'数据-取费表'!C42),0),IF(D61="按房产原值计税",ROUND(C57*F61*0.7,0),INDIRECT("'数据-取费表'!Aj"&amp;$G$1))))</f>
        <v>0</v>
      </c>
      <c r="D61" s="1275" t="s">
        <v>3337</v>
      </c>
      <c r="E61" s="895"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7" t="s">
        <v>784</v>
      </c>
      <c r="B62" s="894" t="s">
        <v>785</v>
      </c>
      <c r="C62" s="22">
        <f ca="1">IF(项目基本情况!B11="自然人","——",ROUND(F62*F63,0))</f>
        <v>0</v>
      </c>
      <c r="D62" s="910" t="s">
        <v>786</v>
      </c>
      <c r="E62" s="895" t="s">
        <v>787</v>
      </c>
      <c r="F62" s="317">
        <f t="shared" si="0"/>
        <v>1.5</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901"/>
      <c r="C63" s="26"/>
      <c r="D63" s="911"/>
      <c r="E63" s="895"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7" t="s">
        <v>789</v>
      </c>
      <c r="B64" s="895" t="s">
        <v>790</v>
      </c>
      <c r="C64" s="21">
        <f ca="1">ROUND(C57*F64,0)</f>
        <v>0</v>
      </c>
      <c r="D64" s="909" t="s">
        <v>791</v>
      </c>
      <c r="E64" s="895"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7" t="s">
        <v>792</v>
      </c>
      <c r="B65" s="895" t="s">
        <v>742</v>
      </c>
      <c r="C65" s="21">
        <f ca="1">ROUND(C56*F65,0)</f>
        <v>0</v>
      </c>
      <c r="D65" s="909" t="s">
        <v>743</v>
      </c>
      <c r="E65" s="895"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7" t="s">
        <v>793</v>
      </c>
      <c r="B66" s="895" t="s">
        <v>728</v>
      </c>
      <c r="C66" s="21">
        <f ca="1">ROUND(C48*F66,0)</f>
        <v>0</v>
      </c>
      <c r="D66" s="909" t="s">
        <v>794</v>
      </c>
      <c r="E66" s="895" t="s">
        <v>712</v>
      </c>
      <c r="F66" s="304">
        <f t="shared" ca="1" si="0"/>
        <v>0</v>
      </c>
      <c r="O66" s="1322" t="s">
        <v>404</v>
      </c>
      <c r="P66" s="1323" t="s">
        <v>846</v>
      </c>
      <c r="Q66" s="1324" t="e">
        <f ca="1">L60</f>
        <v>#DIV/0!</v>
      </c>
      <c r="R66" s="1324" t="s">
        <v>869</v>
      </c>
    </row>
    <row r="67" spans="1:18" s="1289" customFormat="1" ht="16.5" thickBot="1">
      <c r="A67" s="902" t="s">
        <v>394</v>
      </c>
      <c r="B67" s="912" t="s">
        <v>752</v>
      </c>
      <c r="C67" s="308">
        <f ca="1">C48-C58</f>
        <v>0</v>
      </c>
      <c r="D67" s="908" t="s">
        <v>753</v>
      </c>
      <c r="E67" s="913"/>
      <c r="F67" s="914"/>
      <c r="O67" s="1331" t="s">
        <v>405</v>
      </c>
      <c r="P67" s="1323" t="s">
        <v>850</v>
      </c>
      <c r="Q67" s="1367">
        <f ca="1">L51</f>
        <v>0</v>
      </c>
      <c r="R67" s="1324" t="s">
        <v>870</v>
      </c>
    </row>
    <row r="68" spans="1:18" s="1289" customFormat="1" ht="16.5" thickBot="1">
      <c r="A68" s="892" t="s">
        <v>395</v>
      </c>
      <c r="B68" s="893" t="s">
        <v>774</v>
      </c>
      <c r="C68" s="293" t="e">
        <f ca="1">ROUND(C67*(1-((1+F70)/(1+F68))^F69)/(F68-F70),0)</f>
        <v>#DIV/0!</v>
      </c>
      <c r="D68" s="910" t="s">
        <v>758</v>
      </c>
      <c r="E68" s="895" t="s">
        <v>759</v>
      </c>
      <c r="F68" s="304">
        <f ca="1">F40</f>
        <v>0</v>
      </c>
      <c r="O68" s="1331" t="s">
        <v>406</v>
      </c>
      <c r="P68" s="1368" t="s">
        <v>871</v>
      </c>
      <c r="Q68" s="1324">
        <f ca="1">ROUND(Q69-Q70*Q71,0)</f>
        <v>0</v>
      </c>
      <c r="R68" s="1324" t="s">
        <v>414</v>
      </c>
    </row>
    <row r="69" spans="1:18" s="1289" customFormat="1" ht="13.5" thickBot="1">
      <c r="A69" s="896"/>
      <c r="B69" s="897"/>
      <c r="C69" s="298"/>
      <c r="D69" s="915" t="s">
        <v>762</v>
      </c>
      <c r="E69" s="895" t="s">
        <v>763</v>
      </c>
      <c r="F69" s="324">
        <f ca="1">F41</f>
        <v>0</v>
      </c>
      <c r="O69" s="1331" t="s">
        <v>411</v>
      </c>
      <c r="P69" s="1368" t="s">
        <v>872</v>
      </c>
      <c r="Q69" s="1324">
        <f ca="1">C39</f>
        <v>0</v>
      </c>
      <c r="R69" s="1324" t="s">
        <v>818</v>
      </c>
    </row>
    <row r="70" spans="1:18" s="1289" customFormat="1" ht="13.5" thickBot="1">
      <c r="A70" s="899"/>
      <c r="B70" s="900"/>
      <c r="C70" s="302"/>
      <c r="D70" s="911"/>
      <c r="E70" s="895" t="s">
        <v>766</v>
      </c>
      <c r="F70" s="989"/>
      <c r="O70" s="1331" t="s">
        <v>412</v>
      </c>
      <c r="P70" s="1368" t="s">
        <v>873</v>
      </c>
      <c r="Q70" s="1324">
        <f ca="1">C13</f>
        <v>0</v>
      </c>
      <c r="R70" s="1324" t="s">
        <v>818</v>
      </c>
    </row>
    <row r="71" spans="1:18" s="1289" customFormat="1" ht="13.5" thickBot="1">
      <c r="A71" s="916" t="s">
        <v>396</v>
      </c>
      <c r="B71" s="917" t="s">
        <v>776</v>
      </c>
      <c r="C71" s="327" t="e">
        <f ca="1">ROUND(C68/F71,0)</f>
        <v>#DIV/0!</v>
      </c>
      <c r="D71" s="918" t="s">
        <v>777</v>
      </c>
      <c r="E71" s="919" t="s">
        <v>778</v>
      </c>
      <c r="F71" s="330">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0"/>
  <sheetViews>
    <sheetView topLeftCell="Q1" workbookViewId="0">
      <selection activeCell="Y6" sqref="Y6"/>
    </sheetView>
  </sheetViews>
  <sheetFormatPr defaultColWidth="8.875" defaultRowHeight="13.5"/>
  <cols>
    <col min="1" max="1" width="41.875" style="3168" customWidth="1"/>
    <col min="2" max="2" width="12.875" style="3168" customWidth="1"/>
    <col min="3" max="3" width="34.25" style="3168" customWidth="1"/>
    <col min="4" max="4" width="13.625" style="3168" customWidth="1"/>
    <col min="5" max="5" width="10.5" style="3168" customWidth="1"/>
    <col min="6" max="6" width="18.625" style="3168" customWidth="1"/>
    <col min="7" max="7" width="11.5" style="3168" customWidth="1"/>
    <col min="8" max="8" width="9.875" style="3168" customWidth="1"/>
    <col min="9" max="9" width="16.375" style="3168" customWidth="1"/>
    <col min="10" max="21" width="22.25" style="3168" customWidth="1"/>
    <col min="22" max="23" width="12.75" style="3168" bestFit="1" customWidth="1"/>
    <col min="24" max="24" width="10.5" style="3168" bestFit="1" customWidth="1"/>
    <col min="25" max="25" width="10.5" style="3168" customWidth="1"/>
    <col min="26" max="26" width="8.875" style="3168"/>
    <col min="27" max="27" width="12.75" style="3168" bestFit="1" customWidth="1"/>
    <col min="28" max="16384" width="8.875" style="3168"/>
  </cols>
  <sheetData>
    <row r="1" spans="1:27" ht="27">
      <c r="A1" s="3168" t="s">
        <v>3528</v>
      </c>
      <c r="B1" s="3168" t="s">
        <v>3529</v>
      </c>
      <c r="C1" s="3168" t="s">
        <v>3530</v>
      </c>
      <c r="D1" s="3168" t="s">
        <v>3531</v>
      </c>
      <c r="E1" s="3168" t="s">
        <v>3532</v>
      </c>
      <c r="F1" s="3168" t="s">
        <v>3533</v>
      </c>
      <c r="G1" s="3168" t="s">
        <v>3534</v>
      </c>
      <c r="H1" s="3168" t="s">
        <v>3535</v>
      </c>
      <c r="I1" s="3168" t="s">
        <v>3536</v>
      </c>
      <c r="J1" s="3168" t="s">
        <v>3537</v>
      </c>
      <c r="K1" s="3168" t="s">
        <v>3538</v>
      </c>
      <c r="L1" s="3168" t="s">
        <v>3539</v>
      </c>
      <c r="M1" s="3168" t="s">
        <v>3540</v>
      </c>
      <c r="N1" s="3168" t="s">
        <v>3541</v>
      </c>
      <c r="O1" s="3168" t="s">
        <v>3542</v>
      </c>
      <c r="P1" s="3168" t="s">
        <v>3543</v>
      </c>
      <c r="Q1" s="3168" t="s">
        <v>3544</v>
      </c>
      <c r="R1" s="3168" t="s">
        <v>3545</v>
      </c>
      <c r="S1" s="3168" t="s">
        <v>3546</v>
      </c>
      <c r="T1" s="3168" t="s">
        <v>3547</v>
      </c>
    </row>
    <row r="2" spans="1:27" ht="27">
      <c r="A2" s="3169" t="s">
        <v>3548</v>
      </c>
      <c r="B2" s="3168" t="s">
        <v>3389</v>
      </c>
      <c r="C2" s="3168" t="s">
        <v>3549</v>
      </c>
      <c r="D2" s="3168" t="s">
        <v>3550</v>
      </c>
      <c r="E2" s="3168">
        <v>17652.03</v>
      </c>
      <c r="F2" s="3168">
        <v>21182.44</v>
      </c>
      <c r="G2" s="3168">
        <v>1.2</v>
      </c>
      <c r="H2" s="3168" t="s">
        <v>3551</v>
      </c>
      <c r="I2" s="3168" t="s">
        <v>3552</v>
      </c>
      <c r="J2" s="3168" t="s">
        <v>3553</v>
      </c>
      <c r="K2" s="3170">
        <v>45408.0004976852</v>
      </c>
      <c r="L2" s="3170">
        <v>45408.0004976852</v>
      </c>
      <c r="M2" s="3168" t="s">
        <v>3554</v>
      </c>
      <c r="N2" s="3168" t="s">
        <v>3555</v>
      </c>
      <c r="O2" s="3168">
        <v>4300</v>
      </c>
      <c r="P2" s="3168">
        <v>900</v>
      </c>
      <c r="Q2" s="3168" t="s">
        <v>3556</v>
      </c>
      <c r="R2" s="3168">
        <v>4300</v>
      </c>
      <c r="S2" s="3168">
        <v>2030</v>
      </c>
      <c r="T2" s="3168">
        <v>0</v>
      </c>
    </row>
    <row r="3" spans="1:27" ht="27">
      <c r="A3" s="3168" t="s">
        <v>3557</v>
      </c>
      <c r="B3" s="3168" t="s">
        <v>3389</v>
      </c>
      <c r="C3" s="3168" t="s">
        <v>3558</v>
      </c>
      <c r="D3" s="3168" t="s">
        <v>3550</v>
      </c>
      <c r="E3" s="3168">
        <v>21316.42</v>
      </c>
      <c r="F3" s="3168">
        <v>25579.71</v>
      </c>
      <c r="G3" s="3168">
        <v>1.2</v>
      </c>
      <c r="H3" s="3168" t="s">
        <v>3551</v>
      </c>
      <c r="I3" s="3168" t="s">
        <v>3552</v>
      </c>
      <c r="J3" s="3168" t="s">
        <v>3553</v>
      </c>
      <c r="K3" s="3170">
        <v>45408.0004976852</v>
      </c>
      <c r="L3" s="3170">
        <v>45408.0004976852</v>
      </c>
      <c r="M3" s="3168" t="s">
        <v>3554</v>
      </c>
      <c r="N3" s="3168" t="s">
        <v>3555</v>
      </c>
      <c r="O3" s="3168">
        <v>5200</v>
      </c>
      <c r="P3" s="3168">
        <v>1100</v>
      </c>
      <c r="Q3" s="3168" t="s">
        <v>3556</v>
      </c>
      <c r="R3" s="3168">
        <v>5200</v>
      </c>
      <c r="S3" s="3168">
        <v>2033</v>
      </c>
      <c r="T3" s="3168">
        <v>0</v>
      </c>
      <c r="U3" s="3169" t="s">
        <v>3559</v>
      </c>
      <c r="W3" s="3169" t="s">
        <v>3560</v>
      </c>
      <c r="Y3" s="3169" t="s">
        <v>3561</v>
      </c>
    </row>
    <row r="4" spans="1:27" ht="27">
      <c r="A4" s="3168" t="s">
        <v>3562</v>
      </c>
      <c r="B4" s="3168" t="s">
        <v>3389</v>
      </c>
      <c r="C4" s="3168" t="s">
        <v>3563</v>
      </c>
      <c r="D4" s="3168" t="s">
        <v>3550</v>
      </c>
      <c r="E4" s="3168">
        <v>17446.72</v>
      </c>
      <c r="F4" s="3168">
        <v>26170.09</v>
      </c>
      <c r="G4" s="3168">
        <v>1.5</v>
      </c>
      <c r="H4" s="3168" t="s">
        <v>3551</v>
      </c>
      <c r="I4" s="3168" t="s">
        <v>3552</v>
      </c>
      <c r="J4" s="3168" t="s">
        <v>3553</v>
      </c>
      <c r="K4" s="3170">
        <v>45408.0004976852</v>
      </c>
      <c r="L4" s="3170">
        <v>45408.0004976852</v>
      </c>
      <c r="M4" s="3168" t="s">
        <v>3554</v>
      </c>
      <c r="N4" s="3168" t="s">
        <v>3555</v>
      </c>
      <c r="O4" s="3168">
        <v>5100</v>
      </c>
      <c r="P4" s="3168">
        <v>1100</v>
      </c>
      <c r="Q4" s="3168" t="s">
        <v>3556</v>
      </c>
      <c r="R4" s="3168">
        <v>5100</v>
      </c>
      <c r="S4" s="3168">
        <v>1949</v>
      </c>
      <c r="T4" s="3168">
        <v>0</v>
      </c>
      <c r="U4" s="3169" t="s">
        <v>2506</v>
      </c>
      <c r="V4" s="3168">
        <f>常用公式!C18</f>
        <v>1.4649000000000001</v>
      </c>
      <c r="X4" s="3169" t="s">
        <v>3564</v>
      </c>
      <c r="Y4" s="3169" t="s">
        <v>3565</v>
      </c>
    </row>
    <row r="5" spans="1:27" s="3171" customFormat="1" ht="27">
      <c r="A5" s="3171" t="s">
        <v>3566</v>
      </c>
      <c r="B5" s="3171" t="s">
        <v>3389</v>
      </c>
      <c r="C5" s="3171" t="s">
        <v>3567</v>
      </c>
      <c r="D5" s="3171" t="s">
        <v>3550</v>
      </c>
      <c r="E5" s="3171">
        <v>53345.32</v>
      </c>
      <c r="F5" s="3171">
        <v>64014.38</v>
      </c>
      <c r="G5" s="3172" t="s">
        <v>3568</v>
      </c>
      <c r="H5" s="3171" t="s">
        <v>3551</v>
      </c>
      <c r="I5" s="3171" t="s">
        <v>3569</v>
      </c>
      <c r="J5" s="3171" t="s">
        <v>3553</v>
      </c>
      <c r="K5" s="3173">
        <v>45113.0004976852</v>
      </c>
      <c r="L5" s="3173">
        <v>45113.0004976852</v>
      </c>
      <c r="M5" s="3171" t="s">
        <v>3554</v>
      </c>
      <c r="N5" s="3171" t="s">
        <v>3570</v>
      </c>
      <c r="O5" s="3171">
        <v>7279.4</v>
      </c>
      <c r="P5" s="3171">
        <v>1500</v>
      </c>
      <c r="Q5" s="3171" t="s">
        <v>3571</v>
      </c>
      <c r="R5" s="3171">
        <v>7279.4</v>
      </c>
      <c r="S5" s="3171">
        <v>1137</v>
      </c>
      <c r="T5" s="3171">
        <v>0</v>
      </c>
      <c r="U5" s="3171">
        <f>ROUND(S5*V4,0)</f>
        <v>1666</v>
      </c>
      <c r="W5" s="3171">
        <f>ROUND(R5/E5*10000,0)</f>
        <v>1365</v>
      </c>
      <c r="X5" s="3171">
        <f>ROUND(W5*V4,0)</f>
        <v>2000</v>
      </c>
      <c r="Y5" s="3171">
        <f>X5</f>
        <v>2000</v>
      </c>
      <c r="Z5" s="3171">
        <f>U5*1.2</f>
        <v>1999.1999999999998</v>
      </c>
      <c r="AA5" s="3171">
        <f>Z5*666.67/10000</f>
        <v>133.2806664</v>
      </c>
    </row>
    <row r="6" spans="1:27" s="3171" customFormat="1" ht="27">
      <c r="A6" s="3171" t="s">
        <v>3572</v>
      </c>
      <c r="B6" s="3171" t="s">
        <v>3389</v>
      </c>
      <c r="C6" s="3171" t="s">
        <v>3573</v>
      </c>
      <c r="D6" s="3171" t="s">
        <v>3550</v>
      </c>
      <c r="E6" s="3171">
        <v>7327.55</v>
      </c>
      <c r="F6" s="3171">
        <v>8060.31</v>
      </c>
      <c r="G6" s="3172" t="s">
        <v>3574</v>
      </c>
      <c r="H6" s="3171" t="s">
        <v>3551</v>
      </c>
      <c r="I6" s="3171" t="s">
        <v>3569</v>
      </c>
      <c r="J6" s="3171" t="s">
        <v>3553</v>
      </c>
      <c r="K6" s="3173">
        <v>44419.0004976852</v>
      </c>
      <c r="L6" s="3173">
        <v>44419.0004976852</v>
      </c>
      <c r="M6" s="3171" t="s">
        <v>3554</v>
      </c>
      <c r="N6" s="3171" t="s">
        <v>3575</v>
      </c>
      <c r="O6" s="3171">
        <v>759.28</v>
      </c>
      <c r="P6" s="3171">
        <v>160</v>
      </c>
      <c r="Q6" s="3171" t="s">
        <v>633</v>
      </c>
      <c r="R6" s="3171">
        <v>759.28</v>
      </c>
      <c r="S6" s="3171">
        <v>942</v>
      </c>
      <c r="T6" s="3171">
        <v>0</v>
      </c>
      <c r="U6" s="3171">
        <f>ROUND(S6*V4,0)</f>
        <v>1380</v>
      </c>
      <c r="W6" s="3171">
        <f t="shared" ref="W6:W7" si="0">ROUND(R6/E6*10000,0)</f>
        <v>1036</v>
      </c>
      <c r="X6" s="3171">
        <f>ROUND(W6*V4,0)</f>
        <v>1518</v>
      </c>
      <c r="Y6" s="3171">
        <f>ROUND(X6/容积率修正!K280,0)</f>
        <v>1567</v>
      </c>
      <c r="Z6" s="3171">
        <f>U6*1.1</f>
        <v>1518.0000000000002</v>
      </c>
      <c r="AA6" s="3171">
        <f t="shared" ref="AA6:AA7" si="1">Z6*666.67/10000</f>
        <v>101.200506</v>
      </c>
    </row>
    <row r="7" spans="1:27" s="3171" customFormat="1" ht="27">
      <c r="A7" s="3171" t="s">
        <v>3576</v>
      </c>
      <c r="B7" s="3171" t="s">
        <v>3389</v>
      </c>
      <c r="C7" s="3171" t="s">
        <v>3577</v>
      </c>
      <c r="D7" s="3171" t="s">
        <v>3550</v>
      </c>
      <c r="E7" s="3171">
        <v>99235.68</v>
      </c>
      <c r="F7" s="3171">
        <v>99235.68</v>
      </c>
      <c r="G7" s="3172" t="s">
        <v>3578</v>
      </c>
      <c r="H7" s="3171" t="s">
        <v>3551</v>
      </c>
      <c r="I7" s="3171" t="s">
        <v>3569</v>
      </c>
      <c r="J7" s="3171" t="s">
        <v>3553</v>
      </c>
      <c r="K7" s="3173">
        <v>44419.0004976852</v>
      </c>
      <c r="L7" s="3173">
        <v>44419.0004976852</v>
      </c>
      <c r="M7" s="3171" t="s">
        <v>3554</v>
      </c>
      <c r="N7" s="3171" t="s">
        <v>3579</v>
      </c>
      <c r="O7" s="3171">
        <v>9975.17</v>
      </c>
      <c r="P7" s="3171">
        <v>2000</v>
      </c>
      <c r="Q7" s="3171" t="s">
        <v>633</v>
      </c>
      <c r="R7" s="3171">
        <v>9975.17</v>
      </c>
      <c r="S7" s="3171">
        <v>1005</v>
      </c>
      <c r="T7" s="3171">
        <v>0</v>
      </c>
      <c r="U7" s="3171">
        <f>ROUND(S7*V4,0)</f>
        <v>1472</v>
      </c>
      <c r="W7" s="3171">
        <f t="shared" si="0"/>
        <v>1005</v>
      </c>
      <c r="X7" s="3171">
        <f>ROUND(W7*V4,0)</f>
        <v>1472</v>
      </c>
      <c r="Y7" s="3171">
        <f>ROUND(X7/容积率修正!K281,0)</f>
        <v>1568</v>
      </c>
      <c r="Z7" s="3171">
        <f>U7*1</f>
        <v>1472</v>
      </c>
      <c r="AA7" s="3171">
        <f t="shared" si="1"/>
        <v>98.133824000000004</v>
      </c>
    </row>
    <row r="8" spans="1:27" ht="27">
      <c r="A8" s="3168" t="s">
        <v>3580</v>
      </c>
      <c r="B8" s="3168" t="s">
        <v>3389</v>
      </c>
      <c r="C8" s="3168" t="s">
        <v>3581</v>
      </c>
      <c r="D8" s="3168" t="s">
        <v>3550</v>
      </c>
      <c r="E8" s="3168">
        <v>30231.14</v>
      </c>
      <c r="F8" s="3168">
        <v>30231.14</v>
      </c>
      <c r="G8" s="3168" t="s">
        <v>3582</v>
      </c>
      <c r="H8" s="3168" t="s">
        <v>3551</v>
      </c>
      <c r="I8" s="3168" t="s">
        <v>3583</v>
      </c>
      <c r="J8" s="3168" t="s">
        <v>3553</v>
      </c>
      <c r="K8" s="3170">
        <v>43878.0004976852</v>
      </c>
      <c r="L8" s="3170">
        <v>43878.0004976852</v>
      </c>
      <c r="M8" s="3168" t="s">
        <v>3554</v>
      </c>
      <c r="N8" s="3168" t="s">
        <v>3584</v>
      </c>
      <c r="O8" s="3168">
        <v>2817.03</v>
      </c>
      <c r="P8" s="3168">
        <v>600</v>
      </c>
      <c r="Q8" s="3168" t="s">
        <v>633</v>
      </c>
      <c r="R8" s="3168">
        <v>2817.03</v>
      </c>
      <c r="S8" s="3168">
        <v>932</v>
      </c>
      <c r="T8" s="3168">
        <v>0</v>
      </c>
    </row>
    <row r="9" spans="1:27" ht="27">
      <c r="A9" s="3168" t="s">
        <v>3585</v>
      </c>
      <c r="B9" s="3168" t="s">
        <v>3389</v>
      </c>
      <c r="C9" s="3168" t="s">
        <v>3586</v>
      </c>
      <c r="D9" s="3168" t="s">
        <v>3550</v>
      </c>
      <c r="E9" s="3168">
        <v>34616.870000000003</v>
      </c>
      <c r="F9" s="3168">
        <v>34616.870000000003</v>
      </c>
      <c r="G9" s="3168">
        <v>1</v>
      </c>
      <c r="H9" s="3168" t="s">
        <v>3551</v>
      </c>
      <c r="I9" s="3168" t="s">
        <v>3550</v>
      </c>
      <c r="J9" s="3168" t="s">
        <v>3553</v>
      </c>
      <c r="K9" s="3170">
        <v>43797.0004976852</v>
      </c>
      <c r="L9" s="3170">
        <v>43797.0004976852</v>
      </c>
      <c r="M9" s="3168" t="s">
        <v>3554</v>
      </c>
      <c r="N9" s="3168" t="s">
        <v>3587</v>
      </c>
      <c r="O9" s="3168">
        <v>3408.24</v>
      </c>
      <c r="P9" s="3168">
        <v>700</v>
      </c>
      <c r="Q9" s="3168" t="s">
        <v>633</v>
      </c>
      <c r="R9" s="3168">
        <v>3408.24</v>
      </c>
      <c r="S9" s="3168">
        <v>985</v>
      </c>
      <c r="T9" s="3168">
        <v>0</v>
      </c>
    </row>
    <row r="10" spans="1:27" ht="27">
      <c r="A10" s="3168" t="s">
        <v>3588</v>
      </c>
      <c r="B10" s="3168" t="s">
        <v>3389</v>
      </c>
      <c r="C10" s="3168" t="s">
        <v>3589</v>
      </c>
      <c r="D10" s="3168" t="s">
        <v>3550</v>
      </c>
      <c r="E10" s="3168">
        <v>17333.330000000002</v>
      </c>
      <c r="F10" s="3168">
        <v>17333</v>
      </c>
      <c r="G10" s="3168">
        <v>1</v>
      </c>
      <c r="H10" s="3168" t="s">
        <v>3551</v>
      </c>
      <c r="I10" s="3168" t="s">
        <v>3590</v>
      </c>
      <c r="J10" s="3168" t="s">
        <v>3553</v>
      </c>
      <c r="K10" s="3170">
        <v>43468.0004976852</v>
      </c>
      <c r="L10" s="3170">
        <v>43468.0004976852</v>
      </c>
      <c r="M10" s="3168" t="s">
        <v>3554</v>
      </c>
      <c r="N10" s="3168" t="s">
        <v>3591</v>
      </c>
      <c r="O10" s="3168">
        <v>1659.76</v>
      </c>
      <c r="P10" s="3168">
        <v>340</v>
      </c>
      <c r="Q10" s="3168" t="s">
        <v>633</v>
      </c>
      <c r="R10" s="3168">
        <v>1659.76</v>
      </c>
      <c r="S10" s="3168">
        <v>958</v>
      </c>
      <c r="T10" s="3168">
        <v>0</v>
      </c>
    </row>
    <row r="11" spans="1:27" ht="27">
      <c r="A11" s="3168" t="s">
        <v>3592</v>
      </c>
      <c r="B11" s="3168" t="s">
        <v>3389</v>
      </c>
      <c r="C11" s="3168" t="s">
        <v>3593</v>
      </c>
      <c r="D11" s="3168" t="s">
        <v>3550</v>
      </c>
      <c r="E11" s="3168">
        <v>17333.330000000002</v>
      </c>
      <c r="F11" s="3168">
        <v>17333</v>
      </c>
      <c r="G11" s="3168">
        <v>1</v>
      </c>
      <c r="H11" s="3168" t="s">
        <v>3551</v>
      </c>
      <c r="I11" s="3168" t="s">
        <v>3590</v>
      </c>
      <c r="J11" s="3168" t="s">
        <v>3553</v>
      </c>
      <c r="K11" s="3170">
        <v>43468.0004976852</v>
      </c>
      <c r="L11" s="3170">
        <v>43468.0004976852</v>
      </c>
      <c r="M11" s="3168" t="s">
        <v>3554</v>
      </c>
      <c r="N11" s="3168" t="s">
        <v>3594</v>
      </c>
      <c r="O11" s="3168">
        <v>1658.02</v>
      </c>
      <c r="P11" s="3168">
        <v>340</v>
      </c>
      <c r="Q11" s="3168" t="s">
        <v>633</v>
      </c>
      <c r="R11" s="3168">
        <v>1658.02</v>
      </c>
      <c r="S11" s="3168">
        <v>957</v>
      </c>
      <c r="T11" s="3168">
        <v>0</v>
      </c>
    </row>
    <row r="12" spans="1:27" ht="27">
      <c r="A12" s="3168" t="s">
        <v>3595</v>
      </c>
      <c r="B12" s="3168" t="s">
        <v>3389</v>
      </c>
      <c r="C12" s="3168" t="s">
        <v>3596</v>
      </c>
      <c r="D12" s="3168" t="s">
        <v>3550</v>
      </c>
      <c r="E12" s="3168">
        <v>125884.4</v>
      </c>
      <c r="F12" s="3168">
        <v>125884</v>
      </c>
      <c r="G12" s="3168">
        <v>1</v>
      </c>
      <c r="H12" s="3168" t="s">
        <v>3551</v>
      </c>
      <c r="I12" s="3168" t="s">
        <v>3597</v>
      </c>
      <c r="J12" s="3168" t="s">
        <v>3553</v>
      </c>
      <c r="K12" s="3170">
        <v>42535.0004976852</v>
      </c>
      <c r="L12" s="3170">
        <v>42535.0004976852</v>
      </c>
      <c r="M12" s="3168" t="s">
        <v>3554</v>
      </c>
      <c r="N12" s="3168" t="s">
        <v>3598</v>
      </c>
      <c r="O12" s="3168">
        <v>9927.85</v>
      </c>
      <c r="P12" s="3168">
        <v>2000</v>
      </c>
      <c r="Q12" s="3168" t="s">
        <v>633</v>
      </c>
      <c r="R12" s="3168">
        <v>9927.85</v>
      </c>
      <c r="S12" s="3168">
        <v>789</v>
      </c>
      <c r="T12" s="3168">
        <v>0</v>
      </c>
    </row>
    <row r="13" spans="1:27" ht="27">
      <c r="A13" s="3168" t="s">
        <v>3599</v>
      </c>
      <c r="B13" s="3168" t="s">
        <v>3389</v>
      </c>
      <c r="C13" s="3168" t="s">
        <v>3600</v>
      </c>
      <c r="D13" s="3168" t="s">
        <v>3550</v>
      </c>
      <c r="E13" s="3168">
        <v>132349</v>
      </c>
      <c r="F13" s="3168">
        <v>158819</v>
      </c>
      <c r="G13" s="3168" t="s">
        <v>3601</v>
      </c>
      <c r="H13" s="3168" t="s">
        <v>3551</v>
      </c>
      <c r="I13" s="3168" t="s">
        <v>3602</v>
      </c>
      <c r="J13" s="3168" t="s">
        <v>3553</v>
      </c>
      <c r="K13" s="3170">
        <v>41732.0004976852</v>
      </c>
      <c r="L13" s="3170">
        <v>41732.0004976852</v>
      </c>
      <c r="M13" s="3168" t="s">
        <v>3554</v>
      </c>
      <c r="N13" s="3168" t="s">
        <v>3603</v>
      </c>
      <c r="O13" s="3168">
        <v>8393.2099999999991</v>
      </c>
      <c r="P13" s="3168">
        <v>2000</v>
      </c>
      <c r="Q13" s="3168" t="s">
        <v>633</v>
      </c>
      <c r="R13" s="3168">
        <v>8393.2099999999991</v>
      </c>
      <c r="S13" s="3168">
        <v>528</v>
      </c>
      <c r="T13" s="3168">
        <v>0</v>
      </c>
    </row>
    <row r="14" spans="1:27" ht="27">
      <c r="A14" s="3168" t="s">
        <v>3604</v>
      </c>
      <c r="B14" s="3168" t="s">
        <v>3389</v>
      </c>
      <c r="C14" s="3168" t="s">
        <v>3605</v>
      </c>
      <c r="D14" s="3168" t="s">
        <v>3550</v>
      </c>
      <c r="E14" s="3168">
        <v>9558.83</v>
      </c>
      <c r="F14" s="3168">
        <v>11471</v>
      </c>
      <c r="G14" s="3168" t="s">
        <v>3606</v>
      </c>
      <c r="H14" s="3168" t="s">
        <v>3551</v>
      </c>
      <c r="I14" s="3168" t="s">
        <v>3607</v>
      </c>
      <c r="J14" s="3168" t="s">
        <v>3553</v>
      </c>
      <c r="K14" s="3170">
        <v>41565.0004976852</v>
      </c>
      <c r="L14" s="3170">
        <v>41565.0004976852</v>
      </c>
      <c r="M14" s="3168" t="s">
        <v>3554</v>
      </c>
      <c r="N14" s="3168" t="s">
        <v>3608</v>
      </c>
      <c r="O14" s="3168">
        <v>776.14</v>
      </c>
      <c r="P14" s="3168">
        <v>200</v>
      </c>
      <c r="Q14" s="3168" t="s">
        <v>633</v>
      </c>
      <c r="R14" s="3168">
        <v>776.14</v>
      </c>
      <c r="S14" s="3168">
        <v>677</v>
      </c>
      <c r="T14" s="3168">
        <v>0</v>
      </c>
    </row>
    <row r="15" spans="1:27" ht="27">
      <c r="A15" s="3168" t="s">
        <v>3609</v>
      </c>
      <c r="B15" s="3168" t="s">
        <v>3389</v>
      </c>
      <c r="C15" s="3168" t="s">
        <v>3610</v>
      </c>
      <c r="D15" s="3168" t="s">
        <v>3550</v>
      </c>
      <c r="E15" s="3168">
        <v>13112.89</v>
      </c>
      <c r="F15" s="3168">
        <v>19669</v>
      </c>
      <c r="G15" s="3168" t="s">
        <v>3611</v>
      </c>
      <c r="H15" s="3168" t="s">
        <v>3551</v>
      </c>
      <c r="I15" s="3168" t="s">
        <v>3612</v>
      </c>
      <c r="J15" s="3168" t="s">
        <v>3553</v>
      </c>
      <c r="K15" s="3170">
        <v>41473.0004976852</v>
      </c>
      <c r="L15" s="3170">
        <v>41473.0004976852</v>
      </c>
      <c r="M15" s="3168" t="s">
        <v>3554</v>
      </c>
      <c r="N15" s="3168" t="s">
        <v>3613</v>
      </c>
      <c r="O15" s="3168">
        <v>886.54</v>
      </c>
      <c r="P15" s="3168">
        <v>200</v>
      </c>
      <c r="Q15" s="3168" t="s">
        <v>633</v>
      </c>
      <c r="R15" s="3168">
        <v>886.54</v>
      </c>
      <c r="S15" s="3168">
        <v>451</v>
      </c>
      <c r="T15" s="3168">
        <v>0</v>
      </c>
    </row>
    <row r="16" spans="1:27" ht="27">
      <c r="A16" s="3168" t="s">
        <v>3614</v>
      </c>
      <c r="B16" s="3168" t="s">
        <v>3389</v>
      </c>
      <c r="C16" s="3168" t="s">
        <v>3615</v>
      </c>
      <c r="D16" s="3168" t="s">
        <v>3550</v>
      </c>
      <c r="E16" s="3168">
        <v>14544.12</v>
      </c>
      <c r="F16" s="3168">
        <v>21816</v>
      </c>
      <c r="G16" s="3168" t="s">
        <v>3611</v>
      </c>
      <c r="H16" s="3168" t="s">
        <v>3551</v>
      </c>
      <c r="I16" s="3168" t="s">
        <v>3612</v>
      </c>
      <c r="J16" s="3168" t="s">
        <v>3553</v>
      </c>
      <c r="K16" s="3170">
        <v>41473.0004976852</v>
      </c>
      <c r="L16" s="3170">
        <v>41473.0004976852</v>
      </c>
      <c r="M16" s="3168" t="s">
        <v>3554</v>
      </c>
      <c r="N16" s="3168" t="s">
        <v>3616</v>
      </c>
      <c r="O16" s="3168">
        <v>1045.99</v>
      </c>
      <c r="P16" s="3168">
        <v>250</v>
      </c>
      <c r="Q16" s="3168" t="s">
        <v>633</v>
      </c>
      <c r="R16" s="3168">
        <v>1045.99</v>
      </c>
      <c r="S16" s="3168">
        <v>479</v>
      </c>
      <c r="T16" s="3168">
        <v>0</v>
      </c>
    </row>
    <row r="23" spans="9:11">
      <c r="I23" s="3169" t="s">
        <v>3617</v>
      </c>
      <c r="J23" s="3169" t="s">
        <v>3618</v>
      </c>
    </row>
    <row r="24" spans="9:11">
      <c r="I24" s="3169" t="s">
        <v>3619</v>
      </c>
      <c r="J24" s="3169" t="s">
        <v>3620</v>
      </c>
      <c r="K24" s="3169" t="s">
        <v>3621</v>
      </c>
    </row>
    <row r="25" spans="9:11" ht="40.5">
      <c r="I25" s="3169"/>
      <c r="J25" s="3169" t="s">
        <v>3622</v>
      </c>
    </row>
    <row r="27" spans="9:11" ht="27">
      <c r="I27" s="3169" t="s">
        <v>3406</v>
      </c>
      <c r="J27" s="3169" t="s">
        <v>3623</v>
      </c>
    </row>
    <row r="28" spans="9:11">
      <c r="I28" s="3168">
        <v>1700</v>
      </c>
    </row>
    <row r="29" spans="9:11">
      <c r="I29" s="3168">
        <v>2200</v>
      </c>
    </row>
    <row r="30" spans="9:11">
      <c r="I30" s="3168">
        <v>3900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2436</v>
      </c>
      <c r="B1" s="2576"/>
      <c r="C1" s="2588"/>
      <c r="D1" s="2588"/>
      <c r="E1" s="2577"/>
      <c r="F1" s="2578"/>
      <c r="G1" s="2579"/>
      <c r="J1" s="2582" t="s">
        <v>2315</v>
      </c>
      <c r="K1" s="2583"/>
      <c r="L1" s="2583"/>
      <c r="M1" s="2583"/>
      <c r="N1" s="2583"/>
      <c r="O1" s="2583"/>
      <c r="P1" s="2583"/>
      <c r="Q1" s="2583"/>
      <c r="R1" s="2584"/>
      <c r="S1" s="2585"/>
      <c r="T1" s="2585"/>
      <c r="U1" s="2585"/>
    </row>
    <row r="2" spans="1:22" s="2597" customFormat="1" ht="13.15" customHeight="1">
      <c r="A2" s="1290" t="s">
        <v>2316</v>
      </c>
      <c r="B2" s="2587" t="e">
        <f>IF(D2="——",C40,C40+E2)</f>
        <v>#DIV/0!</v>
      </c>
      <c r="C2" s="2588" t="s">
        <v>2317</v>
      </c>
      <c r="D2" s="3131" t="s">
        <v>3360</v>
      </c>
      <c r="E2" s="3132"/>
      <c r="F2" s="2590"/>
      <c r="G2" s="2591"/>
      <c r="H2" s="2592"/>
      <c r="I2" s="2593"/>
      <c r="J2" s="3382" t="s">
        <v>2318</v>
      </c>
      <c r="K2" s="3383"/>
      <c r="L2" s="2594" t="s">
        <v>2319</v>
      </c>
      <c r="M2" s="2594" t="s">
        <v>2320</v>
      </c>
      <c r="N2" s="2594" t="s">
        <v>2321</v>
      </c>
      <c r="O2" s="2594" t="s">
        <v>2322</v>
      </c>
      <c r="P2" s="2594" t="s">
        <v>2323</v>
      </c>
      <c r="Q2" s="2595" t="s">
        <v>2324</v>
      </c>
      <c r="R2" s="2596" t="s">
        <v>2325</v>
      </c>
      <c r="S2" s="2585"/>
      <c r="T2" s="2585"/>
      <c r="U2" s="2585"/>
      <c r="V2" s="2593"/>
    </row>
    <row r="3" spans="1:22" s="2597" customFormat="1" ht="13.15" customHeight="1">
      <c r="A3" s="2598" t="s">
        <v>2326</v>
      </c>
      <c r="B3" s="2599" t="e">
        <f>ROUND(B2*10000/B4,0)</f>
        <v>#DIV/0!</v>
      </c>
      <c r="C3" s="2588" t="s">
        <v>2327</v>
      </c>
      <c r="D3" s="2588"/>
      <c r="E3" s="2589"/>
      <c r="F3" s="2590"/>
      <c r="G3" s="2591"/>
      <c r="H3" s="2592"/>
      <c r="I3" s="2593"/>
      <c r="J3" s="3384" t="s">
        <v>2328</v>
      </c>
      <c r="K3" s="3385"/>
      <c r="L3" s="2600"/>
      <c r="M3" s="2600"/>
      <c r="N3" s="2600"/>
      <c r="O3" s="2600"/>
      <c r="P3" s="2600"/>
      <c r="Q3" s="2601"/>
      <c r="R3" s="2602">
        <f>SUM(L3:Q3)</f>
        <v>0</v>
      </c>
      <c r="S3" s="2585"/>
      <c r="T3" s="2585"/>
      <c r="U3" s="2585"/>
      <c r="V3" s="2593"/>
    </row>
    <row r="4" spans="1:22" s="2597" customFormat="1" ht="13.15" customHeight="1">
      <c r="A4" s="2603" t="s">
        <v>2329</v>
      </c>
      <c r="B4" s="2604"/>
      <c r="C4" s="2588"/>
      <c r="D4" s="2588"/>
      <c r="E4" s="2589"/>
      <c r="F4" s="2590"/>
      <c r="G4" s="2591"/>
      <c r="H4" s="2592"/>
      <c r="I4" s="2593"/>
      <c r="J4" s="3384" t="s">
        <v>2330</v>
      </c>
      <c r="K4" s="3385"/>
      <c r="L4" s="2605"/>
      <c r="M4" s="2605"/>
      <c r="N4" s="2605"/>
      <c r="O4" s="2605"/>
      <c r="P4" s="2605"/>
      <c r="Q4" s="2606"/>
      <c r="R4" s="2607">
        <f>SUM(L4:Q4)</f>
        <v>0</v>
      </c>
      <c r="S4" s="2585"/>
      <c r="T4" s="2585"/>
      <c r="U4" s="2585"/>
      <c r="V4" s="2593"/>
    </row>
    <row r="5" spans="1:22" s="2597" customFormat="1" ht="13.15" customHeight="1" thickBot="1">
      <c r="A5" s="2608" t="s">
        <v>2331</v>
      </c>
      <c r="B5" s="2609"/>
      <c r="C5" s="2588"/>
      <c r="D5" s="2610"/>
      <c r="E5" s="2590"/>
      <c r="F5" s="2590"/>
      <c r="G5" s="2591"/>
      <c r="H5" s="2592"/>
      <c r="I5" s="2593"/>
      <c r="J5" s="2611" t="s">
        <v>2332</v>
      </c>
      <c r="K5" s="2612"/>
      <c r="L5" s="2612"/>
      <c r="M5" s="2613"/>
      <c r="N5" s="2613"/>
      <c r="O5" s="2613"/>
      <c r="P5" s="2613"/>
      <c r="Q5" s="2613"/>
      <c r="R5" s="2596">
        <f>SUM(R14,R19,R24,R25,R27,R28)</f>
        <v>0</v>
      </c>
      <c r="S5" s="2585"/>
      <c r="T5" s="2585" t="s">
        <v>2333</v>
      </c>
      <c r="U5" s="2585" t="e">
        <f>ROUND(R5*10000/365/R3,1)</f>
        <v>#DIV/0!</v>
      </c>
      <c r="V5" s="2593"/>
    </row>
    <row r="6" spans="1:22" s="2597" customFormat="1" ht="13.15" customHeight="1" thickBot="1">
      <c r="A6" s="3386" t="s">
        <v>2334</v>
      </c>
      <c r="B6" s="3387"/>
      <c r="C6" s="3388"/>
      <c r="D6" s="2614"/>
      <c r="E6" s="2615"/>
      <c r="F6" s="2616"/>
      <c r="G6" s="2617"/>
      <c r="H6" s="2592"/>
      <c r="I6" s="2593"/>
      <c r="J6" s="3389">
        <v>1</v>
      </c>
      <c r="K6" s="3390" t="s">
        <v>2335</v>
      </c>
      <c r="L6" s="2618" t="s">
        <v>2336</v>
      </c>
      <c r="M6" s="2619" t="s">
        <v>2337</v>
      </c>
      <c r="N6" s="2619" t="s">
        <v>2338</v>
      </c>
      <c r="O6" s="2619" t="s">
        <v>2339</v>
      </c>
      <c r="P6" s="2619" t="s">
        <v>2340</v>
      </c>
      <c r="Q6" s="2619" t="s">
        <v>2341</v>
      </c>
      <c r="R6" s="2602" t="s">
        <v>2342</v>
      </c>
      <c r="S6" s="2585"/>
      <c r="T6" s="2585" t="s">
        <v>2343</v>
      </c>
      <c r="U6" s="2585"/>
      <c r="V6" s="2593"/>
    </row>
    <row r="7" spans="1:22" s="2597" customFormat="1" ht="13.15" customHeight="1">
      <c r="A7" s="2620" t="s">
        <v>2344</v>
      </c>
      <c r="B7" s="2621"/>
      <c r="C7" s="2622"/>
      <c r="D7" s="2623">
        <f>SUM(D9,D10,D11,D17,0)</f>
        <v>0</v>
      </c>
      <c r="E7" s="2624" t="e">
        <f>E9+E10+E11+E17</f>
        <v>#DIV/0!</v>
      </c>
      <c r="F7" s="2625"/>
      <c r="G7" s="2626"/>
      <c r="H7" s="2592"/>
      <c r="I7" s="2593"/>
      <c r="J7" s="3389"/>
      <c r="K7" s="3391"/>
      <c r="L7" s="2627" t="s">
        <v>2345</v>
      </c>
      <c r="M7" s="2628"/>
      <c r="N7" s="2604"/>
      <c r="O7" s="2629"/>
      <c r="P7" s="2629"/>
      <c r="Q7" s="2630">
        <v>365</v>
      </c>
      <c r="R7" s="2631">
        <f>ROUND(M7*N7*O7*P7*Q7/10000,0)</f>
        <v>0</v>
      </c>
      <c r="S7" s="2585"/>
      <c r="T7" s="2585" t="s">
        <v>2346</v>
      </c>
      <c r="U7" s="2585"/>
      <c r="V7" s="2593"/>
    </row>
    <row r="8" spans="1:22" s="2597" customFormat="1" ht="13.15" customHeight="1">
      <c r="A8" s="2632" t="s">
        <v>2347</v>
      </c>
      <c r="B8" s="3393" t="s">
        <v>2348</v>
      </c>
      <c r="C8" s="3394"/>
      <c r="D8" s="2633" t="s">
        <v>2349</v>
      </c>
      <c r="E8" s="2634" t="s">
        <v>2350</v>
      </c>
      <c r="F8" s="2635" t="s">
        <v>2351</v>
      </c>
      <c r="G8" s="2636"/>
      <c r="H8" s="2592"/>
      <c r="I8" s="2593"/>
      <c r="J8" s="3389"/>
      <c r="K8" s="3391"/>
      <c r="L8" s="2627" t="s">
        <v>2352</v>
      </c>
      <c r="M8" s="2628"/>
      <c r="N8" s="2604"/>
      <c r="O8" s="2629"/>
      <c r="P8" s="2629"/>
      <c r="Q8" s="2630">
        <v>365</v>
      </c>
      <c r="R8" s="2631">
        <f t="shared" ref="R8:R13" si="0">ROUND(M8*N8*O8*P8*Q8/10000,0)</f>
        <v>0</v>
      </c>
      <c r="S8" s="2585"/>
      <c r="T8" s="2585" t="s">
        <v>2353</v>
      </c>
      <c r="U8" s="2585"/>
      <c r="V8" s="2593"/>
    </row>
    <row r="9" spans="1:22" s="2597" customFormat="1" ht="13.15" customHeight="1">
      <c r="A9" s="2632">
        <v>1</v>
      </c>
      <c r="B9" s="3393" t="s">
        <v>2354</v>
      </c>
      <c r="C9" s="3394"/>
      <c r="D9" s="2633">
        <f>ROUND(D6*E9,0)</f>
        <v>0</v>
      </c>
      <c r="E9" s="2637"/>
      <c r="F9" s="2638" t="s">
        <v>2355</v>
      </c>
      <c r="G9" s="2617"/>
      <c r="H9" s="2592"/>
      <c r="I9" s="2593"/>
      <c r="J9" s="3389"/>
      <c r="K9" s="3391"/>
      <c r="L9" s="2627" t="s">
        <v>2356</v>
      </c>
      <c r="M9" s="2628"/>
      <c r="N9" s="2604"/>
      <c r="O9" s="2629"/>
      <c r="P9" s="2629"/>
      <c r="Q9" s="2630">
        <v>365</v>
      </c>
      <c r="R9" s="2631">
        <f t="shared" si="0"/>
        <v>0</v>
      </c>
      <c r="S9" s="2585"/>
      <c r="T9" s="2585"/>
      <c r="U9" s="2585"/>
      <c r="V9" s="2593"/>
    </row>
    <row r="10" spans="1:22" s="2597" customFormat="1" ht="13.15" customHeight="1">
      <c r="A10" s="2632">
        <v>2</v>
      </c>
      <c r="B10" s="3393" t="s">
        <v>2357</v>
      </c>
      <c r="C10" s="3394"/>
      <c r="D10" s="2633">
        <f>ROUND(D6*E10,0)</f>
        <v>0</v>
      </c>
      <c r="E10" s="2637"/>
      <c r="F10" s="2638" t="s">
        <v>2358</v>
      </c>
      <c r="G10" s="2617"/>
      <c r="H10" s="2592"/>
      <c r="I10" s="2593"/>
      <c r="J10" s="3389"/>
      <c r="K10" s="3391"/>
      <c r="L10" s="2627" t="s">
        <v>2359</v>
      </c>
      <c r="M10" s="2628"/>
      <c r="N10" s="2604"/>
      <c r="O10" s="2629"/>
      <c r="P10" s="2629"/>
      <c r="Q10" s="2630">
        <v>365</v>
      </c>
      <c r="R10" s="2631">
        <f t="shared" si="0"/>
        <v>0</v>
      </c>
      <c r="S10" s="2585"/>
      <c r="T10" s="2585"/>
      <c r="U10" s="2585"/>
      <c r="V10" s="2593"/>
    </row>
    <row r="11" spans="1:22" s="2597" customFormat="1" ht="13.15" customHeight="1">
      <c r="A11" s="2632">
        <v>3</v>
      </c>
      <c r="B11" s="3393" t="s">
        <v>2360</v>
      </c>
      <c r="C11" s="3394"/>
      <c r="D11" s="2633">
        <f>D12+D14+D15+D16</f>
        <v>0</v>
      </c>
      <c r="E11" s="2639" t="e">
        <f>D11/D6</f>
        <v>#DIV/0!</v>
      </c>
      <c r="F11" s="2635"/>
      <c r="G11" s="2636"/>
      <c r="H11" s="2592"/>
      <c r="I11" s="2593"/>
      <c r="J11" s="3389"/>
      <c r="K11" s="3391"/>
      <c r="L11" s="2627" t="s">
        <v>2361</v>
      </c>
      <c r="M11" s="2628"/>
      <c r="N11" s="2604"/>
      <c r="O11" s="2629"/>
      <c r="P11" s="2629"/>
      <c r="Q11" s="2630">
        <v>365</v>
      </c>
      <c r="R11" s="2631">
        <f t="shared" si="0"/>
        <v>0</v>
      </c>
      <c r="S11" s="2585"/>
      <c r="T11" s="2585"/>
      <c r="U11" s="2585"/>
      <c r="V11" s="2593"/>
    </row>
    <row r="12" spans="1:22" s="2597" customFormat="1" ht="13.15" customHeight="1">
      <c r="A12" s="2640" t="s">
        <v>2362</v>
      </c>
      <c r="B12" s="3395" t="s">
        <v>2363</v>
      </c>
      <c r="C12" s="3396"/>
      <c r="D12" s="2641">
        <f>ROUND(D13*1.2%*(1-30%),0)</f>
        <v>0</v>
      </c>
      <c r="E12" s="2642">
        <v>1.2E-2</v>
      </c>
      <c r="F12" s="2635" t="s">
        <v>2364</v>
      </c>
      <c r="G12" s="2636"/>
      <c r="H12" s="2592"/>
      <c r="I12" s="2593"/>
      <c r="J12" s="3389"/>
      <c r="K12" s="3391"/>
      <c r="L12" s="2627" t="s">
        <v>2365</v>
      </c>
      <c r="M12" s="2628"/>
      <c r="N12" s="2604"/>
      <c r="O12" s="2629"/>
      <c r="P12" s="2629"/>
      <c r="Q12" s="2630">
        <v>365</v>
      </c>
      <c r="R12" s="2631">
        <f t="shared" si="0"/>
        <v>0</v>
      </c>
      <c r="S12" s="2585"/>
      <c r="T12" s="2585"/>
      <c r="U12" s="2585"/>
      <c r="V12" s="2593"/>
    </row>
    <row r="13" spans="1:22" s="2597" customFormat="1" ht="13.15" customHeight="1">
      <c r="A13" s="2640"/>
      <c r="B13" s="2643"/>
      <c r="C13" s="2644" t="s">
        <v>2366</v>
      </c>
      <c r="D13" s="2645"/>
      <c r="E13" s="2646"/>
      <c r="F13" s="2635"/>
      <c r="G13" s="2636"/>
      <c r="H13" s="2592"/>
      <c r="I13" s="2593"/>
      <c r="J13" s="3389"/>
      <c r="K13" s="3391"/>
      <c r="L13" s="2627" t="s">
        <v>2367</v>
      </c>
      <c r="M13" s="2628"/>
      <c r="N13" s="2604"/>
      <c r="O13" s="2629"/>
      <c r="P13" s="2629"/>
      <c r="Q13" s="2630">
        <v>365</v>
      </c>
      <c r="R13" s="2631">
        <f t="shared" si="0"/>
        <v>0</v>
      </c>
      <c r="S13" s="2585"/>
      <c r="T13" s="2585"/>
      <c r="U13" s="2585"/>
      <c r="V13" s="2593"/>
    </row>
    <row r="14" spans="1:22" s="2597" customFormat="1" ht="13.15" customHeight="1">
      <c r="A14" s="2640" t="s">
        <v>2368</v>
      </c>
      <c r="B14" s="3395" t="s">
        <v>2369</v>
      </c>
      <c r="C14" s="3396"/>
      <c r="D14" s="2641">
        <f>ROUND(E14*B5/10000,0)</f>
        <v>0</v>
      </c>
      <c r="E14" s="2630"/>
      <c r="F14" s="2635" t="s">
        <v>2370</v>
      </c>
      <c r="G14" s="2636"/>
      <c r="H14" s="2592"/>
      <c r="I14" s="2593"/>
      <c r="J14" s="3389"/>
      <c r="K14" s="3392"/>
      <c r="L14" s="2647" t="s">
        <v>2371</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2372</v>
      </c>
      <c r="B15" s="3395" t="s">
        <v>2373</v>
      </c>
      <c r="C15" s="3396"/>
      <c r="D15" s="2641">
        <f>ROUND(D6*E15,0)</f>
        <v>0</v>
      </c>
      <c r="E15" s="2642">
        <v>5.5E-2</v>
      </c>
      <c r="F15" s="2635" t="s">
        <v>2374</v>
      </c>
      <c r="G15" s="2617"/>
      <c r="H15" s="2592"/>
      <c r="I15" s="2593"/>
      <c r="J15" s="3389">
        <v>2</v>
      </c>
      <c r="K15" s="3390" t="s">
        <v>2375</v>
      </c>
      <c r="L15" s="2627" t="s">
        <v>2376</v>
      </c>
      <c r="M15" s="2628" t="s">
        <v>2377</v>
      </c>
      <c r="N15" s="2628" t="s">
        <v>2378</v>
      </c>
      <c r="O15" s="2629" t="s">
        <v>2379</v>
      </c>
      <c r="P15" s="2629" t="s">
        <v>2341</v>
      </c>
      <c r="Q15" s="2604" t="s">
        <v>2380</v>
      </c>
      <c r="R15" s="2651" t="s">
        <v>2342</v>
      </c>
      <c r="S15" s="2585"/>
      <c r="T15" s="2585"/>
      <c r="U15" s="2585"/>
      <c r="V15" s="2593"/>
    </row>
    <row r="16" spans="1:22" s="2597" customFormat="1" ht="13.15" customHeight="1">
      <c r="A16" s="2640" t="s">
        <v>2381</v>
      </c>
      <c r="B16" s="3395" t="s">
        <v>2382</v>
      </c>
      <c r="C16" s="3396"/>
      <c r="D16" s="2652">
        <f>D6*E16</f>
        <v>0</v>
      </c>
      <c r="E16" s="2653"/>
      <c r="F16" s="2638" t="s">
        <v>2383</v>
      </c>
      <c r="G16" s="2617"/>
      <c r="H16" s="2592"/>
      <c r="I16" s="2593"/>
      <c r="J16" s="3389"/>
      <c r="K16" s="3391"/>
      <c r="L16" s="2627" t="s">
        <v>2384</v>
      </c>
      <c r="M16" s="2628"/>
      <c r="N16" s="2628"/>
      <c r="O16" s="2629"/>
      <c r="P16" s="2630">
        <v>365</v>
      </c>
      <c r="Q16" s="2604"/>
      <c r="R16" s="2651">
        <f>ROUND(M16*N16*O16*P16/10000,0)</f>
        <v>0</v>
      </c>
      <c r="S16" s="2585"/>
      <c r="T16" s="2585"/>
      <c r="U16" s="2585"/>
      <c r="V16" s="2593"/>
    </row>
    <row r="17" spans="1:22" s="2597" customFormat="1" ht="13.15" customHeight="1" thickBot="1">
      <c r="A17" s="2654">
        <v>4</v>
      </c>
      <c r="B17" s="3397" t="s">
        <v>2385</v>
      </c>
      <c r="C17" s="3398"/>
      <c r="D17" s="2655">
        <f>ROUND(D6*E17,0)</f>
        <v>0</v>
      </c>
      <c r="E17" s="2656"/>
      <c r="F17" s="2657" t="s">
        <v>2386</v>
      </c>
      <c r="G17" s="2617"/>
      <c r="H17" s="2592"/>
      <c r="I17" s="2593"/>
      <c r="J17" s="3389"/>
      <c r="K17" s="3391"/>
      <c r="L17" s="2627" t="s">
        <v>2387</v>
      </c>
      <c r="M17" s="2628"/>
      <c r="N17" s="2628"/>
      <c r="O17" s="2629"/>
      <c r="P17" s="2630">
        <v>365</v>
      </c>
      <c r="Q17" s="2604"/>
      <c r="R17" s="2651">
        <f>ROUND(M17*N17*O17*P17/10000,0)</f>
        <v>0</v>
      </c>
      <c r="S17" s="2585"/>
      <c r="T17" s="2585"/>
      <c r="U17" s="2585"/>
      <c r="V17" s="2593"/>
    </row>
    <row r="18" spans="1:22" s="2597" customFormat="1" ht="13.15" customHeight="1" thickBot="1">
      <c r="A18" s="2620" t="s">
        <v>2388</v>
      </c>
      <c r="B18" s="2621"/>
      <c r="C18" s="2621"/>
      <c r="D18" s="2658">
        <f>ROUND(D6*E18,0)</f>
        <v>0</v>
      </c>
      <c r="E18" s="2659"/>
      <c r="F18" s="2660" t="s">
        <v>2389</v>
      </c>
      <c r="G18" s="2617"/>
      <c r="H18" s="2592"/>
      <c r="I18" s="2593"/>
      <c r="J18" s="3389"/>
      <c r="K18" s="3391"/>
      <c r="L18" s="2627" t="s">
        <v>2390</v>
      </c>
      <c r="M18" s="2628"/>
      <c r="N18" s="2628"/>
      <c r="O18" s="2629"/>
      <c r="P18" s="2630">
        <v>365</v>
      </c>
      <c r="Q18" s="2604"/>
      <c r="R18" s="2651">
        <f>ROUND(M18*N18*O18*P18/10000,0)</f>
        <v>0</v>
      </c>
      <c r="S18" s="2585"/>
      <c r="T18" s="2585"/>
      <c r="U18" s="2585"/>
      <c r="V18" s="2593"/>
    </row>
    <row r="19" spans="1:22" s="2597" customFormat="1" ht="13.15" customHeight="1" thickBot="1">
      <c r="A19" s="2661" t="s">
        <v>2391</v>
      </c>
      <c r="B19" s="2615"/>
      <c r="C19" s="2615"/>
      <c r="D19" s="2615"/>
      <c r="E19" s="2615"/>
      <c r="F19" s="2616"/>
      <c r="G19" s="2636"/>
      <c r="H19" s="2592"/>
      <c r="I19" s="2593"/>
      <c r="J19" s="3389"/>
      <c r="K19" s="3392"/>
      <c r="L19" s="2647" t="s">
        <v>2371</v>
      </c>
      <c r="M19" s="2648"/>
      <c r="N19" s="2648">
        <f>SUM(N16:N18)</f>
        <v>0</v>
      </c>
      <c r="O19" s="2649"/>
      <c r="P19" s="2662" t="s">
        <v>2435</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89">
        <v>3</v>
      </c>
      <c r="K20" s="3390" t="s">
        <v>2392</v>
      </c>
      <c r="L20" s="2627" t="s">
        <v>2393</v>
      </c>
      <c r="M20" s="2628" t="s">
        <v>2394</v>
      </c>
      <c r="N20" s="2665" t="s">
        <v>2395</v>
      </c>
      <c r="O20" s="2629" t="s">
        <v>2396</v>
      </c>
      <c r="P20" s="2630" t="s">
        <v>2397</v>
      </c>
      <c r="Q20" s="2604" t="s">
        <v>2398</v>
      </c>
      <c r="R20" s="2651" t="s">
        <v>2399</v>
      </c>
      <c r="S20" s="2585"/>
      <c r="T20" s="2585"/>
      <c r="U20" s="2585"/>
      <c r="V20" s="2593"/>
    </row>
    <row r="21" spans="1:22" s="2597" customFormat="1" ht="13.15" customHeight="1">
      <c r="A21" s="2620"/>
      <c r="B21" s="2621"/>
      <c r="C21" s="2666" t="s">
        <v>2400</v>
      </c>
      <c r="D21" s="2667" t="s">
        <v>2401</v>
      </c>
      <c r="E21" s="2668" t="s">
        <v>2402</v>
      </c>
      <c r="F21" s="2664"/>
      <c r="G21" s="2636"/>
      <c r="H21" s="2592"/>
      <c r="I21" s="2593"/>
      <c r="J21" s="3389"/>
      <c r="K21" s="3391"/>
      <c r="L21" s="2627" t="s">
        <v>2403</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2404</v>
      </c>
      <c r="D22" s="2671" t="s">
        <v>2405</v>
      </c>
      <c r="E22" s="2672" t="s">
        <v>2406</v>
      </c>
      <c r="F22" s="2664"/>
      <c r="G22" s="2585"/>
      <c r="H22" s="2592"/>
      <c r="I22" s="2593"/>
      <c r="J22" s="3389"/>
      <c r="K22" s="3391"/>
      <c r="L22" s="2627" t="s">
        <v>2407</v>
      </c>
      <c r="M22" s="2628"/>
      <c r="N22" s="2628"/>
      <c r="O22" s="2629"/>
      <c r="P22" s="2630">
        <v>365</v>
      </c>
      <c r="Q22" s="2604"/>
      <c r="R22" s="2669">
        <f>ROUND(M22*N22*O22*P22/10000,0)</f>
        <v>0</v>
      </c>
      <c r="S22" s="2585"/>
      <c r="T22" s="2585"/>
      <c r="U22" s="2585"/>
      <c r="V22" s="2593"/>
    </row>
    <row r="23" spans="1:22" s="2597" customFormat="1" ht="13.15" customHeight="1">
      <c r="A23" s="2673">
        <v>1</v>
      </c>
      <c r="B23" s="2674" t="s">
        <v>2408</v>
      </c>
      <c r="C23" s="2675">
        <f>D6</f>
        <v>0</v>
      </c>
      <c r="D23" s="2676">
        <f>C23*(1+D24)</f>
        <v>0</v>
      </c>
      <c r="E23" s="2677">
        <f>D23*(1+E24)</f>
        <v>0</v>
      </c>
      <c r="F23" s="2678"/>
      <c r="G23" s="2679"/>
      <c r="H23" s="2592"/>
      <c r="I23" s="2593"/>
      <c r="J23" s="3389"/>
      <c r="K23" s="3391"/>
      <c r="L23" s="2627" t="s">
        <v>2409</v>
      </c>
      <c r="M23" s="2628"/>
      <c r="N23" s="2628"/>
      <c r="O23" s="2629"/>
      <c r="P23" s="2630">
        <v>365</v>
      </c>
      <c r="Q23" s="2604"/>
      <c r="R23" s="2669">
        <f>ROUND(M23*N23*O23*P23/10000,0)</f>
        <v>0</v>
      </c>
      <c r="S23" s="2585"/>
      <c r="T23" s="2585"/>
      <c r="U23" s="2585"/>
      <c r="V23" s="2593"/>
    </row>
    <row r="24" spans="1:22" s="2597" customFormat="1" ht="13.15" customHeight="1">
      <c r="A24" s="2680"/>
      <c r="B24" s="2681" t="s">
        <v>2410</v>
      </c>
      <c r="C24" s="2682"/>
      <c r="D24" s="2683"/>
      <c r="E24" s="2684"/>
      <c r="F24" s="2685"/>
      <c r="G24" s="2679"/>
      <c r="H24" s="2592"/>
      <c r="I24" s="2593"/>
      <c r="J24" s="3389"/>
      <c r="K24" s="3392"/>
      <c r="L24" s="2647" t="s">
        <v>2371</v>
      </c>
      <c r="M24" s="2648">
        <f>SUM(M21:M23)</f>
        <v>0</v>
      </c>
      <c r="N24" s="2648"/>
      <c r="O24" s="2649"/>
      <c r="P24" s="2662" t="s">
        <v>2435</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2411</v>
      </c>
      <c r="L25" s="2688"/>
      <c r="M25" s="2688"/>
      <c r="N25" s="2688"/>
      <c r="O25" s="2688"/>
      <c r="P25" s="2689"/>
      <c r="Q25" s="2690">
        <v>0</v>
      </c>
      <c r="R25" s="2663">
        <f>ROUND(R14*Q25,0)</f>
        <v>0</v>
      </c>
      <c r="S25" s="2585"/>
      <c r="T25" s="2585"/>
      <c r="U25" s="2585"/>
      <c r="V25" s="2691"/>
    </row>
    <row r="26" spans="1:22" s="2692" customFormat="1" ht="13.15" customHeight="1">
      <c r="A26" s="2673">
        <v>2</v>
      </c>
      <c r="B26" s="2674" t="s">
        <v>2412</v>
      </c>
      <c r="C26" s="2675">
        <f>D7</f>
        <v>0</v>
      </c>
      <c r="D26" s="2676">
        <f>D23*D27</f>
        <v>0</v>
      </c>
      <c r="E26" s="2677">
        <f>E23*E27</f>
        <v>0</v>
      </c>
      <c r="F26" s="2678"/>
      <c r="G26" s="2679"/>
      <c r="H26" s="2592"/>
      <c r="I26" s="2593"/>
      <c r="J26" s="3399">
        <v>5</v>
      </c>
      <c r="K26" s="2693" t="s">
        <v>2413</v>
      </c>
      <c r="L26" s="2694"/>
      <c r="M26" s="2695"/>
      <c r="N26" s="2696" t="s">
        <v>2414</v>
      </c>
      <c r="O26" s="2696" t="s">
        <v>2415</v>
      </c>
      <c r="P26" s="2697" t="s">
        <v>2416</v>
      </c>
      <c r="Q26" s="2697" t="s">
        <v>2417</v>
      </c>
      <c r="R26" s="2602" t="s">
        <v>2342</v>
      </c>
      <c r="S26" s="2636"/>
      <c r="T26" s="2636"/>
      <c r="U26" s="2636"/>
      <c r="V26" s="2691"/>
    </row>
    <row r="27" spans="1:22" s="2597" customFormat="1" ht="13.15" customHeight="1">
      <c r="A27" s="2680"/>
      <c r="B27" s="2681" t="s">
        <v>2418</v>
      </c>
      <c r="C27" s="2698" t="e">
        <f>E7</f>
        <v>#DIV/0!</v>
      </c>
      <c r="D27" s="2683"/>
      <c r="E27" s="2684"/>
      <c r="F27" s="2685"/>
      <c r="G27" s="2679"/>
      <c r="H27" s="2699"/>
      <c r="I27" s="2691"/>
      <c r="J27" s="3400"/>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2419</v>
      </c>
      <c r="F28" s="2685"/>
      <c r="G28" s="2585"/>
      <c r="H28" s="2699"/>
      <c r="I28" s="2691"/>
      <c r="J28" s="2705">
        <v>6</v>
      </c>
      <c r="K28" s="2706" t="s">
        <v>2420</v>
      </c>
      <c r="L28" s="2707" t="s">
        <v>2421</v>
      </c>
      <c r="M28" s="2708"/>
      <c r="N28" s="2707" t="s">
        <v>2422</v>
      </c>
      <c r="O28" s="2709"/>
      <c r="P28" s="2707" t="s">
        <v>2423</v>
      </c>
      <c r="Q28" s="2710">
        <v>1.4999999999999999E-2</v>
      </c>
      <c r="R28" s="2711"/>
      <c r="S28" s="2585"/>
      <c r="T28" s="2585"/>
      <c r="U28" s="2585"/>
      <c r="V28" s="2691"/>
    </row>
    <row r="29" spans="1:22" s="2692" customFormat="1" ht="13.15" customHeight="1">
      <c r="A29" s="2673">
        <v>3</v>
      </c>
      <c r="B29" s="2674" t="s">
        <v>2424</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2418</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2425</v>
      </c>
      <c r="K31" s="2583"/>
      <c r="L31" s="2583"/>
      <c r="M31" s="2583"/>
      <c r="N31" s="2583"/>
      <c r="O31" s="2583"/>
      <c r="P31" s="2583"/>
      <c r="Q31" s="2583"/>
      <c r="R31" s="2584"/>
      <c r="S31" s="2585"/>
      <c r="T31" s="2585"/>
      <c r="U31" s="2585"/>
      <c r="V31" s="2691"/>
    </row>
    <row r="32" spans="1:22" s="2692" customFormat="1" ht="13.15" customHeight="1">
      <c r="A32" s="2673">
        <v>4</v>
      </c>
      <c r="B32" s="2674" t="s">
        <v>2426</v>
      </c>
      <c r="C32" s="2675">
        <f>C23-C26-C29</f>
        <v>0</v>
      </c>
      <c r="D32" s="2676">
        <f>D23-D26-D29</f>
        <v>0</v>
      </c>
      <c r="E32" s="2677">
        <f>E23-E26-E29</f>
        <v>0</v>
      </c>
      <c r="F32" s="2678"/>
      <c r="G32" s="2585"/>
      <c r="H32" s="2592"/>
      <c r="I32" s="2593"/>
      <c r="J32" s="3382" t="s">
        <v>2318</v>
      </c>
      <c r="K32" s="3383"/>
      <c r="L32" s="2594" t="s">
        <v>2319</v>
      </c>
      <c r="M32" s="2594" t="s">
        <v>2320</v>
      </c>
      <c r="N32" s="2594" t="s">
        <v>2321</v>
      </c>
      <c r="O32" s="2594" t="s">
        <v>2322</v>
      </c>
      <c r="P32" s="2594" t="s">
        <v>2323</v>
      </c>
      <c r="Q32" s="2595" t="s">
        <v>2324</v>
      </c>
      <c r="R32" s="2714" t="s">
        <v>2325</v>
      </c>
      <c r="S32" s="2585"/>
      <c r="T32" s="2585"/>
      <c r="U32" s="2585"/>
      <c r="V32" s="2691"/>
    </row>
    <row r="33" spans="1:23" s="2597" customFormat="1" ht="13.15" customHeight="1">
      <c r="A33" s="2673"/>
      <c r="B33" s="2674"/>
      <c r="C33" s="2675"/>
      <c r="D33" s="2715"/>
      <c r="E33" s="2716"/>
      <c r="F33" s="2678"/>
      <c r="G33" s="2585"/>
      <c r="H33" s="2699"/>
      <c r="I33" s="2691"/>
      <c r="J33" s="3384" t="s">
        <v>2328</v>
      </c>
      <c r="K33" s="3385"/>
      <c r="L33" s="2600"/>
      <c r="M33" s="2600"/>
      <c r="N33" s="2600"/>
      <c r="O33" s="2600"/>
      <c r="P33" s="2600"/>
      <c r="Q33" s="2601"/>
      <c r="R33" s="2717">
        <f>SUM(L33:Q33)</f>
        <v>0</v>
      </c>
      <c r="S33" s="2585"/>
      <c r="T33" s="2585"/>
      <c r="U33" s="2585"/>
      <c r="V33" s="2593"/>
    </row>
    <row r="34" spans="1:23" s="2597" customFormat="1" ht="13.15" customHeight="1">
      <c r="A34" s="2673">
        <v>5</v>
      </c>
      <c r="B34" s="2674" t="s">
        <v>2427</v>
      </c>
      <c r="C34" s="2718"/>
      <c r="D34" s="2719"/>
      <c r="E34" s="2720"/>
      <c r="F34" s="2678"/>
      <c r="G34" s="2585"/>
      <c r="H34" s="2699"/>
      <c r="I34" s="2691"/>
      <c r="J34" s="3384" t="s">
        <v>2330</v>
      </c>
      <c r="K34" s="3385"/>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2428</v>
      </c>
      <c r="C35" s="2722"/>
      <c r="D35" s="2723"/>
      <c r="E35" s="2724"/>
      <c r="F35" s="2678"/>
      <c r="G35" s="2725"/>
      <c r="H35" s="2592"/>
      <c r="I35" s="2691"/>
      <c r="J35" s="2611" t="s">
        <v>2332</v>
      </c>
      <c r="K35" s="2612"/>
      <c r="L35" s="2612"/>
      <c r="M35" s="2613"/>
      <c r="N35" s="2613"/>
      <c r="O35" s="2613"/>
      <c r="P35" s="2613"/>
      <c r="Q35" s="2613"/>
      <c r="R35" s="2726">
        <f>R40+R41+R43</f>
        <v>0</v>
      </c>
      <c r="S35" s="2585"/>
      <c r="T35" s="2585" t="s">
        <v>2333</v>
      </c>
      <c r="U35" s="2585"/>
      <c r="V35" s="2593"/>
    </row>
    <row r="36" spans="1:23" s="2597" customFormat="1" ht="13.15" customHeight="1" thickBot="1">
      <c r="A36" s="2673">
        <v>7</v>
      </c>
      <c r="B36" s="2727" t="s">
        <v>2429</v>
      </c>
      <c r="C36" s="2728"/>
      <c r="D36" s="2729"/>
      <c r="E36" s="2730"/>
      <c r="F36" s="2731">
        <f>C36+D36+E36</f>
        <v>0</v>
      </c>
      <c r="G36" s="2585"/>
      <c r="H36" s="2592"/>
      <c r="I36" s="2593"/>
      <c r="J36" s="3389">
        <v>1</v>
      </c>
      <c r="K36" s="3390" t="s">
        <v>2430</v>
      </c>
      <c r="L36" s="2618"/>
      <c r="M36" s="2619"/>
      <c r="N36" s="2619"/>
      <c r="O36" s="2619"/>
      <c r="P36" s="2619"/>
      <c r="Q36" s="2619"/>
      <c r="R36" s="2602" t="s">
        <v>2342</v>
      </c>
      <c r="S36" s="2585"/>
      <c r="T36" s="2585" t="s">
        <v>2343</v>
      </c>
      <c r="U36" s="2585"/>
      <c r="V36" s="2593"/>
    </row>
    <row r="37" spans="1:23" s="2597" customFormat="1" ht="13.15" customHeight="1">
      <c r="A37" s="2673"/>
      <c r="B37" s="2674"/>
      <c r="C37" s="2674"/>
      <c r="D37" s="2674"/>
      <c r="E37" s="2674"/>
      <c r="F37" s="2678"/>
      <c r="G37" s="2585"/>
      <c r="H37" s="2592"/>
      <c r="I37" s="2593"/>
      <c r="J37" s="3389"/>
      <c r="K37" s="3391"/>
      <c r="L37" s="2627"/>
      <c r="M37" s="2628"/>
      <c r="N37" s="2604"/>
      <c r="O37" s="2629"/>
      <c r="P37" s="2629"/>
      <c r="Q37" s="2630"/>
      <c r="R37" s="2631"/>
      <c r="S37" s="2585"/>
      <c r="T37" s="2585" t="s">
        <v>2346</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89"/>
      <c r="K38" s="3391"/>
      <c r="L38" s="2627"/>
      <c r="M38" s="2628"/>
      <c r="N38" s="2604"/>
      <c r="O38" s="2629"/>
      <c r="P38" s="2629"/>
      <c r="Q38" s="2630"/>
      <c r="R38" s="2631"/>
      <c r="S38" s="2585"/>
      <c r="T38" s="2585" t="s">
        <v>2353</v>
      </c>
      <c r="U38" s="2585"/>
      <c r="V38" s="2593"/>
    </row>
    <row r="39" spans="1:23" s="2597" customFormat="1" ht="13.15" customHeight="1">
      <c r="A39" s="2673">
        <v>9</v>
      </c>
      <c r="B39" s="2674" t="s">
        <v>2431</v>
      </c>
      <c r="C39" s="2641" t="e">
        <f>C38</f>
        <v>#DIV/0!</v>
      </c>
      <c r="D39" s="2674">
        <f>D38/(1+D34)^C36</f>
        <v>0</v>
      </c>
      <c r="E39" s="2674">
        <f>E38/(1+E34)^(C36+D36)</f>
        <v>0</v>
      </c>
      <c r="F39" s="2678"/>
      <c r="G39" s="2593"/>
      <c r="H39" s="2592"/>
      <c r="I39" s="2593"/>
      <c r="J39" s="3389"/>
      <c r="K39" s="3391"/>
      <c r="L39" s="2627"/>
      <c r="M39" s="2628"/>
      <c r="N39" s="2604"/>
      <c r="O39" s="2629"/>
      <c r="P39" s="2629"/>
      <c r="Q39" s="2630"/>
      <c r="R39" s="2631"/>
      <c r="S39" s="2585"/>
      <c r="T39" s="2585"/>
      <c r="U39" s="2585"/>
      <c r="V39" s="2593"/>
    </row>
    <row r="40" spans="1:23" s="2597" customFormat="1" ht="13.15" customHeight="1">
      <c r="A40" s="2732">
        <v>10</v>
      </c>
      <c r="B40" s="2674" t="s">
        <v>2432</v>
      </c>
      <c r="C40" s="2733" t="e">
        <f>C39+D39+E39</f>
        <v>#DIV/0!</v>
      </c>
      <c r="D40" s="2734"/>
      <c r="E40" s="2734"/>
      <c r="F40" s="2735"/>
      <c r="G40" s="2585"/>
      <c r="H40" s="2592"/>
      <c r="I40" s="2593"/>
      <c r="J40" s="3389"/>
      <c r="K40" s="3392"/>
      <c r="L40" s="2647" t="s">
        <v>2371</v>
      </c>
      <c r="M40" s="2648"/>
      <c r="N40" s="2648"/>
      <c r="O40" s="2649"/>
      <c r="P40" s="2649"/>
      <c r="Q40" s="2650"/>
      <c r="R40" s="2596">
        <f>SUM(R37:R39)</f>
        <v>0</v>
      </c>
      <c r="S40" s="2585"/>
      <c r="T40" s="2585"/>
      <c r="U40" s="2585"/>
      <c r="V40" s="2593"/>
    </row>
    <row r="41" spans="1:23" s="2597" customFormat="1" ht="13.15" customHeight="1" thickBot="1">
      <c r="A41" s="2736">
        <v>11</v>
      </c>
      <c r="B41" s="2737" t="s">
        <v>2433</v>
      </c>
      <c r="C41" s="2737" t="e">
        <f>ROUND(C40*10000/B4,0)</f>
        <v>#DIV/0!</v>
      </c>
      <c r="D41" s="2738"/>
      <c r="E41" s="2738"/>
      <c r="F41" s="2739"/>
      <c r="G41" s="2592"/>
      <c r="H41" s="2592"/>
      <c r="I41" s="2593"/>
      <c r="J41" s="2686">
        <v>2</v>
      </c>
      <c r="K41" s="2687" t="s">
        <v>2411</v>
      </c>
      <c r="L41" s="2688"/>
      <c r="M41" s="2688"/>
      <c r="N41" s="2688"/>
      <c r="O41" s="2688"/>
      <c r="P41" s="2689"/>
      <c r="Q41" s="2690"/>
      <c r="R41" s="2663">
        <f>ROUND(R40*Q41,0)</f>
        <v>0</v>
      </c>
      <c r="S41" s="2585"/>
      <c r="T41" s="2585"/>
      <c r="U41" s="2636"/>
      <c r="V41" s="2593"/>
    </row>
    <row r="42" spans="1:23" s="2597" customFormat="1" ht="13.15" customHeight="1">
      <c r="G42" s="2592"/>
      <c r="H42" s="2592"/>
      <c r="I42" s="2593"/>
      <c r="J42" s="3399">
        <v>3</v>
      </c>
      <c r="K42" s="2693" t="s">
        <v>2413</v>
      </c>
      <c r="L42" s="2694"/>
      <c r="M42" s="2695"/>
      <c r="N42" s="2696" t="s">
        <v>2414</v>
      </c>
      <c r="O42" s="2696" t="s">
        <v>2415</v>
      </c>
      <c r="P42" s="2697" t="s">
        <v>2416</v>
      </c>
      <c r="Q42" s="2697" t="s">
        <v>2417</v>
      </c>
      <c r="R42" s="2602" t="s">
        <v>2342</v>
      </c>
      <c r="S42" s="2636"/>
      <c r="T42" s="2636"/>
      <c r="U42" s="2585"/>
      <c r="V42" s="2593"/>
    </row>
    <row r="43" spans="1:23" ht="13.15" customHeight="1">
      <c r="A43" s="2597"/>
      <c r="B43" s="2597"/>
      <c r="C43" s="2597"/>
      <c r="D43" s="2597"/>
      <c r="E43" s="2597"/>
      <c r="F43" s="2597"/>
      <c r="I43" s="2580"/>
      <c r="J43" s="3400"/>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2420</v>
      </c>
      <c r="L44" s="2742" t="s">
        <v>2421</v>
      </c>
      <c r="M44" s="2708"/>
      <c r="N44" s="2742" t="s">
        <v>2422</v>
      </c>
      <c r="O44" s="2708"/>
      <c r="P44" s="2742" t="s">
        <v>2423</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1657</v>
      </c>
      <c r="B1" s="1723"/>
      <c r="C1" s="1723"/>
      <c r="D1" s="1723"/>
      <c r="E1" s="1724"/>
      <c r="F1" s="2472"/>
      <c r="G1" s="459"/>
      <c r="H1" s="459"/>
      <c r="I1" s="459"/>
      <c r="J1" s="459"/>
      <c r="K1" s="459"/>
      <c r="L1" s="459"/>
      <c r="M1" s="459"/>
      <c r="N1" s="459"/>
      <c r="O1" s="459"/>
      <c r="P1" s="459"/>
      <c r="Q1" s="459"/>
      <c r="R1" s="459"/>
      <c r="S1" s="459"/>
    </row>
    <row r="2" spans="1:22" ht="15.75">
      <c r="A2" s="1725" t="s">
        <v>1461</v>
      </c>
      <c r="B2" s="810">
        <f ca="1">SUMIF(B6:B13,"&lt;&gt;#ref!",B6:B13)</f>
        <v>3512</v>
      </c>
      <c r="C2" s="1726" t="s">
        <v>1650</v>
      </c>
      <c r="D2" s="1727" t="s">
        <v>1651</v>
      </c>
      <c r="E2" s="2386">
        <f>SUM(E6:E13)</f>
        <v>6436.4900000000007</v>
      </c>
      <c r="F2" s="2472"/>
      <c r="G2" s="459"/>
      <c r="H2" s="459"/>
      <c r="I2" s="459"/>
      <c r="J2" s="459"/>
      <c r="K2" s="459"/>
      <c r="L2" s="459"/>
      <c r="M2" s="459"/>
      <c r="N2" s="459"/>
      <c r="O2" s="459"/>
      <c r="P2" s="459"/>
      <c r="Q2" s="459"/>
      <c r="R2" s="459"/>
      <c r="S2" s="459"/>
    </row>
    <row r="3" spans="1:22" ht="15.75">
      <c r="A3" s="1725" t="s">
        <v>686</v>
      </c>
      <c r="B3" s="2380">
        <f ca="1">ROUND(B2*10000/E2,0)</f>
        <v>5456</v>
      </c>
      <c r="C3" s="1726" t="s">
        <v>1658</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2" t="s">
        <v>1652</v>
      </c>
      <c r="B5" s="3401" t="s">
        <v>1653</v>
      </c>
      <c r="C5" s="3402"/>
      <c r="D5" s="2473"/>
      <c r="E5" s="1728" t="s">
        <v>1654</v>
      </c>
      <c r="F5" s="129" t="s">
        <v>1655</v>
      </c>
      <c r="G5" s="459"/>
      <c r="H5" s="459"/>
      <c r="I5" s="459"/>
      <c r="J5" s="459"/>
      <c r="K5" s="459"/>
      <c r="L5" s="459"/>
      <c r="M5" s="459"/>
      <c r="N5" s="459"/>
      <c r="O5" s="459"/>
      <c r="P5" s="459"/>
      <c r="Q5" s="459"/>
      <c r="R5" s="459"/>
      <c r="S5" s="459"/>
    </row>
    <row r="6" spans="1:22">
      <c r="A6" s="2383" t="str">
        <f>'数据-取费表'!AN6</f>
        <v>收益法</v>
      </c>
      <c r="B6" s="2381">
        <f ca="1">IF(F6="是",'数据-取费表'!AO6,0)</f>
        <v>3512</v>
      </c>
      <c r="C6" s="1726" t="s">
        <v>1650</v>
      </c>
      <c r="D6" s="2472"/>
      <c r="E6" s="2385">
        <f>IF(OR(A6=0,F6="否"),0,'数据-取费表'!K6+'数据-取费表'!S6)</f>
        <v>6436.4900000000007</v>
      </c>
      <c r="F6" s="1729" t="s">
        <v>1656</v>
      </c>
      <c r="G6" s="459"/>
      <c r="H6" s="459"/>
      <c r="I6" s="459"/>
      <c r="J6" s="459"/>
      <c r="K6" s="459"/>
      <c r="L6" s="459"/>
      <c r="M6" s="459"/>
      <c r="N6" s="459"/>
      <c r="O6" s="459"/>
      <c r="P6" s="459"/>
      <c r="Q6" s="459"/>
      <c r="R6" s="459"/>
      <c r="S6" s="459"/>
    </row>
    <row r="7" spans="1:22">
      <c r="A7" s="2383">
        <f>'数据-取费表'!AN7</f>
        <v>0</v>
      </c>
      <c r="B7" s="2381" t="e">
        <f ca="1">IF(F7="是",'数据-取费表'!AO7,0)</f>
        <v>#REF!</v>
      </c>
      <c r="C7" s="1726" t="s">
        <v>1650</v>
      </c>
      <c r="D7" s="2472"/>
      <c r="E7" s="2385">
        <f>IF(OR(A7=0,F7="否"),0,'数据-取费表'!K7+'数据-取费表'!S7)</f>
        <v>0</v>
      </c>
      <c r="F7" s="1729" t="s">
        <v>1656</v>
      </c>
      <c r="G7" s="459"/>
      <c r="H7" s="459"/>
      <c r="I7" s="459"/>
      <c r="J7" s="459"/>
      <c r="K7" s="459"/>
      <c r="L7" s="459"/>
      <c r="M7" s="459"/>
      <c r="N7" s="459"/>
      <c r="O7" s="459"/>
      <c r="P7" s="459"/>
      <c r="Q7" s="459"/>
      <c r="R7" s="459"/>
      <c r="S7" s="459"/>
    </row>
    <row r="8" spans="1:22">
      <c r="A8" s="2383">
        <f>'数据-取费表'!AN8</f>
        <v>0</v>
      </c>
      <c r="B8" s="2381" t="e">
        <f ca="1">IF(F8="是",'数据-取费表'!AO8,0)</f>
        <v>#REF!</v>
      </c>
      <c r="C8" s="1726" t="s">
        <v>1650</v>
      </c>
      <c r="D8" s="2472"/>
      <c r="E8" s="2385">
        <f>IF(OR(A8=0,F8="否"),0,'数据-取费表'!K8+'数据-取费表'!S8)</f>
        <v>0</v>
      </c>
      <c r="F8" s="1729" t="s">
        <v>1656</v>
      </c>
      <c r="G8" s="459"/>
      <c r="H8" s="459"/>
      <c r="I8" s="459"/>
      <c r="J8" s="459"/>
      <c r="K8" s="459"/>
      <c r="L8" s="459"/>
      <c r="M8" s="459"/>
      <c r="N8" s="459"/>
      <c r="O8" s="459"/>
      <c r="P8" s="459"/>
      <c r="Q8" s="459"/>
      <c r="R8" s="459"/>
      <c r="S8" s="459"/>
    </row>
    <row r="9" spans="1:22">
      <c r="A9" s="2383">
        <f>'数据-取费表'!AN9</f>
        <v>0</v>
      </c>
      <c r="B9" s="2381" t="e">
        <f ca="1">IF(F9="是",'数据-取费表'!AO9,0)</f>
        <v>#REF!</v>
      </c>
      <c r="C9" s="1726" t="s">
        <v>1650</v>
      </c>
      <c r="D9" s="2472"/>
      <c r="E9" s="2385">
        <f>IF(OR(A9=0,F9="否"),0,'数据-取费表'!K9+'数据-取费表'!S9)</f>
        <v>0</v>
      </c>
      <c r="F9" s="1729" t="s">
        <v>1656</v>
      </c>
      <c r="G9" s="459"/>
      <c r="H9" s="459"/>
      <c r="I9" s="459"/>
      <c r="J9" s="459"/>
      <c r="K9" s="459"/>
      <c r="L9" s="459"/>
      <c r="M9" s="459"/>
      <c r="N9" s="459"/>
      <c r="O9" s="459"/>
      <c r="P9" s="459"/>
      <c r="Q9" s="459"/>
      <c r="R9" s="459"/>
      <c r="S9" s="459"/>
    </row>
    <row r="10" spans="1:22">
      <c r="A10" s="2383">
        <f>'数据-取费表'!AN10</f>
        <v>0</v>
      </c>
      <c r="B10" s="2381" t="e">
        <f ca="1">IF(F10="是",'数据-取费表'!AO10,0)</f>
        <v>#REF!</v>
      </c>
      <c r="C10" s="1726" t="s">
        <v>1650</v>
      </c>
      <c r="D10" s="2472"/>
      <c r="E10" s="2385">
        <f>IF(OR(A10=0,F10="否"),0,'数据-取费表'!K10+'数据-取费表'!S10)</f>
        <v>0</v>
      </c>
      <c r="F10" s="1729" t="s">
        <v>1656</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6" t="s">
        <v>1650</v>
      </c>
      <c r="D11" s="2472"/>
      <c r="E11" s="2385">
        <f>IF(OR(A11=0,F11="否"),0,'数据-取费表'!K11+'数据-取费表'!S11)</f>
        <v>0</v>
      </c>
      <c r="F11" s="1729" t="s">
        <v>1656</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6" t="s">
        <v>1650</v>
      </c>
      <c r="D12" s="2472"/>
      <c r="E12" s="2385">
        <f>IF(OR(A12=0,F12="否"),0,'数据-取费表'!K12+'数据-取费表'!S12)</f>
        <v>0</v>
      </c>
      <c r="F12" s="1729" t="s">
        <v>1656</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30" t="s">
        <v>1650</v>
      </c>
      <c r="D13" s="2474"/>
      <c r="E13" s="2385">
        <f>IF(OR(A13=0,F13="否"),0,'数据-取费表'!K13+'数据-取费表'!S13)</f>
        <v>0</v>
      </c>
      <c r="F13" s="1729"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1659</v>
      </c>
      <c r="B1" s="1731" t="s">
        <v>1660</v>
      </c>
      <c r="C1" s="1152" t="s">
        <v>1661</v>
      </c>
      <c r="D1" s="1139"/>
      <c r="E1" s="3117"/>
      <c r="F1" s="1732"/>
      <c r="G1" s="1149" t="s">
        <v>1662</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8"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1663</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1664</v>
      </c>
      <c r="D3" s="343">
        <f>IF(D1="",'数据-汇总表'!E3,SUMIF('数据-汇总表'!$C19:$C33,D1,'数据-汇总表'!$E19:$E33))</f>
        <v>6436.4900000000007</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6"/>
    </row>
    <row r="4" spans="1:29" ht="15">
      <c r="A4" s="345" t="s">
        <v>1665</v>
      </c>
      <c r="B4" s="346"/>
      <c r="C4" s="3421" t="s">
        <v>1666</v>
      </c>
      <c r="D4" s="3422"/>
      <c r="E4" s="3423" t="s">
        <v>1667</v>
      </c>
      <c r="F4" s="3424"/>
      <c r="G4" s="3421" t="s">
        <v>1668</v>
      </c>
      <c r="H4" s="3422"/>
      <c r="I4" s="3421" t="s">
        <v>1669</v>
      </c>
      <c r="J4" s="3422"/>
      <c r="K4" s="1741" t="s">
        <v>1670</v>
      </c>
      <c r="L4" s="2479"/>
      <c r="M4" s="2480"/>
      <c r="N4" s="2480"/>
      <c r="O4" s="2480"/>
      <c r="P4" s="3425" t="s">
        <v>1671</v>
      </c>
      <c r="Q4" s="3426"/>
      <c r="R4" s="3408" t="s">
        <v>1667</v>
      </c>
      <c r="S4" s="3409"/>
      <c r="T4" s="3408" t="s">
        <v>1668</v>
      </c>
      <c r="U4" s="3409"/>
      <c r="V4" s="3433" t="s">
        <v>1669</v>
      </c>
      <c r="W4" s="3433"/>
      <c r="X4" s="1262"/>
      <c r="Y4" s="3408" t="s">
        <v>1671</v>
      </c>
      <c r="Z4" s="3409"/>
      <c r="AA4" s="3403" t="s">
        <v>1667</v>
      </c>
      <c r="AB4" s="3403" t="s">
        <v>1668</v>
      </c>
      <c r="AC4" s="3403" t="s">
        <v>1669</v>
      </c>
    </row>
    <row r="5" spans="1:29" ht="15">
      <c r="A5" s="348"/>
      <c r="B5" s="349"/>
      <c r="C5" s="3414" t="s">
        <v>1672</v>
      </c>
      <c r="D5" s="3415"/>
      <c r="E5" s="3412" t="s">
        <v>1673</v>
      </c>
      <c r="F5" s="3413"/>
      <c r="G5" s="3414" t="s">
        <v>1674</v>
      </c>
      <c r="H5" s="3415"/>
      <c r="I5" s="3414" t="s">
        <v>1675</v>
      </c>
      <c r="J5" s="3415"/>
      <c r="K5" s="1742"/>
      <c r="L5" s="2479"/>
      <c r="M5" s="2480"/>
      <c r="N5" s="2480"/>
      <c r="O5" s="2480"/>
      <c r="P5" s="3427"/>
      <c r="Q5" s="3428"/>
      <c r="R5" s="3410"/>
      <c r="S5" s="3411"/>
      <c r="T5" s="3410"/>
      <c r="U5" s="3411"/>
      <c r="V5" s="3433"/>
      <c r="W5" s="3433"/>
      <c r="X5" s="1262"/>
      <c r="Y5" s="3410"/>
      <c r="Z5" s="3411"/>
      <c r="AA5" s="3404"/>
      <c r="AB5" s="3404"/>
      <c r="AC5" s="3404"/>
    </row>
    <row r="6" spans="1:29" ht="15.75" thickBot="1">
      <c r="A6" s="350"/>
      <c r="B6" s="351"/>
      <c r="C6" s="3416" t="s">
        <v>1676</v>
      </c>
      <c r="D6" s="3417"/>
      <c r="E6" s="3418" t="s">
        <v>1676</v>
      </c>
      <c r="F6" s="3419"/>
      <c r="G6" s="3416" t="s">
        <v>1676</v>
      </c>
      <c r="H6" s="3417"/>
      <c r="I6" s="3416" t="s">
        <v>1676</v>
      </c>
      <c r="J6" s="3417"/>
      <c r="K6" s="1742" t="s">
        <v>1677</v>
      </c>
      <c r="L6" s="2479"/>
      <c r="M6" s="2480"/>
      <c r="N6" s="2480"/>
      <c r="O6" s="248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c r="F7" s="357">
        <f>SUMIF(58:58,YEAR(E7)&amp;"-"&amp;MONTH(E7),59:59)</f>
        <v>0</v>
      </c>
      <c r="G7" s="356"/>
      <c r="H7" s="355">
        <f>SUMIF(58:58,YEAR(G7)&amp;"-"&amp;MONTH(G7),59:59)</f>
        <v>0</v>
      </c>
      <c r="I7" s="356"/>
      <c r="J7" s="355">
        <f>SUMIF(58:58,YEAR(I7)&amp;"-"&amp;MONTH(I7),59:59)</f>
        <v>0</v>
      </c>
      <c r="K7" s="1743"/>
      <c r="L7" s="2481"/>
      <c r="M7" s="2433"/>
      <c r="N7" s="2433"/>
      <c r="O7" s="2433"/>
      <c r="P7" s="3406" t="s">
        <v>1679</v>
      </c>
      <c r="Q7" s="3434"/>
      <c r="R7" s="663" t="s">
        <v>20</v>
      </c>
      <c r="S7" s="664">
        <f t="shared" ref="S7:S15" si="0">F7</f>
        <v>0</v>
      </c>
      <c r="T7" s="663" t="s">
        <v>20</v>
      </c>
      <c r="U7" s="664">
        <f t="shared" ref="U7:U15" si="1">H7</f>
        <v>0</v>
      </c>
      <c r="V7" s="663" t="s">
        <v>20</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c r="D8" s="355">
        <v>100</v>
      </c>
      <c r="E8" s="1744"/>
      <c r="F8" s="357">
        <f>SUMIF(61:61,E8,62:62)-SUMIF(61:61,C8,62:62)+100</f>
        <v>100</v>
      </c>
      <c r="G8" s="358"/>
      <c r="H8" s="355">
        <f>SUMIF(61:61,G8,62:62)-SUMIF(61:61,C8,62:62)+100</f>
        <v>100</v>
      </c>
      <c r="I8" s="1744"/>
      <c r="J8" s="355">
        <f>SUMIF(61:61,I8,62:62)-SUMIF(61:61,C8,62:62)+100</f>
        <v>100</v>
      </c>
      <c r="K8" s="1743"/>
      <c r="L8" s="2481"/>
      <c r="M8" s="2433"/>
      <c r="N8" s="2433"/>
      <c r="O8" s="2433"/>
      <c r="P8" s="3406" t="s">
        <v>1682</v>
      </c>
      <c r="Q8" s="3407"/>
      <c r="R8" s="663" t="s">
        <v>20</v>
      </c>
      <c r="S8" s="664">
        <f t="shared" si="0"/>
        <v>100</v>
      </c>
      <c r="T8" s="663" t="s">
        <v>20</v>
      </c>
      <c r="U8" s="664">
        <f t="shared" si="1"/>
        <v>100</v>
      </c>
      <c r="V8" s="663" t="s">
        <v>20</v>
      </c>
      <c r="W8" s="664">
        <f t="shared" si="2"/>
        <v>100</v>
      </c>
      <c r="X8" s="665"/>
      <c r="Y8" s="3406" t="s">
        <v>1682</v>
      </c>
      <c r="Z8" s="3407"/>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3"/>
      <c r="L9" s="2481"/>
      <c r="M9" s="2433"/>
      <c r="N9" s="2433"/>
      <c r="O9" s="2433"/>
      <c r="P9" s="3420"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50">
        <f t="shared" si="5"/>
        <v>1</v>
      </c>
    </row>
    <row r="10" spans="1:29" s="366" customFormat="1" ht="27">
      <c r="A10" s="363"/>
      <c r="B10" s="364" t="s">
        <v>1687</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420"/>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4"/>
      <c r="M11" s="2480"/>
      <c r="N11" s="2480"/>
      <c r="O11" s="2480"/>
      <c r="P11" s="3420"/>
      <c r="Q11" s="530" t="str">
        <f t="shared" si="6"/>
        <v>容积率</v>
      </c>
      <c r="R11" s="663" t="s">
        <v>18</v>
      </c>
      <c r="S11" s="664" t="e">
        <f t="shared" si="0"/>
        <v>#N/A</v>
      </c>
      <c r="T11" s="663" t="s">
        <v>18</v>
      </c>
      <c r="U11" s="664" t="e">
        <f t="shared" si="1"/>
        <v>#N/A</v>
      </c>
      <c r="V11" s="663" t="s">
        <v>18</v>
      </c>
      <c r="W11" s="664" t="e">
        <f t="shared" si="2"/>
        <v>#N/A</v>
      </c>
      <c r="X11" s="665"/>
      <c r="Y11" s="33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3"/>
      <c r="N12" s="2433"/>
      <c r="O12" s="2433"/>
      <c r="P12" s="3420"/>
      <c r="Q12" s="530">
        <f t="shared" si="6"/>
        <v>111</v>
      </c>
      <c r="R12" s="663" t="s">
        <v>18</v>
      </c>
      <c r="S12" s="664">
        <f t="shared" si="0"/>
        <v>100</v>
      </c>
      <c r="T12" s="663" t="s">
        <v>18</v>
      </c>
      <c r="U12" s="664">
        <f t="shared" si="1"/>
        <v>100</v>
      </c>
      <c r="V12" s="663" t="s">
        <v>18</v>
      </c>
      <c r="W12" s="664">
        <f t="shared" si="2"/>
        <v>100</v>
      </c>
      <c r="X12" s="665"/>
      <c r="Y12" s="33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420"/>
      <c r="Q13" s="530">
        <f t="shared" si="6"/>
        <v>111</v>
      </c>
      <c r="R13" s="663" t="s">
        <v>18</v>
      </c>
      <c r="S13" s="664">
        <f t="shared" si="0"/>
        <v>100</v>
      </c>
      <c r="T13" s="663" t="s">
        <v>18</v>
      </c>
      <c r="U13" s="664">
        <f t="shared" si="1"/>
        <v>100</v>
      </c>
      <c r="V13" s="663" t="s">
        <v>18</v>
      </c>
      <c r="W13" s="664">
        <f t="shared" si="2"/>
        <v>100</v>
      </c>
      <c r="X13" s="665"/>
      <c r="Y13" s="3350"/>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420"/>
      <c r="Q14" s="530">
        <f t="shared" si="6"/>
        <v>111</v>
      </c>
      <c r="R14" s="663" t="s">
        <v>18</v>
      </c>
      <c r="S14" s="664">
        <f t="shared" si="0"/>
        <v>100</v>
      </c>
      <c r="T14" s="663" t="s">
        <v>18</v>
      </c>
      <c r="U14" s="664">
        <f t="shared" si="1"/>
        <v>100</v>
      </c>
      <c r="V14" s="663" t="s">
        <v>18</v>
      </c>
      <c r="W14" s="664">
        <f t="shared" si="2"/>
        <v>100</v>
      </c>
      <c r="X14" s="665"/>
      <c r="Y14" s="3350"/>
      <c r="Z14" s="50">
        <f t="shared" si="7"/>
        <v>111</v>
      </c>
      <c r="AA14" s="50">
        <f t="shared" si="3"/>
        <v>1</v>
      </c>
      <c r="AB14" s="50">
        <f t="shared" si="4"/>
        <v>1</v>
      </c>
      <c r="AC14" s="50">
        <f t="shared" si="5"/>
        <v>1</v>
      </c>
    </row>
    <row r="15" spans="1:29" ht="85.5">
      <c r="A15" s="379" t="s">
        <v>1689</v>
      </c>
      <c r="B15" s="58" t="s">
        <v>1256</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5"/>
      <c r="M15" s="2480"/>
      <c r="N15" s="2480"/>
      <c r="O15" s="2480"/>
      <c r="P15" s="3446" t="s">
        <v>1690</v>
      </c>
      <c r="Q15" s="1260" t="str">
        <f t="shared" si="6"/>
        <v>居住社区成熟度</v>
      </c>
      <c r="R15" s="666" t="s">
        <v>18</v>
      </c>
      <c r="S15" s="667">
        <f t="shared" si="0"/>
        <v>100</v>
      </c>
      <c r="T15" s="666" t="s">
        <v>18</v>
      </c>
      <c r="U15" s="667">
        <f t="shared" si="1"/>
        <v>100</v>
      </c>
      <c r="V15" s="666" t="s">
        <v>18</v>
      </c>
      <c r="W15" s="667">
        <f t="shared" si="2"/>
        <v>100</v>
      </c>
      <c r="X15" s="1262"/>
      <c r="Y15" s="3439" t="s">
        <v>1690</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5"/>
      <c r="M16" s="2480"/>
      <c r="N16" s="2480"/>
      <c r="O16" s="2480"/>
      <c r="P16" s="3447"/>
      <c r="Q16" s="1260"/>
      <c r="R16" s="666"/>
      <c r="S16" s="667"/>
      <c r="T16" s="666"/>
      <c r="U16" s="667"/>
      <c r="V16" s="666"/>
      <c r="W16" s="667"/>
      <c r="X16" s="1262"/>
      <c r="Y16" s="3440"/>
      <c r="Z16" s="1261"/>
      <c r="AA16" s="1261">
        <v>1</v>
      </c>
      <c r="AB16" s="1261">
        <v>1</v>
      </c>
      <c r="AC16" s="1261">
        <v>1</v>
      </c>
    </row>
    <row r="17" spans="1:29" ht="71.25">
      <c r="A17" s="367"/>
      <c r="B17" s="390" t="s">
        <v>1258</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5"/>
      <c r="M17" s="2480"/>
      <c r="N17" s="2480"/>
      <c r="O17" s="2480"/>
      <c r="P17" s="3447"/>
      <c r="Q17" s="1260" t="str">
        <f>B17</f>
        <v>交通便捷度</v>
      </c>
      <c r="R17" s="666" t="s">
        <v>18</v>
      </c>
      <c r="S17" s="667">
        <f>F17</f>
        <v>100</v>
      </c>
      <c r="T17" s="666" t="s">
        <v>18</v>
      </c>
      <c r="U17" s="667">
        <f>H17</f>
        <v>100</v>
      </c>
      <c r="V17" s="666" t="s">
        <v>18</v>
      </c>
      <c r="W17" s="667">
        <f>J17</f>
        <v>100</v>
      </c>
      <c r="X17" s="1262"/>
      <c r="Y17" s="3440"/>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5"/>
      <c r="M18" s="2480"/>
      <c r="N18" s="2480"/>
      <c r="O18" s="2480"/>
      <c r="P18" s="3447"/>
      <c r="Q18" s="1260"/>
      <c r="R18" s="666"/>
      <c r="S18" s="667"/>
      <c r="T18" s="666"/>
      <c r="U18" s="667"/>
      <c r="V18" s="666"/>
      <c r="W18" s="667"/>
      <c r="X18" s="1262"/>
      <c r="Y18" s="3440"/>
      <c r="Z18" s="1261"/>
      <c r="AA18" s="1261">
        <v>1</v>
      </c>
      <c r="AB18" s="1261">
        <v>1</v>
      </c>
      <c r="AC18" s="1261">
        <v>1</v>
      </c>
    </row>
    <row r="19" spans="1:29" ht="42.75">
      <c r="A19" s="367"/>
      <c r="B19" s="390" t="s">
        <v>1257</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5"/>
      <c r="M19" s="2480"/>
      <c r="N19" s="2480"/>
      <c r="O19" s="2480"/>
      <c r="P19" s="3447"/>
      <c r="Q19" s="1260" t="str">
        <f>B19</f>
        <v>公共配套设施</v>
      </c>
      <c r="R19" s="666" t="s">
        <v>18</v>
      </c>
      <c r="S19" s="667">
        <f>F19</f>
        <v>100</v>
      </c>
      <c r="T19" s="666" t="s">
        <v>18</v>
      </c>
      <c r="U19" s="667">
        <f>H19</f>
        <v>100</v>
      </c>
      <c r="V19" s="666" t="s">
        <v>18</v>
      </c>
      <c r="W19" s="667">
        <f>J19</f>
        <v>100</v>
      </c>
      <c r="X19" s="1262"/>
      <c r="Y19" s="3440"/>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5"/>
      <c r="M20" s="2480"/>
      <c r="N20" s="2480"/>
      <c r="O20" s="2480"/>
      <c r="P20" s="3447"/>
      <c r="Q20" s="1260"/>
      <c r="R20" s="666"/>
      <c r="S20" s="667"/>
      <c r="T20" s="666"/>
      <c r="U20" s="667"/>
      <c r="V20" s="666"/>
      <c r="W20" s="667"/>
      <c r="X20" s="1262"/>
      <c r="Y20" s="3440"/>
      <c r="Z20" s="1261"/>
      <c r="AA20" s="1261">
        <v>1</v>
      </c>
      <c r="AB20" s="1261">
        <v>1</v>
      </c>
      <c r="AC20" s="1261">
        <v>1</v>
      </c>
    </row>
    <row r="21" spans="1:29" ht="28.5">
      <c r="A21" s="367"/>
      <c r="B21" s="586" t="s">
        <v>1259</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47"/>
      <c r="Q21" s="1260" t="str">
        <f>B21</f>
        <v>基础设施水平</v>
      </c>
      <c r="R21" s="666" t="s">
        <v>14</v>
      </c>
      <c r="S21" s="667">
        <f>F21</f>
        <v>100</v>
      </c>
      <c r="T21" s="666" t="s">
        <v>14</v>
      </c>
      <c r="U21" s="667">
        <f>H21</f>
        <v>100</v>
      </c>
      <c r="V21" s="666" t="s">
        <v>14</v>
      </c>
      <c r="W21" s="667">
        <f>J21</f>
        <v>100</v>
      </c>
      <c r="X21" s="1262"/>
      <c r="Y21" s="3440"/>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5"/>
      <c r="M22" s="2480"/>
      <c r="N22" s="2480"/>
      <c r="O22" s="2480"/>
      <c r="P22" s="3447"/>
      <c r="Q22" s="1260"/>
      <c r="R22" s="666"/>
      <c r="S22" s="667"/>
      <c r="T22" s="666"/>
      <c r="U22" s="667"/>
      <c r="V22" s="666"/>
      <c r="W22" s="667"/>
      <c r="X22" s="1262"/>
      <c r="Y22" s="3440"/>
      <c r="Z22" s="1261"/>
      <c r="AA22" s="1261">
        <v>1</v>
      </c>
      <c r="AB22" s="1261">
        <v>1</v>
      </c>
      <c r="AC22" s="1261">
        <v>1</v>
      </c>
    </row>
    <row r="23" spans="1:29" ht="42.75">
      <c r="A23" s="367"/>
      <c r="B23" s="390" t="s">
        <v>1260</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5"/>
      <c r="M23" s="2480"/>
      <c r="N23" s="2480"/>
      <c r="O23" s="2480"/>
      <c r="P23" s="3447"/>
      <c r="Q23" s="1260" t="str">
        <f>B23</f>
        <v>自然及人文环境</v>
      </c>
      <c r="R23" s="666" t="s">
        <v>18</v>
      </c>
      <c r="S23" s="667">
        <f>F23</f>
        <v>100</v>
      </c>
      <c r="T23" s="666" t="s">
        <v>18</v>
      </c>
      <c r="U23" s="667">
        <f>H23</f>
        <v>100</v>
      </c>
      <c r="V23" s="666" t="s">
        <v>18</v>
      </c>
      <c r="W23" s="667">
        <f>J23</f>
        <v>100</v>
      </c>
      <c r="X23" s="1262"/>
      <c r="Y23" s="3440"/>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5"/>
      <c r="M24" s="2480"/>
      <c r="N24" s="2480"/>
      <c r="O24" s="2480"/>
      <c r="P24" s="3447"/>
      <c r="Q24" s="1260"/>
      <c r="R24" s="666"/>
      <c r="S24" s="667"/>
      <c r="T24" s="666"/>
      <c r="U24" s="667"/>
      <c r="V24" s="666"/>
      <c r="W24" s="667"/>
      <c r="X24" s="1262"/>
      <c r="Y24" s="3440"/>
      <c r="Z24" s="1261"/>
      <c r="AA24" s="1261">
        <v>1</v>
      </c>
      <c r="AB24" s="1261">
        <v>1</v>
      </c>
      <c r="AC24" s="1261">
        <v>1</v>
      </c>
    </row>
    <row r="25" spans="1:29" ht="15">
      <c r="A25" s="367"/>
      <c r="B25" s="364" t="s">
        <v>1691</v>
      </c>
      <c r="C25" s="399"/>
      <c r="D25" s="374">
        <v>100</v>
      </c>
      <c r="E25" s="1757"/>
      <c r="F25" s="374">
        <f>SUMIF(86:86,E25,87:87)-SUMIF(86:86,C25,87:87)+100</f>
        <v>100</v>
      </c>
      <c r="G25" s="1758"/>
      <c r="H25" s="374">
        <f>SUMIF(86:86,G25,87:87)-SUMIF(86:86,C25,87:87)+100</f>
        <v>100</v>
      </c>
      <c r="I25" s="1758"/>
      <c r="J25" s="374">
        <f>SUMIF(86:86,I25,87:87)-SUMIF(86:86,C25,87:87)+100</f>
        <v>100</v>
      </c>
      <c r="K25" s="365"/>
      <c r="L25" s="2485"/>
      <c r="M25" s="2480"/>
      <c r="N25" s="2480"/>
      <c r="O25" s="2480"/>
      <c r="P25" s="3447"/>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0"/>
      <c r="Z25" s="1261" t="str">
        <f>Q25</f>
        <v>楼层-1</v>
      </c>
      <c r="AA25" s="1261">
        <f t="shared" ref="AA25:AA46" si="15">D25/F25</f>
        <v>1</v>
      </c>
      <c r="AB25" s="1261">
        <f t="shared" ref="AB25:AB46" si="16">D25/H25</f>
        <v>1</v>
      </c>
      <c r="AC25" s="1261">
        <f t="shared" ref="AC25:AC46" si="17">D25/J25</f>
        <v>1</v>
      </c>
    </row>
    <row r="26" spans="1:29" ht="15">
      <c r="A26" s="367"/>
      <c r="B26" s="364" t="s">
        <v>1692</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47"/>
      <c r="Q26" s="1260" t="str">
        <f t="shared" si="11"/>
        <v>朝向</v>
      </c>
      <c r="R26" s="666" t="s">
        <v>18</v>
      </c>
      <c r="S26" s="667">
        <f t="shared" si="12"/>
        <v>100</v>
      </c>
      <c r="T26" s="666" t="s">
        <v>18</v>
      </c>
      <c r="U26" s="667">
        <f t="shared" si="13"/>
        <v>100</v>
      </c>
      <c r="V26" s="666" t="s">
        <v>18</v>
      </c>
      <c r="W26" s="667">
        <f t="shared" si="14"/>
        <v>100</v>
      </c>
      <c r="X26" s="1262"/>
      <c r="Y26" s="3440"/>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1"/>
      <c r="M27" s="2433"/>
      <c r="N27" s="2433"/>
      <c r="O27" s="2433"/>
      <c r="P27" s="3447"/>
      <c r="Q27" s="530">
        <f t="shared" si="11"/>
        <v>111</v>
      </c>
      <c r="R27" s="663" t="s">
        <v>18</v>
      </c>
      <c r="S27" s="664">
        <f t="shared" si="12"/>
        <v>100</v>
      </c>
      <c r="T27" s="663" t="s">
        <v>18</v>
      </c>
      <c r="U27" s="664">
        <f t="shared" si="13"/>
        <v>100</v>
      </c>
      <c r="V27" s="663" t="s">
        <v>18</v>
      </c>
      <c r="W27" s="664">
        <f t="shared" si="14"/>
        <v>100</v>
      </c>
      <c r="X27" s="665"/>
      <c r="Y27" s="3440"/>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47"/>
      <c r="Q28" s="1260">
        <f t="shared" si="11"/>
        <v>111</v>
      </c>
      <c r="R28" s="666" t="s">
        <v>18</v>
      </c>
      <c r="S28" s="667">
        <f t="shared" si="12"/>
        <v>100</v>
      </c>
      <c r="T28" s="666" t="s">
        <v>18</v>
      </c>
      <c r="U28" s="667">
        <f t="shared" si="13"/>
        <v>100</v>
      </c>
      <c r="V28" s="666" t="s">
        <v>18</v>
      </c>
      <c r="W28" s="667">
        <f t="shared" si="14"/>
        <v>100</v>
      </c>
      <c r="X28" s="1262"/>
      <c r="Y28" s="3440"/>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47"/>
      <c r="Q29" s="1260">
        <f t="shared" si="11"/>
        <v>111</v>
      </c>
      <c r="R29" s="666" t="s">
        <v>18</v>
      </c>
      <c r="S29" s="667">
        <f t="shared" si="12"/>
        <v>100</v>
      </c>
      <c r="T29" s="666" t="s">
        <v>18</v>
      </c>
      <c r="U29" s="667">
        <f t="shared" si="13"/>
        <v>100</v>
      </c>
      <c r="V29" s="666" t="s">
        <v>18</v>
      </c>
      <c r="W29" s="667">
        <f t="shared" si="14"/>
        <v>100</v>
      </c>
      <c r="X29" s="1262"/>
      <c r="Y29" s="3440"/>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47"/>
      <c r="Q30" s="1260">
        <f t="shared" si="11"/>
        <v>111</v>
      </c>
      <c r="R30" s="666" t="s">
        <v>18</v>
      </c>
      <c r="S30" s="667">
        <f t="shared" si="12"/>
        <v>100</v>
      </c>
      <c r="T30" s="666" t="s">
        <v>18</v>
      </c>
      <c r="U30" s="667">
        <f t="shared" si="13"/>
        <v>100</v>
      </c>
      <c r="V30" s="666" t="s">
        <v>18</v>
      </c>
      <c r="W30" s="667">
        <f t="shared" si="14"/>
        <v>100</v>
      </c>
      <c r="X30" s="1262"/>
      <c r="Y30" s="3440"/>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47"/>
      <c r="Q31" s="1260">
        <f t="shared" si="11"/>
        <v>111</v>
      </c>
      <c r="R31" s="666" t="s">
        <v>18</v>
      </c>
      <c r="S31" s="667">
        <f t="shared" si="12"/>
        <v>100</v>
      </c>
      <c r="T31" s="666" t="s">
        <v>18</v>
      </c>
      <c r="U31" s="667">
        <f t="shared" si="13"/>
        <v>100</v>
      </c>
      <c r="V31" s="666" t="s">
        <v>18</v>
      </c>
      <c r="W31" s="667">
        <f t="shared" si="14"/>
        <v>100</v>
      </c>
      <c r="X31" s="1262"/>
      <c r="Y31" s="3440"/>
      <c r="Z31" s="1261">
        <f t="shared" si="18"/>
        <v>111</v>
      </c>
      <c r="AA31" s="1261">
        <f t="shared" si="15"/>
        <v>1</v>
      </c>
      <c r="AB31" s="1261">
        <f t="shared" si="16"/>
        <v>1</v>
      </c>
      <c r="AC31" s="1261">
        <f t="shared" si="17"/>
        <v>1</v>
      </c>
    </row>
    <row r="32" spans="1:29" ht="15">
      <c r="A32" s="379" t="s">
        <v>1693</v>
      </c>
      <c r="B32" s="60" t="s">
        <v>1694</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5"/>
      <c r="M32" s="2480"/>
      <c r="N32" s="2480"/>
      <c r="O32" s="2480"/>
      <c r="P32" s="3441" t="s">
        <v>1695</v>
      </c>
      <c r="Q32" s="1260" t="str">
        <f t="shared" si="11"/>
        <v>建筑类型</v>
      </c>
      <c r="R32" s="666" t="s">
        <v>18</v>
      </c>
      <c r="S32" s="667">
        <f t="shared" si="12"/>
        <v>100</v>
      </c>
      <c r="T32" s="666" t="s">
        <v>18</v>
      </c>
      <c r="U32" s="667">
        <f t="shared" si="13"/>
        <v>100</v>
      </c>
      <c r="V32" s="666" t="s">
        <v>18</v>
      </c>
      <c r="W32" s="667">
        <f t="shared" si="14"/>
        <v>100</v>
      </c>
      <c r="X32" s="1262"/>
      <c r="Y32" s="3444" t="s">
        <v>1695</v>
      </c>
      <c r="Z32" s="1261" t="str">
        <f t="shared" si="18"/>
        <v>建筑类型</v>
      </c>
      <c r="AA32" s="1261">
        <f t="shared" si="15"/>
        <v>1</v>
      </c>
      <c r="AB32" s="1261">
        <f t="shared" si="16"/>
        <v>1</v>
      </c>
      <c r="AC32" s="1261">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4"/>
      <c r="M33" s="2486"/>
      <c r="N33" s="2486"/>
      <c r="O33" s="2486"/>
      <c r="P33" s="3442"/>
      <c r="Q33" s="531" t="str">
        <f t="shared" si="11"/>
        <v>项目建筑规模</v>
      </c>
      <c r="R33" s="668" t="s">
        <v>18</v>
      </c>
      <c r="S33" s="669" t="e">
        <f t="shared" si="12"/>
        <v>#N/A</v>
      </c>
      <c r="T33" s="668" t="s">
        <v>18</v>
      </c>
      <c r="U33" s="669" t="e">
        <f t="shared" si="13"/>
        <v>#N/A</v>
      </c>
      <c r="V33" s="668" t="s">
        <v>18</v>
      </c>
      <c r="W33" s="669" t="e">
        <f t="shared" si="14"/>
        <v>#N/A</v>
      </c>
      <c r="X33" s="670"/>
      <c r="Y33" s="3444"/>
      <c r="Z33" s="671" t="str">
        <f t="shared" si="18"/>
        <v>项目建筑规模</v>
      </c>
      <c r="AA33" s="1261" t="e">
        <f t="shared" si="15"/>
        <v>#N/A</v>
      </c>
      <c r="AB33" s="1261" t="e">
        <f t="shared" si="16"/>
        <v>#N/A</v>
      </c>
      <c r="AC33" s="1261" t="e">
        <f t="shared" si="17"/>
        <v>#N/A</v>
      </c>
    </row>
    <row r="34" spans="1:29" ht="15">
      <c r="A34" s="409"/>
      <c r="B34" s="364" t="s">
        <v>1697</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5"/>
      <c r="M34" s="2480"/>
      <c r="N34" s="2480"/>
      <c r="O34" s="2480"/>
      <c r="P34" s="3442"/>
      <c r="Q34" s="1260" t="str">
        <f t="shared" si="11"/>
        <v>建筑结构</v>
      </c>
      <c r="R34" s="666" t="s">
        <v>18</v>
      </c>
      <c r="S34" s="667">
        <f t="shared" si="12"/>
        <v>100</v>
      </c>
      <c r="T34" s="666" t="s">
        <v>18</v>
      </c>
      <c r="U34" s="667">
        <f t="shared" si="13"/>
        <v>100</v>
      </c>
      <c r="V34" s="666" t="s">
        <v>18</v>
      </c>
      <c r="W34" s="667">
        <f t="shared" si="14"/>
        <v>100</v>
      </c>
      <c r="X34" s="1262"/>
      <c r="Y34" s="3444"/>
      <c r="Z34" s="1261" t="str">
        <f t="shared" si="18"/>
        <v>建筑结构</v>
      </c>
      <c r="AA34" s="1261">
        <f t="shared" si="15"/>
        <v>1</v>
      </c>
      <c r="AB34" s="1261">
        <f t="shared" si="16"/>
        <v>1</v>
      </c>
      <c r="AC34" s="1261">
        <f t="shared" si="17"/>
        <v>1</v>
      </c>
    </row>
    <row r="35" spans="1:29" ht="15">
      <c r="A35" s="409"/>
      <c r="B35" s="364" t="s">
        <v>1698</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5"/>
      <c r="M35" s="2480"/>
      <c r="N35" s="2480"/>
      <c r="O35" s="2480"/>
      <c r="P35" s="3442"/>
      <c r="Q35" s="1260" t="str">
        <f t="shared" si="11"/>
        <v>建筑品质</v>
      </c>
      <c r="R35" s="666" t="s">
        <v>18</v>
      </c>
      <c r="S35" s="667">
        <f t="shared" si="12"/>
        <v>100</v>
      </c>
      <c r="T35" s="666" t="s">
        <v>18</v>
      </c>
      <c r="U35" s="667">
        <f t="shared" si="13"/>
        <v>100</v>
      </c>
      <c r="V35" s="666" t="s">
        <v>18</v>
      </c>
      <c r="W35" s="667">
        <f t="shared" si="14"/>
        <v>100</v>
      </c>
      <c r="X35" s="1262"/>
      <c r="Y35" s="3444"/>
      <c r="Z35" s="1261" t="str">
        <f t="shared" si="18"/>
        <v>建筑品质</v>
      </c>
      <c r="AA35" s="1261">
        <f t="shared" si="15"/>
        <v>1</v>
      </c>
      <c r="AB35" s="1261">
        <f t="shared" si="16"/>
        <v>1</v>
      </c>
      <c r="AC35" s="1261">
        <f t="shared" si="17"/>
        <v>1</v>
      </c>
    </row>
    <row r="36" spans="1:29" ht="15">
      <c r="A36" s="409"/>
      <c r="B36" s="364" t="s">
        <v>1699</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5"/>
      <c r="M36" s="2480"/>
      <c r="N36" s="2480"/>
      <c r="O36" s="2480"/>
      <c r="P36" s="3442"/>
      <c r="Q36" s="1260" t="str">
        <f t="shared" si="11"/>
        <v>公共部分装修</v>
      </c>
      <c r="R36" s="666" t="s">
        <v>18</v>
      </c>
      <c r="S36" s="667">
        <f t="shared" si="12"/>
        <v>100</v>
      </c>
      <c r="T36" s="666" t="s">
        <v>18</v>
      </c>
      <c r="U36" s="667">
        <f t="shared" si="13"/>
        <v>100</v>
      </c>
      <c r="V36" s="666" t="s">
        <v>18</v>
      </c>
      <c r="W36" s="667">
        <f t="shared" si="14"/>
        <v>100</v>
      </c>
      <c r="X36" s="1262"/>
      <c r="Y36" s="3444"/>
      <c r="Z36" s="1261" t="str">
        <f t="shared" si="18"/>
        <v>公共部分装修</v>
      </c>
      <c r="AA36" s="1261">
        <f t="shared" si="15"/>
        <v>1</v>
      </c>
      <c r="AB36" s="1261">
        <f t="shared" si="16"/>
        <v>1</v>
      </c>
      <c r="AC36" s="1261">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1"/>
      <c r="M37" s="2433"/>
      <c r="N37" s="2433"/>
      <c r="O37" s="2433"/>
      <c r="P37" s="3442"/>
      <c r="Q37" s="530" t="str">
        <f t="shared" si="11"/>
        <v>成新度</v>
      </c>
      <c r="R37" s="663" t="s">
        <v>18</v>
      </c>
      <c r="S37" s="664" t="e">
        <f t="shared" si="12"/>
        <v>#N/A</v>
      </c>
      <c r="T37" s="663" t="s">
        <v>18</v>
      </c>
      <c r="U37" s="664" t="e">
        <f t="shared" si="13"/>
        <v>#N/A</v>
      </c>
      <c r="V37" s="663" t="s">
        <v>18</v>
      </c>
      <c r="W37" s="664" t="e">
        <f t="shared" si="14"/>
        <v>#N/A</v>
      </c>
      <c r="X37" s="665"/>
      <c r="Y37" s="3444"/>
      <c r="Z37" s="50" t="str">
        <f t="shared" si="18"/>
        <v>成新度</v>
      </c>
      <c r="AA37" s="50" t="e">
        <f t="shared" si="15"/>
        <v>#N/A</v>
      </c>
      <c r="AB37" s="50" t="e">
        <f t="shared" si="16"/>
        <v>#N/A</v>
      </c>
      <c r="AC37" s="50" t="e">
        <f t="shared" si="17"/>
        <v>#N/A</v>
      </c>
    </row>
    <row r="38" spans="1:29" ht="15">
      <c r="A38" s="409"/>
      <c r="B38" s="364" t="s">
        <v>1701</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5"/>
      <c r="M38" s="2480"/>
      <c r="N38" s="2480"/>
      <c r="O38" s="2480"/>
      <c r="P38" s="3442" t="s">
        <v>1695</v>
      </c>
      <c r="Q38" s="1260" t="str">
        <f t="shared" si="11"/>
        <v>物业管理</v>
      </c>
      <c r="R38" s="666" t="s">
        <v>18</v>
      </c>
      <c r="S38" s="667">
        <f t="shared" si="12"/>
        <v>100</v>
      </c>
      <c r="T38" s="666" t="s">
        <v>18</v>
      </c>
      <c r="U38" s="667">
        <f t="shared" si="13"/>
        <v>100</v>
      </c>
      <c r="V38" s="666" t="s">
        <v>18</v>
      </c>
      <c r="W38" s="667">
        <f t="shared" si="14"/>
        <v>100</v>
      </c>
      <c r="X38" s="1262"/>
      <c r="Y38" s="3444" t="s">
        <v>1695</v>
      </c>
      <c r="Z38" s="1261" t="str">
        <f t="shared" si="18"/>
        <v>物业管理</v>
      </c>
      <c r="AA38" s="1261">
        <f t="shared" si="15"/>
        <v>1</v>
      </c>
      <c r="AB38" s="1261">
        <f t="shared" si="16"/>
        <v>1</v>
      </c>
      <c r="AC38" s="1261">
        <f t="shared" si="17"/>
        <v>1</v>
      </c>
    </row>
    <row r="39" spans="1:29" ht="15">
      <c r="A39" s="409"/>
      <c r="B39" s="364" t="s">
        <v>1702</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5"/>
      <c r="M39" s="2480"/>
      <c r="N39" s="2480"/>
      <c r="O39" s="2480"/>
      <c r="P39" s="3442"/>
      <c r="Q39" s="1260" t="str">
        <f t="shared" si="11"/>
        <v>市政基础设施</v>
      </c>
      <c r="R39" s="666" t="s">
        <v>18</v>
      </c>
      <c r="S39" s="667">
        <f t="shared" si="12"/>
        <v>100</v>
      </c>
      <c r="T39" s="666" t="s">
        <v>18</v>
      </c>
      <c r="U39" s="667">
        <f t="shared" si="13"/>
        <v>100</v>
      </c>
      <c r="V39" s="666" t="s">
        <v>18</v>
      </c>
      <c r="W39" s="667">
        <f t="shared" si="14"/>
        <v>100</v>
      </c>
      <c r="X39" s="1262"/>
      <c r="Y39" s="3444"/>
      <c r="Z39" s="1261" t="str">
        <f t="shared" si="18"/>
        <v>市政基础设施</v>
      </c>
      <c r="AA39" s="1261">
        <f t="shared" si="15"/>
        <v>1</v>
      </c>
      <c r="AB39" s="1261">
        <f t="shared" si="16"/>
        <v>1</v>
      </c>
      <c r="AC39" s="1261">
        <f t="shared" si="17"/>
        <v>1</v>
      </c>
    </row>
    <row r="40" spans="1:29" ht="15">
      <c r="A40" s="409"/>
      <c r="B40" s="364" t="s">
        <v>1703</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5"/>
      <c r="M40" s="2480"/>
      <c r="N40" s="2480"/>
      <c r="O40" s="2480"/>
      <c r="P40" s="3442"/>
      <c r="Q40" s="1260" t="str">
        <f t="shared" si="11"/>
        <v>房型</v>
      </c>
      <c r="R40" s="666" t="s">
        <v>18</v>
      </c>
      <c r="S40" s="667">
        <f t="shared" si="12"/>
        <v>100</v>
      </c>
      <c r="T40" s="666" t="s">
        <v>18</v>
      </c>
      <c r="U40" s="667">
        <f t="shared" si="13"/>
        <v>100</v>
      </c>
      <c r="V40" s="666" t="s">
        <v>18</v>
      </c>
      <c r="W40" s="667">
        <f t="shared" si="14"/>
        <v>100</v>
      </c>
      <c r="X40" s="1262"/>
      <c r="Y40" s="3444"/>
      <c r="Z40" s="1261" t="str">
        <f t="shared" si="18"/>
        <v>房型</v>
      </c>
      <c r="AA40" s="1261">
        <f t="shared" si="15"/>
        <v>1</v>
      </c>
      <c r="AB40" s="1261">
        <f t="shared" si="16"/>
        <v>1</v>
      </c>
      <c r="AC40" s="1261">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4"/>
      <c r="M41" s="2486"/>
      <c r="N41" s="2486"/>
      <c r="O41" s="2486"/>
      <c r="P41" s="3442"/>
      <c r="Q41" s="531" t="str">
        <f t="shared" si="11"/>
        <v>单套/主力户型建筑面积</v>
      </c>
      <c r="R41" s="668" t="s">
        <v>18</v>
      </c>
      <c r="S41" s="669">
        <f t="shared" si="12"/>
        <v>100</v>
      </c>
      <c r="T41" s="668" t="s">
        <v>18</v>
      </c>
      <c r="U41" s="669">
        <f t="shared" si="13"/>
        <v>100</v>
      </c>
      <c r="V41" s="668" t="s">
        <v>18</v>
      </c>
      <c r="W41" s="669">
        <f t="shared" si="14"/>
        <v>100</v>
      </c>
      <c r="X41" s="670"/>
      <c r="Y41" s="3444"/>
      <c r="Z41" s="671" t="str">
        <f t="shared" si="18"/>
        <v>单套/主力户型建筑面积</v>
      </c>
      <c r="AA41" s="1261">
        <f t="shared" si="15"/>
        <v>1</v>
      </c>
      <c r="AB41" s="1261">
        <f t="shared" si="16"/>
        <v>1</v>
      </c>
      <c r="AC41" s="1261">
        <f t="shared" si="17"/>
        <v>1</v>
      </c>
    </row>
    <row r="42" spans="1:29" ht="15">
      <c r="A42" s="409"/>
      <c r="B42" s="364" t="s">
        <v>1705</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5"/>
      <c r="M42" s="2480"/>
      <c r="N42" s="2480"/>
      <c r="O42" s="2480"/>
      <c r="P42" s="3442"/>
      <c r="Q42" s="1260" t="str">
        <f t="shared" si="11"/>
        <v>内部装修</v>
      </c>
      <c r="R42" s="666" t="s">
        <v>18</v>
      </c>
      <c r="S42" s="667">
        <f t="shared" si="12"/>
        <v>100</v>
      </c>
      <c r="T42" s="666" t="s">
        <v>18</v>
      </c>
      <c r="U42" s="667">
        <f t="shared" si="13"/>
        <v>100</v>
      </c>
      <c r="V42" s="666" t="s">
        <v>18</v>
      </c>
      <c r="W42" s="667">
        <f t="shared" si="14"/>
        <v>100</v>
      </c>
      <c r="X42" s="1262"/>
      <c r="Y42" s="3444"/>
      <c r="Z42" s="1261" t="str">
        <f t="shared" si="18"/>
        <v>内部装修</v>
      </c>
      <c r="AA42" s="1261">
        <f t="shared" si="15"/>
        <v>1</v>
      </c>
      <c r="AB42" s="1261">
        <f t="shared" si="16"/>
        <v>1</v>
      </c>
      <c r="AC42" s="1261">
        <f t="shared" si="17"/>
        <v>1</v>
      </c>
    </row>
    <row r="43" spans="1:29" ht="15">
      <c r="A43" s="409"/>
      <c r="B43" s="364" t="s">
        <v>1706</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5"/>
      <c r="M43" s="2480"/>
      <c r="N43" s="2480"/>
      <c r="O43" s="2480"/>
      <c r="P43" s="3442"/>
      <c r="Q43" s="1260" t="str">
        <f t="shared" si="11"/>
        <v>内部装修维护情况</v>
      </c>
      <c r="R43" s="666" t="s">
        <v>18</v>
      </c>
      <c r="S43" s="667">
        <f t="shared" si="12"/>
        <v>100</v>
      </c>
      <c r="T43" s="666" t="s">
        <v>18</v>
      </c>
      <c r="U43" s="667">
        <f t="shared" si="13"/>
        <v>100</v>
      </c>
      <c r="V43" s="666" t="s">
        <v>18</v>
      </c>
      <c r="W43" s="667">
        <f t="shared" si="14"/>
        <v>100</v>
      </c>
      <c r="X43" s="1262"/>
      <c r="Y43" s="3444"/>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1"/>
      <c r="M44" s="2433"/>
      <c r="N44" s="2433"/>
      <c r="O44" s="2433"/>
      <c r="P44" s="3442"/>
      <c r="Q44" s="530">
        <f t="shared" si="11"/>
        <v>111</v>
      </c>
      <c r="R44" s="663" t="s">
        <v>18</v>
      </c>
      <c r="S44" s="664">
        <f t="shared" si="12"/>
        <v>100</v>
      </c>
      <c r="T44" s="663" t="s">
        <v>18</v>
      </c>
      <c r="U44" s="664">
        <f t="shared" si="13"/>
        <v>100</v>
      </c>
      <c r="V44" s="663" t="s">
        <v>18</v>
      </c>
      <c r="W44" s="664">
        <f t="shared" si="14"/>
        <v>100</v>
      </c>
      <c r="X44" s="665"/>
      <c r="Y44" s="3444"/>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42"/>
      <c r="Q45" s="1260">
        <f t="shared" si="11"/>
        <v>111</v>
      </c>
      <c r="R45" s="666" t="s">
        <v>18</v>
      </c>
      <c r="S45" s="667">
        <f t="shared" si="12"/>
        <v>100</v>
      </c>
      <c r="T45" s="666" t="s">
        <v>18</v>
      </c>
      <c r="U45" s="667">
        <f t="shared" si="13"/>
        <v>100</v>
      </c>
      <c r="V45" s="666" t="s">
        <v>18</v>
      </c>
      <c r="W45" s="667">
        <f t="shared" si="14"/>
        <v>100</v>
      </c>
      <c r="X45" s="1262"/>
      <c r="Y45" s="3444"/>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43"/>
      <c r="Q46" s="1260">
        <f t="shared" si="11"/>
        <v>111</v>
      </c>
      <c r="R46" s="666" t="s">
        <v>17</v>
      </c>
      <c r="S46" s="667">
        <f t="shared" si="12"/>
        <v>100</v>
      </c>
      <c r="T46" s="666" t="s">
        <v>17</v>
      </c>
      <c r="U46" s="667">
        <f t="shared" si="13"/>
        <v>100</v>
      </c>
      <c r="V46" s="666" t="s">
        <v>17</v>
      </c>
      <c r="W46" s="667">
        <f t="shared" si="14"/>
        <v>100</v>
      </c>
      <c r="X46" s="1262"/>
      <c r="Y46" s="3445"/>
      <c r="Z46" s="1261">
        <f t="shared" si="18"/>
        <v>111</v>
      </c>
      <c r="AA46" s="1261">
        <f t="shared" si="15"/>
        <v>1</v>
      </c>
      <c r="AB46" s="1261">
        <f t="shared" si="16"/>
        <v>1</v>
      </c>
      <c r="AC46" s="1261">
        <f t="shared" si="17"/>
        <v>1</v>
      </c>
    </row>
    <row r="47" spans="1:29" ht="15">
      <c r="A47" s="416" t="s">
        <v>1707</v>
      </c>
      <c r="B47" s="417"/>
      <c r="C47" s="1078" t="s">
        <v>16</v>
      </c>
      <c r="D47" s="418"/>
      <c r="E47" s="419"/>
      <c r="F47" s="420"/>
      <c r="G47" s="421"/>
      <c r="H47" s="422"/>
      <c r="I47" s="419"/>
      <c r="J47" s="422"/>
      <c r="K47" s="1764"/>
      <c r="L47" s="2487"/>
      <c r="M47" s="2480"/>
      <c r="N47" s="2480"/>
      <c r="O47" s="2480"/>
      <c r="P47" s="3438" t="str">
        <f>A47</f>
        <v>成交单价（元/平方米）</v>
      </c>
      <c r="Q47" s="3438"/>
      <c r="R47" s="3433">
        <f>E47</f>
        <v>0</v>
      </c>
      <c r="S47" s="3433"/>
      <c r="T47" s="3433">
        <f>G47</f>
        <v>0</v>
      </c>
      <c r="U47" s="3433"/>
      <c r="V47" s="3433">
        <f>I47</f>
        <v>0</v>
      </c>
      <c r="W47" s="3433"/>
      <c r="X47" s="385"/>
      <c r="Y47" s="672"/>
      <c r="Z47" s="385"/>
      <c r="AA47" s="385"/>
      <c r="AB47" s="385"/>
      <c r="AC47" s="385"/>
    </row>
    <row r="48" spans="1:29" ht="15.75" thickBot="1">
      <c r="A48" s="423" t="s">
        <v>1708</v>
      </c>
      <c r="B48" s="424"/>
      <c r="C48" s="1079" t="e">
        <f>R49</f>
        <v>#DIV/0!</v>
      </c>
      <c r="D48" s="2138" t="s">
        <v>2137</v>
      </c>
      <c r="E48" s="1080" t="e">
        <f>R48</f>
        <v>#DIV/0!</v>
      </c>
      <c r="F48" s="2139"/>
      <c r="G48" s="1079" t="e">
        <f>T48</f>
        <v>#DIV/0!</v>
      </c>
      <c r="H48" s="2139"/>
      <c r="I48" s="1080" t="e">
        <f>V48</f>
        <v>#DIV/0!</v>
      </c>
      <c r="J48" s="2139"/>
      <c r="K48" s="2140">
        <f>F48+H48+J48</f>
        <v>0</v>
      </c>
      <c r="L48" s="2487"/>
      <c r="M48" s="2480"/>
      <c r="N48" s="2480"/>
      <c r="O48" s="2480"/>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1709</v>
      </c>
      <c r="B49" s="428"/>
      <c r="C49" s="1081" t="e">
        <f>R49</f>
        <v>#DIV/0!</v>
      </c>
      <c r="D49" s="351"/>
      <c r="E49" s="351"/>
      <c r="F49" s="351"/>
      <c r="G49" s="351"/>
      <c r="H49" s="351"/>
      <c r="I49" s="351"/>
      <c r="J49" s="351"/>
      <c r="K49" s="1765"/>
      <c r="L49" s="2487"/>
      <c r="M49" s="2480"/>
      <c r="N49" s="2480"/>
      <c r="O49" s="2480"/>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row>
    <row r="53" spans="1:29" ht="13.5" customHeight="1">
      <c r="A53" s="2480"/>
      <c r="B53" s="2480"/>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row>
    <row r="54" spans="1:29" s="437" customFormat="1" ht="13.5" customHeight="1">
      <c r="A54" s="2490"/>
      <c r="B54" s="2490"/>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1767"/>
    </row>
    <row r="55" spans="1:29" s="437"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1.75" thickBot="1">
      <c r="A57" s="657" t="s">
        <v>1713</v>
      </c>
      <c r="B57" s="385"/>
      <c r="C57" s="658"/>
      <c r="D57" s="658"/>
      <c r="E57" s="658"/>
      <c r="F57" s="659"/>
      <c r="G57" s="659"/>
      <c r="H57" s="658"/>
      <c r="I57" s="658"/>
      <c r="J57" s="658"/>
      <c r="K57" s="886"/>
      <c r="L57" s="887"/>
      <c r="M57" s="885"/>
      <c r="N57" s="885"/>
      <c r="O57" s="885"/>
      <c r="P57" s="1768"/>
      <c r="Q57" s="439"/>
    </row>
    <row r="58" spans="1:29" s="442" customFormat="1" ht="15">
      <c r="A58" s="440" t="s">
        <v>1714</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1715</v>
      </c>
      <c r="B60" s="450"/>
      <c r="C60" s="451"/>
      <c r="D60" s="452"/>
      <c r="E60" s="452"/>
      <c r="F60" s="452"/>
      <c r="G60" s="452"/>
      <c r="H60" s="452"/>
      <c r="I60" s="452"/>
      <c r="J60" s="452"/>
      <c r="K60" s="452"/>
      <c r="L60" s="452"/>
      <c r="M60" s="453"/>
      <c r="N60" s="452"/>
      <c r="O60" s="453"/>
      <c r="P60" s="1770"/>
      <c r="Q60" s="439"/>
    </row>
    <row r="61" spans="1:29" s="102" customFormat="1" ht="15">
      <c r="A61" s="455" t="s">
        <v>1716</v>
      </c>
      <c r="B61" s="444"/>
      <c r="C61" s="456" t="s">
        <v>1717</v>
      </c>
      <c r="D61" s="31"/>
      <c r="E61" s="31"/>
      <c r="F61" s="31"/>
      <c r="G61" s="31"/>
      <c r="H61" s="31"/>
      <c r="I61" s="31"/>
      <c r="J61" s="31"/>
      <c r="K61" s="31"/>
      <c r="L61" s="457"/>
      <c r="M61" s="458"/>
      <c r="N61" s="877"/>
      <c r="O61" s="877"/>
      <c r="P61" s="1771"/>
      <c r="Q61" s="439"/>
    </row>
    <row r="62" spans="1:29" s="102" customFormat="1" ht="15.75" thickBot="1">
      <c r="A62" s="455"/>
      <c r="B62" s="444"/>
      <c r="C62" s="445">
        <v>100</v>
      </c>
      <c r="D62" s="446"/>
      <c r="E62" s="446"/>
      <c r="F62" s="446"/>
      <c r="G62" s="446"/>
      <c r="H62" s="446"/>
      <c r="I62" s="446"/>
      <c r="J62" s="446"/>
      <c r="K62" s="446"/>
      <c r="L62" s="446"/>
      <c r="M62" s="448"/>
      <c r="N62" s="877"/>
      <c r="O62" s="877"/>
      <c r="P62" s="1770"/>
      <c r="Q62" s="439"/>
    </row>
    <row r="63" spans="1:29">
      <c r="A63" s="379" t="s">
        <v>1718</v>
      </c>
      <c r="B63" s="460" t="s">
        <v>1684</v>
      </c>
      <c r="C63" s="461">
        <f>C9</f>
        <v>0</v>
      </c>
      <c r="D63" s="462"/>
      <c r="E63" s="462"/>
      <c r="F63" s="462"/>
      <c r="G63" s="462"/>
      <c r="H63" s="462"/>
      <c r="I63" s="462"/>
      <c r="J63" s="462"/>
      <c r="K63" s="463"/>
      <c r="L63" s="464"/>
      <c r="M63" s="465"/>
      <c r="N63" s="878"/>
      <c r="O63" s="878"/>
      <c r="P63" s="1772"/>
      <c r="Q63" s="439"/>
    </row>
    <row r="64" spans="1:29" ht="15.75" thickBot="1">
      <c r="A64" s="367"/>
      <c r="B64" s="466"/>
      <c r="C64" s="467">
        <v>100</v>
      </c>
      <c r="D64" s="467"/>
      <c r="E64" s="467"/>
      <c r="F64" s="467"/>
      <c r="G64" s="467"/>
      <c r="H64" s="467"/>
      <c r="I64" s="467"/>
      <c r="J64" s="467"/>
      <c r="K64" s="467"/>
      <c r="L64" s="467"/>
      <c r="M64" s="468"/>
      <c r="N64" s="879"/>
      <c r="O64" s="879"/>
      <c r="P64" s="1772"/>
      <c r="Q64" s="439"/>
    </row>
    <row r="65" spans="1:17" ht="27.75" thickTop="1">
      <c r="A65" s="367"/>
      <c r="B65" s="469" t="s">
        <v>1687</v>
      </c>
      <c r="C65" s="513"/>
      <c r="D65" s="513"/>
      <c r="E65" s="513"/>
      <c r="F65" s="513"/>
      <c r="G65" s="513"/>
      <c r="H65" s="513"/>
      <c r="I65" s="513"/>
      <c r="J65" s="513"/>
      <c r="K65" s="513"/>
      <c r="L65" s="513"/>
      <c r="M65" s="513"/>
      <c r="N65" s="879"/>
      <c r="O65" s="879"/>
      <c r="P65" s="1772"/>
      <c r="Q65" s="439"/>
    </row>
    <row r="66" spans="1:17" ht="15.75" thickBot="1">
      <c r="A66" s="367"/>
      <c r="B66" s="474"/>
      <c r="C66" s="467"/>
      <c r="D66" s="467"/>
      <c r="E66" s="467"/>
      <c r="F66" s="467"/>
      <c r="G66" s="467"/>
      <c r="H66" s="467"/>
      <c r="I66" s="467"/>
      <c r="J66" s="467"/>
      <c r="K66" s="467"/>
      <c r="L66" s="467"/>
      <c r="M66" s="468"/>
      <c r="N66" s="879"/>
      <c r="O66" s="879"/>
      <c r="P66" s="1772"/>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2"/>
      <c r="Q67" s="439"/>
    </row>
    <row r="68" spans="1:17" ht="15">
      <c r="A68" s="367"/>
      <c r="B68" s="479"/>
      <c r="C68" s="480"/>
      <c r="D68" s="480"/>
      <c r="E68" s="480"/>
      <c r="F68" s="480"/>
      <c r="G68" s="480"/>
      <c r="H68" s="480"/>
      <c r="I68" s="480"/>
      <c r="J68" s="480"/>
      <c r="K68" s="481"/>
      <c r="L68" s="482"/>
      <c r="M68" s="483"/>
      <c r="N68" s="878"/>
      <c r="O68" s="878"/>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2"/>
      <c r="Q69" s="439"/>
    </row>
    <row r="70" spans="1:17" s="408" customFormat="1" ht="15.75" thickTop="1">
      <c r="A70" s="484"/>
      <c r="B70" s="469">
        <f>B12</f>
        <v>111</v>
      </c>
      <c r="C70" s="485"/>
      <c r="D70" s="485"/>
      <c r="E70" s="485"/>
      <c r="F70" s="485"/>
      <c r="G70" s="485"/>
      <c r="H70" s="486"/>
      <c r="I70" s="486"/>
      <c r="J70" s="486"/>
      <c r="K70" s="486"/>
      <c r="L70" s="487"/>
      <c r="M70" s="488"/>
      <c r="N70" s="880"/>
      <c r="O70" s="880"/>
      <c r="P70" s="1773"/>
      <c r="Q70" s="490"/>
    </row>
    <row r="71" spans="1:17" s="408" customFormat="1" ht="15.75" thickBot="1">
      <c r="A71" s="484"/>
      <c r="B71" s="474"/>
      <c r="C71" s="491"/>
      <c r="D71" s="467"/>
      <c r="E71" s="467"/>
      <c r="F71" s="467"/>
      <c r="G71" s="467"/>
      <c r="H71" s="467"/>
      <c r="I71" s="467"/>
      <c r="J71" s="467"/>
      <c r="K71" s="467"/>
      <c r="L71" s="467"/>
      <c r="M71" s="468"/>
      <c r="N71" s="879"/>
      <c r="O71" s="879"/>
      <c r="P71" s="1773"/>
      <c r="Q71" s="490"/>
    </row>
    <row r="72" spans="1:17" s="408" customFormat="1" ht="15.75" thickTop="1">
      <c r="A72" s="484"/>
      <c r="B72" s="469">
        <f>B13</f>
        <v>111</v>
      </c>
      <c r="C72" s="485"/>
      <c r="D72" s="485"/>
      <c r="E72" s="485"/>
      <c r="F72" s="485"/>
      <c r="G72" s="485"/>
      <c r="H72" s="486"/>
      <c r="I72" s="486"/>
      <c r="J72" s="486"/>
      <c r="K72" s="486"/>
      <c r="L72" s="487"/>
      <c r="M72" s="488"/>
      <c r="N72" s="880"/>
      <c r="O72" s="880"/>
      <c r="P72" s="1774"/>
      <c r="Q72" s="492"/>
    </row>
    <row r="73" spans="1:17" s="408" customFormat="1" ht="15.75" thickBot="1">
      <c r="A73" s="484"/>
      <c r="B73" s="474"/>
      <c r="C73" s="491"/>
      <c r="D73" s="491"/>
      <c r="E73" s="491"/>
      <c r="F73" s="491"/>
      <c r="G73" s="491"/>
      <c r="H73" s="493"/>
      <c r="I73" s="493"/>
      <c r="J73" s="493"/>
      <c r="K73" s="493"/>
      <c r="L73" s="493"/>
      <c r="M73" s="494"/>
      <c r="N73" s="880"/>
      <c r="O73" s="880"/>
      <c r="P73" s="1773"/>
      <c r="Q73" s="490"/>
    </row>
    <row r="74" spans="1:17" s="408" customFormat="1" ht="15.75" thickTop="1">
      <c r="A74" s="484"/>
      <c r="B74" s="477">
        <f>B14</f>
        <v>111</v>
      </c>
      <c r="C74" s="485"/>
      <c r="D74" s="485"/>
      <c r="E74" s="485"/>
      <c r="F74" s="485"/>
      <c r="G74" s="31"/>
      <c r="H74" s="495"/>
      <c r="I74" s="495"/>
      <c r="J74" s="495"/>
      <c r="K74" s="495"/>
      <c r="L74" s="496"/>
      <c r="M74" s="497"/>
      <c r="N74" s="880"/>
      <c r="O74" s="880"/>
      <c r="P74" s="1775"/>
      <c r="Q74" s="490"/>
    </row>
    <row r="75" spans="1:17" s="408" customFormat="1" ht="15.75" thickBot="1">
      <c r="A75" s="499"/>
      <c r="B75" s="500"/>
      <c r="C75" s="501"/>
      <c r="D75" s="501"/>
      <c r="E75" s="501"/>
      <c r="F75" s="501"/>
      <c r="G75" s="501"/>
      <c r="H75" s="502"/>
      <c r="I75" s="502"/>
      <c r="J75" s="502"/>
      <c r="K75" s="502"/>
      <c r="L75" s="502"/>
      <c r="M75" s="503"/>
      <c r="N75" s="880"/>
      <c r="O75" s="880"/>
      <c r="P75" s="1773"/>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2"/>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2"/>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2"/>
      <c r="Q81" s="439"/>
    </row>
    <row r="82" spans="1:17" ht="15.75" thickTop="1">
      <c r="A82" s="367"/>
      <c r="B82" s="477" t="s">
        <v>1259</v>
      </c>
      <c r="C82" s="470" t="s">
        <v>1727</v>
      </c>
      <c r="D82" s="470" t="s">
        <v>1728</v>
      </c>
      <c r="E82" s="470" t="s">
        <v>1729</v>
      </c>
      <c r="F82" s="470" t="s">
        <v>1730</v>
      </c>
      <c r="G82" s="470" t="s">
        <v>1731</v>
      </c>
      <c r="H82" s="470"/>
      <c r="I82" s="470"/>
      <c r="J82" s="470"/>
      <c r="K82" s="470"/>
      <c r="L82" s="470"/>
      <c r="M82" s="1061"/>
      <c r="N82" s="879"/>
      <c r="O82" s="879"/>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2"/>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2"/>
      <c r="Q85" s="439"/>
    </row>
    <row r="86" spans="1:17" s="102" customFormat="1" ht="15.75" thickTop="1">
      <c r="A86" s="370"/>
      <c r="B86" s="469" t="s">
        <v>1733</v>
      </c>
      <c r="C86" s="485"/>
      <c r="D86" s="485"/>
      <c r="E86" s="485"/>
      <c r="F86" s="485"/>
      <c r="G86" s="485"/>
      <c r="H86" s="485"/>
      <c r="I86" s="485"/>
      <c r="J86" s="485"/>
      <c r="K86" s="485"/>
      <c r="L86" s="510"/>
      <c r="M86" s="511"/>
      <c r="N86" s="877"/>
      <c r="O86" s="877"/>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2"/>
      <c r="Q87" s="439"/>
    </row>
    <row r="88" spans="1:17" s="102" customFormat="1" ht="15.75" thickTop="1">
      <c r="A88" s="370"/>
      <c r="B88" s="469" t="s">
        <v>1734</v>
      </c>
      <c r="C88" s="485"/>
      <c r="D88" s="485"/>
      <c r="E88" s="485"/>
      <c r="F88" s="1777"/>
      <c r="G88" s="485"/>
      <c r="H88" s="485"/>
      <c r="I88" s="485"/>
      <c r="J88" s="485"/>
      <c r="K88" s="485"/>
      <c r="L88" s="485"/>
      <c r="M88" s="511"/>
      <c r="N88" s="877"/>
      <c r="O88" s="877"/>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2"/>
      <c r="Q89" s="439"/>
    </row>
    <row r="90" spans="1:17" s="408" customFormat="1" ht="15.75" thickTop="1">
      <c r="A90" s="484"/>
      <c r="B90" s="469">
        <f>B27</f>
        <v>111</v>
      </c>
      <c r="C90" s="485"/>
      <c r="D90" s="485"/>
      <c r="E90" s="485"/>
      <c r="F90" s="485"/>
      <c r="G90" s="485"/>
      <c r="H90" s="486"/>
      <c r="I90" s="486"/>
      <c r="J90" s="486"/>
      <c r="K90" s="486"/>
      <c r="L90" s="487"/>
      <c r="M90" s="488"/>
      <c r="N90" s="880"/>
      <c r="O90" s="880"/>
      <c r="P90" s="1773"/>
      <c r="Q90" s="490"/>
    </row>
    <row r="91" spans="1:17" s="408" customFormat="1" ht="15.75" thickBot="1">
      <c r="A91" s="484"/>
      <c r="B91" s="474"/>
      <c r="C91" s="491"/>
      <c r="D91" s="491"/>
      <c r="E91" s="491"/>
      <c r="F91" s="491"/>
      <c r="G91" s="491"/>
      <c r="H91" s="493"/>
      <c r="I91" s="493"/>
      <c r="J91" s="493"/>
      <c r="K91" s="493"/>
      <c r="L91" s="493"/>
      <c r="M91" s="494"/>
      <c r="N91" s="880"/>
      <c r="O91" s="880"/>
      <c r="P91" s="1773"/>
      <c r="Q91" s="490"/>
    </row>
    <row r="92" spans="1:17" ht="15.75" thickTop="1">
      <c r="A92" s="367"/>
      <c r="B92" s="469">
        <f>B28</f>
        <v>111</v>
      </c>
      <c r="C92" s="485"/>
      <c r="D92" s="485"/>
      <c r="E92" s="485"/>
      <c r="F92" s="485"/>
      <c r="G92" s="513"/>
      <c r="H92" s="513"/>
      <c r="I92" s="513"/>
      <c r="J92" s="513"/>
      <c r="K92" s="514"/>
      <c r="L92" s="515"/>
      <c r="M92" s="516"/>
      <c r="N92" s="878"/>
      <c r="O92" s="878"/>
      <c r="P92" s="1772"/>
      <c r="Q92" s="439"/>
    </row>
    <row r="93" spans="1:17" ht="15.75" thickBot="1">
      <c r="A93" s="367"/>
      <c r="B93" s="474"/>
      <c r="C93" s="491"/>
      <c r="D93" s="467"/>
      <c r="E93" s="467"/>
      <c r="F93" s="467"/>
      <c r="G93" s="467"/>
      <c r="H93" s="467"/>
      <c r="I93" s="467"/>
      <c r="J93" s="467"/>
      <c r="K93" s="467"/>
      <c r="L93" s="467"/>
      <c r="M93" s="468"/>
      <c r="N93" s="879"/>
      <c r="O93" s="879"/>
      <c r="P93" s="1772"/>
      <c r="Q93" s="439"/>
    </row>
    <row r="94" spans="1:17" ht="15.75" thickTop="1">
      <c r="A94" s="367"/>
      <c r="B94" s="469">
        <f>B29</f>
        <v>111</v>
      </c>
      <c r="C94" s="485"/>
      <c r="D94" s="485"/>
      <c r="E94" s="485"/>
      <c r="F94" s="485"/>
      <c r="G94" s="513"/>
      <c r="H94" s="513"/>
      <c r="I94" s="513"/>
      <c r="J94" s="513"/>
      <c r="K94" s="514"/>
      <c r="L94" s="515"/>
      <c r="M94" s="516"/>
      <c r="N94" s="878"/>
      <c r="O94" s="878"/>
      <c r="P94" s="1772"/>
      <c r="Q94" s="439"/>
    </row>
    <row r="95" spans="1:17" ht="15.75" thickBot="1">
      <c r="A95" s="367"/>
      <c r="B95" s="474"/>
      <c r="C95" s="491"/>
      <c r="D95" s="491"/>
      <c r="E95" s="491"/>
      <c r="F95" s="491"/>
      <c r="G95" s="467"/>
      <c r="H95" s="467"/>
      <c r="I95" s="467"/>
      <c r="J95" s="467"/>
      <c r="K95" s="467"/>
      <c r="L95" s="467"/>
      <c r="M95" s="468"/>
      <c r="N95" s="879"/>
      <c r="O95" s="879"/>
      <c r="P95" s="1772"/>
      <c r="Q95" s="439"/>
    </row>
    <row r="96" spans="1:17" ht="15.75" thickTop="1">
      <c r="A96" s="367"/>
      <c r="B96" s="469">
        <f>B30</f>
        <v>111</v>
      </c>
      <c r="C96" s="485"/>
      <c r="D96" s="485"/>
      <c r="E96" s="485"/>
      <c r="F96" s="485"/>
      <c r="G96" s="513"/>
      <c r="H96" s="513"/>
      <c r="I96" s="513"/>
      <c r="J96" s="513"/>
      <c r="K96" s="514"/>
      <c r="L96" s="515"/>
      <c r="M96" s="516"/>
      <c r="N96" s="878"/>
      <c r="O96" s="878"/>
      <c r="P96" s="1772"/>
      <c r="Q96" s="439"/>
    </row>
    <row r="97" spans="1:17" ht="15.75" thickBot="1">
      <c r="A97" s="367"/>
      <c r="B97" s="474"/>
      <c r="C97" s="501"/>
      <c r="D97" s="501"/>
      <c r="E97" s="501"/>
      <c r="F97" s="501"/>
      <c r="G97" s="467"/>
      <c r="H97" s="467"/>
      <c r="I97" s="467"/>
      <c r="J97" s="467"/>
      <c r="K97" s="467"/>
      <c r="L97" s="467"/>
      <c r="M97" s="468"/>
      <c r="N97" s="879"/>
      <c r="O97" s="879"/>
      <c r="P97" s="1772"/>
      <c r="Q97" s="439"/>
    </row>
    <row r="98" spans="1:17" ht="15.75" thickTop="1">
      <c r="A98" s="367"/>
      <c r="B98" s="477">
        <f>B31</f>
        <v>111</v>
      </c>
      <c r="C98" s="517"/>
      <c r="D98" s="517"/>
      <c r="E98" s="517"/>
      <c r="F98" s="517"/>
      <c r="G98" s="517"/>
      <c r="H98" s="517"/>
      <c r="I98" s="517"/>
      <c r="J98" s="517"/>
      <c r="K98" s="518"/>
      <c r="L98" s="519"/>
      <c r="M98" s="520"/>
      <c r="N98" s="878"/>
      <c r="O98" s="878"/>
      <c r="P98" s="1772"/>
      <c r="Q98" s="439"/>
    </row>
    <row r="99" spans="1:17" ht="15.75" thickBot="1">
      <c r="A99" s="375"/>
      <c r="B99" s="500"/>
      <c r="C99" s="521"/>
      <c r="D99" s="521"/>
      <c r="E99" s="521"/>
      <c r="F99" s="521"/>
      <c r="G99" s="521"/>
      <c r="H99" s="521"/>
      <c r="I99" s="521"/>
      <c r="J99" s="521"/>
      <c r="K99" s="521"/>
      <c r="L99" s="521"/>
      <c r="M99" s="522"/>
      <c r="N99" s="879"/>
      <c r="O99" s="879"/>
      <c r="P99" s="1772"/>
      <c r="Q99" s="439"/>
    </row>
    <row r="100" spans="1:17">
      <c r="A100" s="379" t="s">
        <v>1693</v>
      </c>
      <c r="B100" s="460" t="s">
        <v>1735</v>
      </c>
      <c r="C100" s="462"/>
      <c r="D100" s="462"/>
      <c r="E100" s="462"/>
      <c r="F100" s="462"/>
      <c r="G100" s="462"/>
      <c r="H100" s="462"/>
      <c r="I100" s="462"/>
      <c r="J100" s="462"/>
      <c r="K100" s="463"/>
      <c r="L100" s="464"/>
      <c r="M100" s="465"/>
      <c r="N100" s="878"/>
      <c r="O100" s="878"/>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2"/>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2"/>
      <c r="Q102" s="439"/>
    </row>
    <row r="103" spans="1:17" s="408" customFormat="1">
      <c r="A103" s="406"/>
      <c r="B103" s="523"/>
      <c r="C103" s="6"/>
      <c r="D103" s="6"/>
      <c r="E103" s="6"/>
      <c r="F103" s="6"/>
      <c r="G103" s="6"/>
      <c r="H103" s="6"/>
      <c r="I103" s="6"/>
      <c r="J103" s="524"/>
      <c r="K103" s="524"/>
      <c r="L103" s="525"/>
      <c r="M103" s="526"/>
      <c r="N103" s="880"/>
      <c r="O103" s="880"/>
      <c r="P103" s="1773"/>
      <c r="Q103" s="490"/>
    </row>
    <row r="104" spans="1:17" s="408" customFormat="1" ht="15.75" thickBot="1">
      <c r="A104" s="484"/>
      <c r="B104" s="474"/>
      <c r="C104" s="491"/>
      <c r="D104" s="467"/>
      <c r="E104" s="467"/>
      <c r="F104" s="467"/>
      <c r="G104" s="467"/>
      <c r="H104" s="467"/>
      <c r="I104" s="467"/>
      <c r="J104" s="467"/>
      <c r="K104" s="467"/>
      <c r="L104" s="467"/>
      <c r="M104" s="467"/>
      <c r="N104" s="879"/>
      <c r="O104" s="879"/>
      <c r="P104" s="1773"/>
      <c r="Q104" s="490"/>
    </row>
    <row r="105" spans="1:17" ht="15" thickTop="1">
      <c r="A105" s="409"/>
      <c r="B105" s="469" t="s">
        <v>1737</v>
      </c>
      <c r="C105" s="485"/>
      <c r="D105" s="485"/>
      <c r="E105" s="513"/>
      <c r="F105" s="513"/>
      <c r="G105" s="513"/>
      <c r="H105" s="513"/>
      <c r="I105" s="513"/>
      <c r="J105" s="513"/>
      <c r="K105" s="514"/>
      <c r="L105" s="515"/>
      <c r="M105" s="516"/>
      <c r="N105" s="878"/>
      <c r="O105" s="878"/>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2"/>
      <c r="Q106" s="439"/>
    </row>
    <row r="107" spans="1:17" ht="15" thickTop="1">
      <c r="A107" s="409"/>
      <c r="B107" s="469" t="s">
        <v>1738</v>
      </c>
      <c r="C107" s="513"/>
      <c r="D107" s="513"/>
      <c r="E107" s="513"/>
      <c r="F107" s="513"/>
      <c r="G107" s="513"/>
      <c r="H107" s="513"/>
      <c r="I107" s="513"/>
      <c r="J107" s="513"/>
      <c r="K107" s="514"/>
      <c r="L107" s="515"/>
      <c r="M107" s="516"/>
      <c r="N107" s="878"/>
      <c r="O107" s="878"/>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2"/>
      <c r="Q108" s="439"/>
    </row>
    <row r="109" spans="1:17" ht="15" thickTop="1">
      <c r="A109" s="409"/>
      <c r="B109" s="469" t="s">
        <v>1739</v>
      </c>
      <c r="C109" s="485"/>
      <c r="D109" s="485"/>
      <c r="E109" s="485"/>
      <c r="F109" s="513"/>
      <c r="G109" s="513"/>
      <c r="H109" s="513"/>
      <c r="I109" s="513"/>
      <c r="J109" s="513"/>
      <c r="K109" s="514"/>
      <c r="L109" s="515"/>
      <c r="M109" s="516"/>
      <c r="N109" s="878"/>
      <c r="O109" s="878"/>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2"/>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3"/>
      <c r="Q113" s="490"/>
    </row>
    <row r="114" spans="1:17" ht="15" thickTop="1">
      <c r="A114" s="409"/>
      <c r="B114" s="469" t="s">
        <v>1740</v>
      </c>
      <c r="C114" s="485"/>
      <c r="D114" s="485"/>
      <c r="E114" s="513"/>
      <c r="F114" s="513"/>
      <c r="G114" s="513"/>
      <c r="H114" s="513"/>
      <c r="I114" s="513"/>
      <c r="J114" s="513"/>
      <c r="K114" s="514"/>
      <c r="L114" s="515"/>
      <c r="M114" s="516"/>
      <c r="N114" s="878"/>
      <c r="O114" s="878"/>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2"/>
      <c r="Q115" s="439"/>
    </row>
    <row r="116" spans="1:17" ht="15" thickTop="1">
      <c r="A116" s="409"/>
      <c r="B116" s="469" t="s">
        <v>1741</v>
      </c>
      <c r="C116" s="485"/>
      <c r="D116" s="485"/>
      <c r="E116" s="485"/>
      <c r="F116" s="485"/>
      <c r="G116" s="485"/>
      <c r="H116" s="513"/>
      <c r="I116" s="513"/>
      <c r="J116" s="513"/>
      <c r="K116" s="514"/>
      <c r="L116" s="515"/>
      <c r="M116" s="516"/>
      <c r="N116" s="878"/>
      <c r="O116" s="878"/>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2"/>
      <c r="Q117" s="439"/>
    </row>
    <row r="118" spans="1:17" ht="15" thickTop="1">
      <c r="A118" s="409"/>
      <c r="B118" s="469" t="s">
        <v>1742</v>
      </c>
      <c r="C118" s="513"/>
      <c r="D118" s="513"/>
      <c r="E118" s="513"/>
      <c r="F118" s="513"/>
      <c r="G118" s="513"/>
      <c r="H118" s="513"/>
      <c r="I118" s="513"/>
      <c r="J118" s="513"/>
      <c r="K118" s="514"/>
      <c r="L118" s="515"/>
      <c r="M118" s="516"/>
      <c r="N118" s="878"/>
      <c r="O118" s="878"/>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2"/>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3"/>
      <c r="Q120" s="490"/>
    </row>
    <row r="121" spans="1:17" s="408" customFormat="1" ht="15.75" thickBot="1">
      <c r="A121" s="484"/>
      <c r="B121" s="466"/>
      <c r="C121" s="491"/>
      <c r="D121" s="467"/>
      <c r="E121" s="467"/>
      <c r="F121" s="467"/>
      <c r="G121" s="467"/>
      <c r="H121" s="467"/>
      <c r="I121" s="467"/>
      <c r="J121" s="467"/>
      <c r="K121" s="467"/>
      <c r="L121" s="467"/>
      <c r="M121" s="467"/>
      <c r="N121" s="880"/>
      <c r="O121" s="880"/>
      <c r="P121" s="1773"/>
      <c r="Q121" s="490"/>
    </row>
    <row r="122" spans="1:17" ht="15" thickTop="1">
      <c r="A122" s="409"/>
      <c r="B122" s="469" t="s">
        <v>1743</v>
      </c>
      <c r="C122" s="485"/>
      <c r="D122" s="485"/>
      <c r="E122" s="485"/>
      <c r="F122" s="513"/>
      <c r="G122" s="513"/>
      <c r="H122" s="513"/>
      <c r="I122" s="513"/>
      <c r="J122" s="513"/>
      <c r="K122" s="514"/>
      <c r="L122" s="515"/>
      <c r="M122" s="516"/>
      <c r="N122" s="878"/>
      <c r="O122" s="878"/>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2"/>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2"/>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3"/>
      <c r="Q126" s="490"/>
    </row>
    <row r="127" spans="1:17" s="408" customFormat="1" ht="15.75" thickBot="1">
      <c r="A127" s="484"/>
      <c r="B127" s="474"/>
      <c r="C127" s="491"/>
      <c r="D127" s="467"/>
      <c r="E127" s="467"/>
      <c r="F127" s="467"/>
      <c r="G127" s="491"/>
      <c r="H127" s="493"/>
      <c r="I127" s="493"/>
      <c r="J127" s="493"/>
      <c r="K127" s="493"/>
      <c r="L127" s="493"/>
      <c r="M127" s="494"/>
      <c r="N127" s="880"/>
      <c r="O127" s="880"/>
      <c r="P127" s="1773"/>
      <c r="Q127" s="490"/>
    </row>
    <row r="128" spans="1:17" ht="15" thickTop="1">
      <c r="A128" s="409"/>
      <c r="B128" s="469">
        <f>B45</f>
        <v>111</v>
      </c>
      <c r="C128" s="485"/>
      <c r="D128" s="485"/>
      <c r="E128" s="485"/>
      <c r="F128" s="485"/>
      <c r="G128" s="513"/>
      <c r="H128" s="513"/>
      <c r="I128" s="513"/>
      <c r="J128" s="513"/>
      <c r="K128" s="514"/>
      <c r="L128" s="515"/>
      <c r="M128" s="516"/>
      <c r="N128" s="878"/>
      <c r="O128" s="878"/>
      <c r="P128" s="1772"/>
      <c r="Q128" s="439"/>
    </row>
    <row r="129" spans="1:17" ht="15.75" thickBot="1">
      <c r="A129" s="367"/>
      <c r="B129" s="474"/>
      <c r="C129" s="491"/>
      <c r="D129" s="491"/>
      <c r="E129" s="491"/>
      <c r="F129" s="491"/>
      <c r="G129" s="467"/>
      <c r="H129" s="467"/>
      <c r="I129" s="467"/>
      <c r="J129" s="467"/>
      <c r="K129" s="467"/>
      <c r="L129" s="467"/>
      <c r="M129" s="468"/>
      <c r="N129" s="879"/>
      <c r="O129" s="879"/>
      <c r="P129" s="1772"/>
      <c r="Q129" s="439"/>
    </row>
    <row r="130" spans="1:17" ht="15" thickTop="1">
      <c r="A130" s="409"/>
      <c r="B130" s="477">
        <f>B46</f>
        <v>111</v>
      </c>
      <c r="C130" s="485"/>
      <c r="D130" s="485"/>
      <c r="E130" s="485"/>
      <c r="F130" s="485"/>
      <c r="G130" s="517"/>
      <c r="H130" s="517"/>
      <c r="I130" s="517"/>
      <c r="J130" s="517"/>
      <c r="K130" s="31"/>
      <c r="L130" s="457"/>
      <c r="M130" s="520"/>
      <c r="N130" s="878"/>
      <c r="O130" s="878"/>
      <c r="P130" s="1772"/>
      <c r="Q130" s="439"/>
    </row>
    <row r="131" spans="1:17" ht="15.75" thickBot="1">
      <c r="A131" s="375"/>
      <c r="B131" s="500"/>
      <c r="C131" s="501"/>
      <c r="D131" s="501"/>
      <c r="E131" s="501"/>
      <c r="F131" s="501"/>
      <c r="G131" s="521"/>
      <c r="H131" s="521"/>
      <c r="I131" s="521"/>
      <c r="J131" s="521"/>
      <c r="K131" s="521"/>
      <c r="L131" s="521"/>
      <c r="M131" s="522"/>
      <c r="N131" s="879"/>
      <c r="O131" s="879"/>
      <c r="P131" s="1772"/>
      <c r="Q131" s="439"/>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9" t="s">
        <v>1748</v>
      </c>
      <c r="D138" s="129" t="s">
        <v>1749</v>
      </c>
      <c r="E138" s="1786" t="s">
        <v>1750</v>
      </c>
      <c r="F138" s="1787" t="s">
        <v>1751</v>
      </c>
      <c r="G138" s="129" t="s">
        <v>1749</v>
      </c>
      <c r="H138" s="130" t="s">
        <v>1750</v>
      </c>
      <c r="I138" s="1788"/>
      <c r="J138" s="129" t="s">
        <v>1752</v>
      </c>
      <c r="K138" s="130"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3">
        <f>ROUNDUP((J139-1)/2,0)</f>
        <v>10</v>
      </c>
      <c r="K140" s="824">
        <v>100</v>
      </c>
    </row>
    <row r="141" spans="1:17" ht="15">
      <c r="B141" s="819">
        <v>4</v>
      </c>
      <c r="C141" s="820">
        <v>102</v>
      </c>
      <c r="D141" s="820"/>
      <c r="E141" s="821"/>
      <c r="F141" s="822">
        <v>101.5</v>
      </c>
      <c r="G141" s="820"/>
      <c r="H141" s="823"/>
      <c r="I141" s="1791" t="s">
        <v>1757</v>
      </c>
      <c r="J141" s="263">
        <v>1</v>
      </c>
      <c r="K141" s="825">
        <f>ROUND(100+(J141-J140)*K139*100,1)</f>
        <v>96.4</v>
      </c>
    </row>
    <row r="142" spans="1:17" ht="15">
      <c r="B142" s="819">
        <v>3</v>
      </c>
      <c r="C142" s="820">
        <v>103</v>
      </c>
      <c r="D142" s="820"/>
      <c r="E142" s="821"/>
      <c r="F142" s="822">
        <v>101</v>
      </c>
      <c r="G142" s="820"/>
      <c r="H142" s="823"/>
      <c r="I142" s="1791" t="s">
        <v>1758</v>
      </c>
      <c r="J142" s="263">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5.75"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c r="B147" s="1778" t="s">
        <v>1763</v>
      </c>
    </row>
    <row r="148" spans="2:11">
      <c r="B148" s="177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1659</v>
      </c>
      <c r="B1" s="1731" t="s">
        <v>1765</v>
      </c>
      <c r="C1" s="1152" t="s">
        <v>1661</v>
      </c>
      <c r="D1" s="1139"/>
      <c r="E1" s="3117"/>
      <c r="F1" s="1732"/>
      <c r="G1" s="1149" t="s">
        <v>1766</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1461</v>
      </c>
      <c r="B2" s="108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1462</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2" customFormat="1" ht="28.5" customHeight="1" thickBot="1">
      <c r="A3" s="195" t="s">
        <v>1463</v>
      </c>
      <c r="B3" s="536">
        <f>IF(C2="——",C49,ROUND(B2*10000/D3,0))</f>
        <v>0</v>
      </c>
      <c r="C3" s="344" t="s">
        <v>1767</v>
      </c>
      <c r="D3" s="343">
        <f>IF(D1="",'数据-汇总表'!E3,SUMIF('数据-汇总表'!$C19:$C33,D1,'数据-汇总表'!$E19:$E33))</f>
        <v>6436.4900000000007</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25" t="s">
        <v>1774</v>
      </c>
      <c r="Q4" s="3426"/>
      <c r="R4" s="3408" t="s">
        <v>1770</v>
      </c>
      <c r="S4" s="3409"/>
      <c r="T4" s="3408" t="s">
        <v>1771</v>
      </c>
      <c r="U4" s="3409"/>
      <c r="V4" s="3433" t="s">
        <v>1772</v>
      </c>
      <c r="W4" s="3433"/>
      <c r="X4" s="1262"/>
      <c r="Y4" s="3408" t="s">
        <v>1774</v>
      </c>
      <c r="Z4" s="3409"/>
      <c r="AA4" s="3403" t="s">
        <v>1770</v>
      </c>
      <c r="AB4" s="3433" t="s">
        <v>1771</v>
      </c>
      <c r="AC4" s="3403" t="s">
        <v>1772</v>
      </c>
    </row>
    <row r="5" spans="1:29" ht="15">
      <c r="A5" s="348"/>
      <c r="B5" s="349"/>
      <c r="C5" s="3414" t="s">
        <v>1672</v>
      </c>
      <c r="D5" s="3415"/>
      <c r="E5" s="3412" t="s">
        <v>1673</v>
      </c>
      <c r="F5" s="3413"/>
      <c r="G5" s="3414" t="s">
        <v>1674</v>
      </c>
      <c r="H5" s="3415"/>
      <c r="I5" s="3414" t="s">
        <v>1675</v>
      </c>
      <c r="J5" s="3415"/>
      <c r="K5" s="537"/>
      <c r="L5" s="2479"/>
      <c r="M5" s="2480"/>
      <c r="N5" s="2480"/>
      <c r="O5" s="2480"/>
      <c r="P5" s="3427"/>
      <c r="Q5" s="3428"/>
      <c r="R5" s="3410"/>
      <c r="S5" s="3411"/>
      <c r="T5" s="3410"/>
      <c r="U5" s="3411"/>
      <c r="V5" s="3433"/>
      <c r="W5" s="3433"/>
      <c r="X5" s="1262"/>
      <c r="Y5" s="3410"/>
      <c r="Z5" s="3411"/>
      <c r="AA5" s="3404"/>
      <c r="AB5" s="3433"/>
      <c r="AC5" s="3404"/>
    </row>
    <row r="6" spans="1:29" ht="15.75" thickBot="1">
      <c r="A6" s="350"/>
      <c r="B6" s="351"/>
      <c r="C6" s="3416" t="s">
        <v>1676</v>
      </c>
      <c r="D6" s="3417"/>
      <c r="E6" s="3418" t="s">
        <v>1676</v>
      </c>
      <c r="F6" s="3419"/>
      <c r="G6" s="3416" t="s">
        <v>1676</v>
      </c>
      <c r="H6" s="3417"/>
      <c r="I6" s="3416" t="s">
        <v>1676</v>
      </c>
      <c r="J6" s="3417"/>
      <c r="K6" s="537" t="s">
        <v>1677</v>
      </c>
      <c r="L6" s="2479"/>
      <c r="M6" s="2480"/>
      <c r="N6" s="2480"/>
      <c r="O6" s="2480"/>
      <c r="P6" s="3429"/>
      <c r="Q6" s="3430"/>
      <c r="R6" s="3410"/>
      <c r="S6" s="3411"/>
      <c r="T6" s="3431"/>
      <c r="U6" s="3432"/>
      <c r="V6" s="3433"/>
      <c r="W6" s="3433"/>
      <c r="X6" s="1262"/>
      <c r="Y6" s="3431"/>
      <c r="Z6" s="3432"/>
      <c r="AA6" s="3405"/>
      <c r="AB6" s="3433"/>
      <c r="AC6" s="3405"/>
    </row>
    <row r="7" spans="1:29" s="102" customFormat="1" ht="15.75" thickBot="1">
      <c r="A7" s="352" t="s">
        <v>1678</v>
      </c>
      <c r="B7" s="353"/>
      <c r="C7" s="354">
        <f>'数据-取费表'!B2</f>
        <v>45547</v>
      </c>
      <c r="D7" s="355">
        <v>100</v>
      </c>
      <c r="E7" s="356"/>
      <c r="F7" s="357">
        <f>SUMIF(58:58,YEAR(E7)&amp;"-"&amp;MONTH(E7),59:59)</f>
        <v>0</v>
      </c>
      <c r="G7" s="356"/>
      <c r="H7" s="355">
        <f>SUMIF(58:58,YEAR(G7)&amp;"-"&amp;MONTH(G7),59:59)</f>
        <v>0</v>
      </c>
      <c r="I7" s="356"/>
      <c r="J7" s="355">
        <f>SUMIF(58:58,YEAR(I7)&amp;"-"&amp;MONTH(I7),59:59)</f>
        <v>0</v>
      </c>
      <c r="K7" s="38"/>
      <c r="L7" s="2481"/>
      <c r="M7" s="2433"/>
      <c r="N7" s="2433"/>
      <c r="O7" s="2433"/>
      <c r="P7" s="3406" t="s">
        <v>1679</v>
      </c>
      <c r="Q7" s="3434"/>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406" t="s">
        <v>1682</v>
      </c>
      <c r="Q8" s="3407"/>
      <c r="R8" s="663" t="s">
        <v>14</v>
      </c>
      <c r="S8" s="664">
        <f t="shared" si="0"/>
        <v>100</v>
      </c>
      <c r="T8" s="663" t="s">
        <v>14</v>
      </c>
      <c r="U8" s="664">
        <f t="shared" si="1"/>
        <v>100</v>
      </c>
      <c r="V8" s="663" t="s">
        <v>14</v>
      </c>
      <c r="W8" s="664">
        <f t="shared" si="2"/>
        <v>100</v>
      </c>
      <c r="X8" s="665"/>
      <c r="Y8" s="3406" t="s">
        <v>1682</v>
      </c>
      <c r="Z8" s="3407"/>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20"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50">
        <f t="shared" si="5"/>
        <v>1</v>
      </c>
    </row>
    <row r="10" spans="1:29" s="366" customFormat="1" ht="27">
      <c r="A10" s="363"/>
      <c r="B10" s="364" t="s">
        <v>1687</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20"/>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20"/>
      <c r="Q11" s="530" t="str">
        <f t="shared" si="6"/>
        <v>容积率</v>
      </c>
      <c r="R11" s="663" t="s">
        <v>14</v>
      </c>
      <c r="S11" s="664" t="e">
        <f t="shared" si="0"/>
        <v>#N/A</v>
      </c>
      <c r="T11" s="663" t="s">
        <v>14</v>
      </c>
      <c r="U11" s="664" t="e">
        <f t="shared" si="1"/>
        <v>#N/A</v>
      </c>
      <c r="V11" s="663" t="s">
        <v>14</v>
      </c>
      <c r="W11" s="664" t="e">
        <f t="shared" si="2"/>
        <v>#N/A</v>
      </c>
      <c r="X11" s="665"/>
      <c r="Y11" s="33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20"/>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20"/>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20"/>
      <c r="Q14" s="530">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71.25">
      <c r="A15" s="379" t="s">
        <v>1689</v>
      </c>
      <c r="B15" s="58" t="s">
        <v>1776</v>
      </c>
      <c r="C15" s="1747"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46" t="s">
        <v>1690</v>
      </c>
      <c r="Q15" s="1260" t="str">
        <f t="shared" si="6"/>
        <v>商业繁华度</v>
      </c>
      <c r="R15" s="666" t="s">
        <v>14</v>
      </c>
      <c r="S15" s="667">
        <f t="shared" si="0"/>
        <v>100</v>
      </c>
      <c r="T15" s="666" t="s">
        <v>14</v>
      </c>
      <c r="U15" s="667">
        <f t="shared" si="1"/>
        <v>100</v>
      </c>
      <c r="V15" s="666" t="s">
        <v>14</v>
      </c>
      <c r="W15" s="667">
        <f t="shared" si="2"/>
        <v>100</v>
      </c>
      <c r="X15" s="1262"/>
      <c r="Y15" s="3439" t="s">
        <v>1690</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5"/>
      <c r="M16" s="2480"/>
      <c r="N16" s="2480"/>
      <c r="O16" s="2480"/>
      <c r="P16" s="3447"/>
      <c r="Q16" s="1260"/>
      <c r="R16" s="666"/>
      <c r="S16" s="667"/>
      <c r="T16" s="666"/>
      <c r="U16" s="667"/>
      <c r="V16" s="666"/>
      <c r="W16" s="667"/>
      <c r="X16" s="1262"/>
      <c r="Y16" s="3440"/>
      <c r="Z16" s="1261"/>
      <c r="AA16" s="1261">
        <v>1</v>
      </c>
      <c r="AB16" s="1261">
        <v>1</v>
      </c>
      <c r="AC16" s="1261">
        <v>1</v>
      </c>
    </row>
    <row r="17" spans="1:29" ht="85.5">
      <c r="A17" s="367"/>
      <c r="B17" s="390" t="s">
        <v>1258</v>
      </c>
      <c r="C17" s="1751"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47"/>
      <c r="Q17" s="1260" t="str">
        <f>B17</f>
        <v>交通便捷度</v>
      </c>
      <c r="R17" s="666" t="s">
        <v>14</v>
      </c>
      <c r="S17" s="667">
        <f>F17</f>
        <v>100</v>
      </c>
      <c r="T17" s="666" t="s">
        <v>14</v>
      </c>
      <c r="U17" s="667">
        <f>H17</f>
        <v>100</v>
      </c>
      <c r="V17" s="666" t="s">
        <v>14</v>
      </c>
      <c r="W17" s="667">
        <f>J17</f>
        <v>100</v>
      </c>
      <c r="X17" s="1262"/>
      <c r="Y17" s="3440"/>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5"/>
      <c r="M18" s="2480"/>
      <c r="N18" s="2480"/>
      <c r="O18" s="2480"/>
      <c r="P18" s="3447"/>
      <c r="Q18" s="1260"/>
      <c r="R18" s="666"/>
      <c r="S18" s="667"/>
      <c r="T18" s="666"/>
      <c r="U18" s="667"/>
      <c r="V18" s="666"/>
      <c r="W18" s="667"/>
      <c r="X18" s="1262"/>
      <c r="Y18" s="3440"/>
      <c r="Z18" s="1261"/>
      <c r="AA18" s="1261">
        <v>1</v>
      </c>
      <c r="AB18" s="1261">
        <v>1</v>
      </c>
      <c r="AC18" s="1261">
        <v>1</v>
      </c>
    </row>
    <row r="19" spans="1:29" ht="42.75">
      <c r="A19" s="367"/>
      <c r="B19" s="390" t="s">
        <v>1777</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47"/>
      <c r="Q19" s="1260" t="str">
        <f>B19</f>
        <v>公共配套设施</v>
      </c>
      <c r="R19" s="666" t="s">
        <v>14</v>
      </c>
      <c r="S19" s="667">
        <f>F19</f>
        <v>100</v>
      </c>
      <c r="T19" s="666" t="s">
        <v>14</v>
      </c>
      <c r="U19" s="667">
        <f>H19</f>
        <v>100</v>
      </c>
      <c r="V19" s="666" t="s">
        <v>14</v>
      </c>
      <c r="W19" s="667">
        <f>J19</f>
        <v>100</v>
      </c>
      <c r="X19" s="1262"/>
      <c r="Y19" s="3440"/>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5"/>
      <c r="M20" s="2480"/>
      <c r="N20" s="2480"/>
      <c r="O20" s="2480"/>
      <c r="P20" s="3447"/>
      <c r="Q20" s="1260"/>
      <c r="R20" s="666"/>
      <c r="S20" s="667"/>
      <c r="T20" s="666"/>
      <c r="U20" s="667"/>
      <c r="V20" s="666"/>
      <c r="W20" s="667"/>
      <c r="X20" s="1262"/>
      <c r="Y20" s="3440"/>
      <c r="Z20" s="1261"/>
      <c r="AA20" s="1261">
        <v>1</v>
      </c>
      <c r="AB20" s="1261">
        <v>1</v>
      </c>
      <c r="AC20" s="1261">
        <v>1</v>
      </c>
    </row>
    <row r="21" spans="1:29" ht="28.5">
      <c r="A21" s="367"/>
      <c r="B21" s="586" t="s">
        <v>1778</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47"/>
      <c r="Q21" s="1260" t="str">
        <f>B21</f>
        <v>基础设施水平</v>
      </c>
      <c r="R21" s="666" t="s">
        <v>14</v>
      </c>
      <c r="S21" s="667">
        <f>F21</f>
        <v>100</v>
      </c>
      <c r="T21" s="666" t="s">
        <v>14</v>
      </c>
      <c r="U21" s="667">
        <f>H21</f>
        <v>100</v>
      </c>
      <c r="V21" s="666" t="s">
        <v>14</v>
      </c>
      <c r="W21" s="667">
        <f>J21</f>
        <v>100</v>
      </c>
      <c r="X21" s="1262"/>
      <c r="Y21" s="3440"/>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85"/>
      <c r="M22" s="2480"/>
      <c r="N22" s="2480"/>
      <c r="O22" s="2480"/>
      <c r="P22" s="3447"/>
      <c r="Q22" s="1260"/>
      <c r="R22" s="666"/>
      <c r="S22" s="667"/>
      <c r="T22" s="666"/>
      <c r="U22" s="667"/>
      <c r="V22" s="666"/>
      <c r="W22" s="667"/>
      <c r="X22" s="1262"/>
      <c r="Y22" s="3440"/>
      <c r="Z22" s="1261"/>
      <c r="AA22" s="1261">
        <v>1</v>
      </c>
      <c r="AB22" s="1261">
        <v>1</v>
      </c>
      <c r="AC22" s="1261">
        <v>1</v>
      </c>
    </row>
    <row r="23" spans="1:29" ht="57">
      <c r="A23" s="367"/>
      <c r="B23" s="390" t="s">
        <v>1260</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47"/>
      <c r="Q23" s="1260" t="str">
        <f>B23</f>
        <v>自然及人文环境</v>
      </c>
      <c r="R23" s="666" t="s">
        <v>14</v>
      </c>
      <c r="S23" s="667">
        <f>F23</f>
        <v>100</v>
      </c>
      <c r="T23" s="666" t="s">
        <v>14</v>
      </c>
      <c r="U23" s="667">
        <f>H23</f>
        <v>100</v>
      </c>
      <c r="V23" s="666" t="s">
        <v>14</v>
      </c>
      <c r="W23" s="667">
        <f>J23</f>
        <v>100</v>
      </c>
      <c r="X23" s="1262"/>
      <c r="Y23" s="3440"/>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5"/>
      <c r="M24" s="2480"/>
      <c r="N24" s="2480"/>
      <c r="O24" s="2480"/>
      <c r="P24" s="3447"/>
      <c r="Q24" s="1260"/>
      <c r="R24" s="666"/>
      <c r="S24" s="667"/>
      <c r="T24" s="666"/>
      <c r="U24" s="667"/>
      <c r="V24" s="666"/>
      <c r="W24" s="667"/>
      <c r="X24" s="1262"/>
      <c r="Y24" s="3440"/>
      <c r="Z24" s="1261"/>
      <c r="AA24" s="1261">
        <v>1</v>
      </c>
      <c r="AB24" s="1261">
        <v>1</v>
      </c>
      <c r="AC24" s="1261">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47"/>
      <c r="Q25" s="1260" t="str">
        <f t="shared" ref="Q25:Q46" si="11">B25</f>
        <v>临街状况</v>
      </c>
      <c r="R25" s="666" t="s">
        <v>14</v>
      </c>
      <c r="S25" s="667">
        <f>F25</f>
        <v>100</v>
      </c>
      <c r="T25" s="666" t="s">
        <v>14</v>
      </c>
      <c r="U25" s="667">
        <f>H25</f>
        <v>100</v>
      </c>
      <c r="V25" s="666" t="s">
        <v>14</v>
      </c>
      <c r="W25" s="667">
        <f>J25</f>
        <v>100</v>
      </c>
      <c r="X25" s="1262"/>
      <c r="Y25" s="3440"/>
      <c r="Z25" s="1261" t="str">
        <f>Q25</f>
        <v>临街状况</v>
      </c>
      <c r="AA25" s="1261">
        <f t="shared" si="3"/>
        <v>1</v>
      </c>
      <c r="AB25" s="1261">
        <f t="shared" si="4"/>
        <v>1</v>
      </c>
      <c r="AC25" s="1261">
        <f t="shared" si="5"/>
        <v>1</v>
      </c>
    </row>
    <row r="26" spans="1:29" ht="15">
      <c r="A26" s="367"/>
      <c r="B26" s="1064" t="s">
        <v>1780</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47"/>
      <c r="Q26" s="1260" t="str">
        <f t="shared" si="11"/>
        <v>平面位置/可视性</v>
      </c>
      <c r="R26" s="666" t="s">
        <v>14</v>
      </c>
      <c r="S26" s="667">
        <f>F26</f>
        <v>100</v>
      </c>
      <c r="T26" s="666" t="s">
        <v>14</v>
      </c>
      <c r="U26" s="667">
        <f>H26</f>
        <v>100</v>
      </c>
      <c r="V26" s="666" t="s">
        <v>14</v>
      </c>
      <c r="W26" s="667">
        <f>J26</f>
        <v>100</v>
      </c>
      <c r="X26" s="1262"/>
      <c r="Y26" s="3440"/>
      <c r="Z26" s="1261" t="str">
        <f>Q26</f>
        <v>平面位置/可视性</v>
      </c>
      <c r="AA26" s="1261">
        <f t="shared" si="3"/>
        <v>1</v>
      </c>
      <c r="AB26" s="1261">
        <f t="shared" si="4"/>
        <v>1</v>
      </c>
      <c r="AC26" s="1261">
        <f t="shared" si="5"/>
        <v>1</v>
      </c>
    </row>
    <row r="27" spans="1:29" s="102" customFormat="1" ht="15">
      <c r="A27" s="370"/>
      <c r="B27" s="390" t="s">
        <v>1781</v>
      </c>
      <c r="C27" s="1804"/>
      <c r="D27" s="401">
        <v>100</v>
      </c>
      <c r="E27" s="1804"/>
      <c r="F27" s="395">
        <f>SUMIF(90:90,E27,91:91)-SUMIF(90:90,C27,91:91)+100</f>
        <v>100</v>
      </c>
      <c r="G27" s="1804"/>
      <c r="H27" s="401">
        <f>SUMIF(90:90,G27,91:91)-SUMIF(90:90,C27,91:91)+100</f>
        <v>100</v>
      </c>
      <c r="I27" s="1804"/>
      <c r="J27" s="401">
        <f>SUMIF(90:90,I27,91:91)-SUMIF(90:90,C27,91:91)+100</f>
        <v>100</v>
      </c>
      <c r="K27" s="538"/>
      <c r="L27" s="2481"/>
      <c r="M27" s="2433"/>
      <c r="N27" s="2433"/>
      <c r="O27" s="2433"/>
      <c r="P27" s="3447"/>
      <c r="Q27" s="530" t="str">
        <f t="shared" si="11"/>
        <v>人流量</v>
      </c>
      <c r="R27" s="663" t="s">
        <v>14</v>
      </c>
      <c r="S27" s="664">
        <f>F27</f>
        <v>100</v>
      </c>
      <c r="T27" s="663" t="s">
        <v>14</v>
      </c>
      <c r="U27" s="664">
        <f>H27</f>
        <v>100</v>
      </c>
      <c r="V27" s="663" t="s">
        <v>14</v>
      </c>
      <c r="W27" s="664">
        <f>J27</f>
        <v>100</v>
      </c>
      <c r="X27" s="665"/>
      <c r="Y27" s="3440"/>
      <c r="Z27" s="50" t="str">
        <f>Q27</f>
        <v>人流量</v>
      </c>
      <c r="AA27" s="1261">
        <f>D27/F27</f>
        <v>1</v>
      </c>
      <c r="AB27" s="1261">
        <f>D27/H27</f>
        <v>1</v>
      </c>
      <c r="AC27" s="1261">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47"/>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0"/>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47"/>
      <c r="Q29" s="1260">
        <f t="shared" si="11"/>
        <v>111</v>
      </c>
      <c r="R29" s="666" t="s">
        <v>14</v>
      </c>
      <c r="S29" s="667">
        <f t="shared" si="12"/>
        <v>100</v>
      </c>
      <c r="T29" s="666" t="s">
        <v>14</v>
      </c>
      <c r="U29" s="667">
        <f t="shared" si="13"/>
        <v>100</v>
      </c>
      <c r="V29" s="666" t="s">
        <v>14</v>
      </c>
      <c r="W29" s="667">
        <f t="shared" si="14"/>
        <v>100</v>
      </c>
      <c r="X29" s="1262"/>
      <c r="Y29" s="3440"/>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47"/>
      <c r="Q30" s="1260">
        <f t="shared" si="11"/>
        <v>111</v>
      </c>
      <c r="R30" s="666" t="s">
        <v>14</v>
      </c>
      <c r="S30" s="667">
        <f t="shared" si="12"/>
        <v>100</v>
      </c>
      <c r="T30" s="666" t="s">
        <v>14</v>
      </c>
      <c r="U30" s="667">
        <f t="shared" si="13"/>
        <v>100</v>
      </c>
      <c r="V30" s="666" t="s">
        <v>14</v>
      </c>
      <c r="W30" s="667">
        <f t="shared" si="14"/>
        <v>100</v>
      </c>
      <c r="X30" s="1262"/>
      <c r="Y30" s="3440"/>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47"/>
      <c r="Q31" s="1260">
        <f t="shared" si="11"/>
        <v>111</v>
      </c>
      <c r="R31" s="666" t="s">
        <v>14</v>
      </c>
      <c r="S31" s="667">
        <f t="shared" si="12"/>
        <v>100</v>
      </c>
      <c r="T31" s="666" t="s">
        <v>14</v>
      </c>
      <c r="U31" s="667">
        <f t="shared" si="13"/>
        <v>100</v>
      </c>
      <c r="V31" s="666" t="s">
        <v>14</v>
      </c>
      <c r="W31" s="667">
        <f t="shared" si="14"/>
        <v>100</v>
      </c>
      <c r="X31" s="1262"/>
      <c r="Y31" s="3440"/>
      <c r="Z31" s="1261">
        <f t="shared" si="15"/>
        <v>111</v>
      </c>
      <c r="AA31" s="1261">
        <f t="shared" si="3"/>
        <v>1</v>
      </c>
      <c r="AB31" s="1261">
        <f t="shared" si="4"/>
        <v>1</v>
      </c>
      <c r="AC31" s="1261">
        <f t="shared" si="5"/>
        <v>1</v>
      </c>
    </row>
    <row r="32" spans="1:29" ht="15">
      <c r="A32" s="379" t="s">
        <v>1693</v>
      </c>
      <c r="B32" s="60" t="s">
        <v>1783</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41" t="s">
        <v>1695</v>
      </c>
      <c r="Q32" s="1260" t="str">
        <f t="shared" si="11"/>
        <v>商业类型</v>
      </c>
      <c r="R32" s="666" t="s">
        <v>14</v>
      </c>
      <c r="S32" s="667">
        <f t="shared" si="12"/>
        <v>100</v>
      </c>
      <c r="T32" s="666" t="s">
        <v>14</v>
      </c>
      <c r="U32" s="667">
        <f t="shared" si="13"/>
        <v>100</v>
      </c>
      <c r="V32" s="666" t="s">
        <v>14</v>
      </c>
      <c r="W32" s="667">
        <f t="shared" si="14"/>
        <v>100</v>
      </c>
      <c r="X32" s="1262"/>
      <c r="Y32" s="3444" t="s">
        <v>1695</v>
      </c>
      <c r="Z32" s="1261" t="str">
        <f t="shared" si="15"/>
        <v>商业类型</v>
      </c>
      <c r="AA32" s="1261">
        <f t="shared" si="3"/>
        <v>1</v>
      </c>
      <c r="AB32" s="1261">
        <f t="shared" si="4"/>
        <v>1</v>
      </c>
      <c r="AC32" s="1261">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42"/>
      <c r="Q33" s="531" t="str">
        <f t="shared" si="11"/>
        <v>项目建筑规模</v>
      </c>
      <c r="R33" s="668" t="s">
        <v>14</v>
      </c>
      <c r="S33" s="669" t="e">
        <f t="shared" si="12"/>
        <v>#N/A</v>
      </c>
      <c r="T33" s="668" t="s">
        <v>14</v>
      </c>
      <c r="U33" s="669" t="e">
        <f t="shared" si="13"/>
        <v>#N/A</v>
      </c>
      <c r="V33" s="668" t="s">
        <v>14</v>
      </c>
      <c r="W33" s="669" t="e">
        <f t="shared" si="14"/>
        <v>#N/A</v>
      </c>
      <c r="X33" s="670"/>
      <c r="Y33" s="3444"/>
      <c r="Z33" s="671" t="str">
        <f t="shared" si="15"/>
        <v>项目建筑规模</v>
      </c>
      <c r="AA33" s="1261" t="e">
        <f t="shared" si="3"/>
        <v>#N/A</v>
      </c>
      <c r="AB33" s="1261" t="e">
        <f t="shared" si="4"/>
        <v>#N/A</v>
      </c>
      <c r="AC33" s="1261"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42"/>
      <c r="Q34" s="1260" t="str">
        <f t="shared" si="11"/>
        <v>建筑结构</v>
      </c>
      <c r="R34" s="666" t="s">
        <v>14</v>
      </c>
      <c r="S34" s="667">
        <f t="shared" si="12"/>
        <v>100</v>
      </c>
      <c r="T34" s="666" t="s">
        <v>14</v>
      </c>
      <c r="U34" s="667">
        <f t="shared" si="13"/>
        <v>100</v>
      </c>
      <c r="V34" s="666" t="s">
        <v>14</v>
      </c>
      <c r="W34" s="667">
        <f t="shared" si="14"/>
        <v>100</v>
      </c>
      <c r="X34" s="1262"/>
      <c r="Y34" s="3444"/>
      <c r="Z34" s="1261" t="str">
        <f t="shared" si="15"/>
        <v>建筑结构</v>
      </c>
      <c r="AA34" s="1261">
        <f t="shared" si="3"/>
        <v>1</v>
      </c>
      <c r="AB34" s="1261">
        <f t="shared" si="4"/>
        <v>1</v>
      </c>
      <c r="AC34" s="1261">
        <f t="shared" si="5"/>
        <v>1</v>
      </c>
    </row>
    <row r="35" spans="1:29" ht="15">
      <c r="A35" s="409"/>
      <c r="B35" s="364" t="s">
        <v>1784</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42"/>
      <c r="Q35" s="1260" t="str">
        <f t="shared" si="11"/>
        <v>公共部分装修</v>
      </c>
      <c r="R35" s="666" t="s">
        <v>14</v>
      </c>
      <c r="S35" s="667">
        <f t="shared" si="12"/>
        <v>100</v>
      </c>
      <c r="T35" s="666" t="s">
        <v>14</v>
      </c>
      <c r="U35" s="667">
        <f t="shared" si="13"/>
        <v>100</v>
      </c>
      <c r="V35" s="666" t="s">
        <v>14</v>
      </c>
      <c r="W35" s="667">
        <f t="shared" si="14"/>
        <v>100</v>
      </c>
      <c r="X35" s="1262"/>
      <c r="Y35" s="3444"/>
      <c r="Z35" s="1261" t="str">
        <f t="shared" si="15"/>
        <v>公共部分装修</v>
      </c>
      <c r="AA35" s="1261">
        <f t="shared" si="3"/>
        <v>1</v>
      </c>
      <c r="AB35" s="1261">
        <f t="shared" si="4"/>
        <v>1</v>
      </c>
      <c r="AC35" s="1261">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42"/>
      <c r="Q36" s="1260" t="str">
        <f t="shared" si="11"/>
        <v>成新度</v>
      </c>
      <c r="R36" s="666" t="s">
        <v>14</v>
      </c>
      <c r="S36" s="667" t="e">
        <f t="shared" si="12"/>
        <v>#N/A</v>
      </c>
      <c r="T36" s="666" t="s">
        <v>14</v>
      </c>
      <c r="U36" s="667" t="e">
        <f t="shared" si="13"/>
        <v>#N/A</v>
      </c>
      <c r="V36" s="666" t="s">
        <v>14</v>
      </c>
      <c r="W36" s="667" t="e">
        <f t="shared" si="14"/>
        <v>#N/A</v>
      </c>
      <c r="X36" s="1262"/>
      <c r="Y36" s="3444"/>
      <c r="Z36" s="1261" t="str">
        <f t="shared" si="15"/>
        <v>成新度</v>
      </c>
      <c r="AA36" s="1261" t="e">
        <f t="shared" si="3"/>
        <v>#N/A</v>
      </c>
      <c r="AB36" s="1261" t="e">
        <f t="shared" si="4"/>
        <v>#N/A</v>
      </c>
      <c r="AC36" s="1261" t="e">
        <f t="shared" si="5"/>
        <v>#N/A</v>
      </c>
    </row>
    <row r="37" spans="1:29" s="102" customFormat="1" ht="15">
      <c r="A37" s="410"/>
      <c r="B37" s="364" t="s">
        <v>1786</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3"/>
      <c r="N37" s="2433"/>
      <c r="O37" s="2433"/>
      <c r="P37" s="3442"/>
      <c r="Q37" s="530" t="str">
        <f t="shared" si="11"/>
        <v>市政基础设施</v>
      </c>
      <c r="R37" s="663" t="s">
        <v>14</v>
      </c>
      <c r="S37" s="664">
        <f t="shared" si="12"/>
        <v>100</v>
      </c>
      <c r="T37" s="663" t="s">
        <v>14</v>
      </c>
      <c r="U37" s="664">
        <f t="shared" si="13"/>
        <v>100</v>
      </c>
      <c r="V37" s="663" t="s">
        <v>14</v>
      </c>
      <c r="W37" s="664">
        <f t="shared" si="14"/>
        <v>100</v>
      </c>
      <c r="X37" s="665"/>
      <c r="Y37" s="3444"/>
      <c r="Z37" s="50" t="str">
        <f t="shared" si="15"/>
        <v>市政基础设施</v>
      </c>
      <c r="AA37" s="50">
        <f t="shared" si="3"/>
        <v>1</v>
      </c>
      <c r="AB37" s="50">
        <f t="shared" si="4"/>
        <v>1</v>
      </c>
      <c r="AC37" s="50">
        <f t="shared" si="5"/>
        <v>1</v>
      </c>
    </row>
    <row r="38" spans="1:29" ht="15">
      <c r="A38" s="409"/>
      <c r="B38" s="364" t="s">
        <v>1787</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42" t="s">
        <v>1695</v>
      </c>
      <c r="Q38" s="1260" t="str">
        <f t="shared" si="11"/>
        <v>业态</v>
      </c>
      <c r="R38" s="666" t="s">
        <v>14</v>
      </c>
      <c r="S38" s="667">
        <f t="shared" si="12"/>
        <v>100</v>
      </c>
      <c r="T38" s="666" t="s">
        <v>14</v>
      </c>
      <c r="U38" s="667">
        <f t="shared" si="13"/>
        <v>100</v>
      </c>
      <c r="V38" s="666" t="s">
        <v>14</v>
      </c>
      <c r="W38" s="667">
        <f t="shared" si="14"/>
        <v>100</v>
      </c>
      <c r="X38" s="1262"/>
      <c r="Y38" s="3444" t="s">
        <v>1695</v>
      </c>
      <c r="Z38" s="1261" t="str">
        <f t="shared" si="15"/>
        <v>业态</v>
      </c>
      <c r="AA38" s="1261">
        <f t="shared" si="3"/>
        <v>1</v>
      </c>
      <c r="AB38" s="1261">
        <f t="shared" si="4"/>
        <v>1</v>
      </c>
      <c r="AC38" s="1261">
        <f t="shared" si="5"/>
        <v>1</v>
      </c>
    </row>
    <row r="39" spans="1:29" ht="15">
      <c r="A39" s="409"/>
      <c r="B39" s="364" t="s">
        <v>1788</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42"/>
      <c r="Q39" s="1260" t="str">
        <f t="shared" si="11"/>
        <v>层高</v>
      </c>
      <c r="R39" s="666" t="s">
        <v>14</v>
      </c>
      <c r="S39" s="667">
        <f t="shared" si="12"/>
        <v>100</v>
      </c>
      <c r="T39" s="666" t="s">
        <v>14</v>
      </c>
      <c r="U39" s="667">
        <f t="shared" si="13"/>
        <v>100</v>
      </c>
      <c r="V39" s="666" t="s">
        <v>14</v>
      </c>
      <c r="W39" s="667">
        <f t="shared" si="14"/>
        <v>100</v>
      </c>
      <c r="X39" s="1262"/>
      <c r="Y39" s="3444"/>
      <c r="Z39" s="1261" t="str">
        <f t="shared" si="15"/>
        <v>层高</v>
      </c>
      <c r="AA39" s="1261">
        <f t="shared" si="3"/>
        <v>1</v>
      </c>
      <c r="AB39" s="1261">
        <f t="shared" si="4"/>
        <v>1</v>
      </c>
      <c r="AC39" s="1261">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42"/>
      <c r="Q40" s="1260" t="str">
        <f t="shared" si="11"/>
        <v>单套建筑面积</v>
      </c>
      <c r="R40" s="666" t="s">
        <v>14</v>
      </c>
      <c r="S40" s="667">
        <f t="shared" si="12"/>
        <v>100</v>
      </c>
      <c r="T40" s="666" t="s">
        <v>14</v>
      </c>
      <c r="U40" s="667">
        <f t="shared" si="13"/>
        <v>100</v>
      </c>
      <c r="V40" s="666" t="s">
        <v>14</v>
      </c>
      <c r="W40" s="667">
        <f t="shared" si="14"/>
        <v>100</v>
      </c>
      <c r="X40" s="1262"/>
      <c r="Y40" s="3444"/>
      <c r="Z40" s="1261" t="str">
        <f t="shared" si="15"/>
        <v>单套建筑面积</v>
      </c>
      <c r="AA40" s="1261">
        <f t="shared" si="3"/>
        <v>1</v>
      </c>
      <c r="AB40" s="1261">
        <f t="shared" si="4"/>
        <v>1</v>
      </c>
      <c r="AC40" s="1261">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42"/>
      <c r="Q41" s="531" t="str">
        <f t="shared" si="11"/>
        <v>进深比</v>
      </c>
      <c r="R41" s="668" t="s">
        <v>14</v>
      </c>
      <c r="S41" s="669">
        <f t="shared" si="12"/>
        <v>100</v>
      </c>
      <c r="T41" s="668" t="s">
        <v>14</v>
      </c>
      <c r="U41" s="669">
        <f t="shared" si="13"/>
        <v>100</v>
      </c>
      <c r="V41" s="668" t="s">
        <v>14</v>
      </c>
      <c r="W41" s="669">
        <f t="shared" si="14"/>
        <v>100</v>
      </c>
      <c r="X41" s="670"/>
      <c r="Y41" s="3444"/>
      <c r="Z41" s="671" t="str">
        <f t="shared" si="15"/>
        <v>进深比</v>
      </c>
      <c r="AA41" s="1261">
        <f t="shared" si="3"/>
        <v>1</v>
      </c>
      <c r="AB41" s="1261">
        <f t="shared" si="4"/>
        <v>1</v>
      </c>
      <c r="AC41" s="1261">
        <f t="shared" si="5"/>
        <v>1</v>
      </c>
    </row>
    <row r="42" spans="1:29" ht="15">
      <c r="A42" s="409"/>
      <c r="B42" s="364" t="s">
        <v>1791</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42"/>
      <c r="Q42" s="1260" t="str">
        <f t="shared" si="11"/>
        <v>内部装修</v>
      </c>
      <c r="R42" s="666" t="s">
        <v>14</v>
      </c>
      <c r="S42" s="667">
        <f t="shared" si="12"/>
        <v>100</v>
      </c>
      <c r="T42" s="666" t="s">
        <v>14</v>
      </c>
      <c r="U42" s="667">
        <f t="shared" si="13"/>
        <v>100</v>
      </c>
      <c r="V42" s="666" t="s">
        <v>14</v>
      </c>
      <c r="W42" s="667">
        <f t="shared" si="14"/>
        <v>100</v>
      </c>
      <c r="X42" s="1262"/>
      <c r="Y42" s="3444"/>
      <c r="Z42" s="1261" t="str">
        <f t="shared" si="15"/>
        <v>内部装修</v>
      </c>
      <c r="AA42" s="1261">
        <f t="shared" si="3"/>
        <v>1</v>
      </c>
      <c r="AB42" s="1261">
        <f t="shared" si="4"/>
        <v>1</v>
      </c>
      <c r="AC42" s="1261">
        <f t="shared" si="5"/>
        <v>1</v>
      </c>
    </row>
    <row r="43" spans="1:29" ht="15">
      <c r="A43" s="409"/>
      <c r="B43" s="364" t="s">
        <v>1706</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42"/>
      <c r="Q43" s="1260" t="str">
        <f t="shared" si="11"/>
        <v>内部装修维护情况</v>
      </c>
      <c r="R43" s="666" t="s">
        <v>14</v>
      </c>
      <c r="S43" s="667">
        <f t="shared" si="12"/>
        <v>100</v>
      </c>
      <c r="T43" s="666" t="s">
        <v>14</v>
      </c>
      <c r="U43" s="667">
        <f t="shared" si="13"/>
        <v>100</v>
      </c>
      <c r="V43" s="666" t="s">
        <v>14</v>
      </c>
      <c r="W43" s="667">
        <f t="shared" si="14"/>
        <v>100</v>
      </c>
      <c r="X43" s="1262"/>
      <c r="Y43" s="3444"/>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42"/>
      <c r="Q44" s="530">
        <f t="shared" si="11"/>
        <v>111</v>
      </c>
      <c r="R44" s="663" t="s">
        <v>14</v>
      </c>
      <c r="S44" s="664">
        <f t="shared" si="12"/>
        <v>100</v>
      </c>
      <c r="T44" s="663" t="s">
        <v>14</v>
      </c>
      <c r="U44" s="664">
        <f t="shared" si="13"/>
        <v>100</v>
      </c>
      <c r="V44" s="663" t="s">
        <v>14</v>
      </c>
      <c r="W44" s="664">
        <f t="shared" si="14"/>
        <v>100</v>
      </c>
      <c r="X44" s="665"/>
      <c r="Y44" s="3444"/>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42"/>
      <c r="Q45" s="1260">
        <f t="shared" si="11"/>
        <v>111</v>
      </c>
      <c r="R45" s="666" t="s">
        <v>14</v>
      </c>
      <c r="S45" s="667">
        <f t="shared" si="12"/>
        <v>100</v>
      </c>
      <c r="T45" s="666" t="s">
        <v>14</v>
      </c>
      <c r="U45" s="667">
        <f t="shared" si="13"/>
        <v>100</v>
      </c>
      <c r="V45" s="666" t="s">
        <v>14</v>
      </c>
      <c r="W45" s="667">
        <f t="shared" si="14"/>
        <v>100</v>
      </c>
      <c r="X45" s="1262"/>
      <c r="Y45" s="3444"/>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43"/>
      <c r="Q46" s="1260">
        <f t="shared" si="11"/>
        <v>111</v>
      </c>
      <c r="R46" s="666" t="s">
        <v>14</v>
      </c>
      <c r="S46" s="667">
        <f t="shared" si="12"/>
        <v>100</v>
      </c>
      <c r="T46" s="666" t="s">
        <v>14</v>
      </c>
      <c r="U46" s="667">
        <f t="shared" si="13"/>
        <v>100</v>
      </c>
      <c r="V46" s="666" t="s">
        <v>14</v>
      </c>
      <c r="W46" s="667">
        <f t="shared" si="14"/>
        <v>100</v>
      </c>
      <c r="X46" s="1262"/>
      <c r="Y46" s="3445"/>
      <c r="Z46" s="1261">
        <f t="shared" si="15"/>
        <v>111</v>
      </c>
      <c r="AA46" s="1261">
        <f t="shared" si="3"/>
        <v>1</v>
      </c>
      <c r="AB46" s="1261">
        <f t="shared" si="4"/>
        <v>1</v>
      </c>
      <c r="AC46" s="1261">
        <f t="shared" si="5"/>
        <v>1</v>
      </c>
    </row>
    <row r="47" spans="1:29" ht="15">
      <c r="A47" s="416" t="s">
        <v>1707</v>
      </c>
      <c r="B47" s="417"/>
      <c r="C47" s="1078" t="s">
        <v>0</v>
      </c>
      <c r="D47" s="418"/>
      <c r="E47" s="419"/>
      <c r="F47" s="420"/>
      <c r="G47" s="421"/>
      <c r="H47" s="422"/>
      <c r="I47" s="419"/>
      <c r="J47" s="422"/>
      <c r="K47" s="673"/>
      <c r="L47" s="2487"/>
      <c r="M47" s="2480"/>
      <c r="N47" s="2480"/>
      <c r="O47" s="2480"/>
      <c r="P47" s="3438" t="str">
        <f>A47</f>
        <v>成交单价（元/平方米）</v>
      </c>
      <c r="Q47" s="3438"/>
      <c r="R47" s="3433">
        <f>E47</f>
        <v>0</v>
      </c>
      <c r="S47" s="3433"/>
      <c r="T47" s="3433">
        <f>G47</f>
        <v>0</v>
      </c>
      <c r="U47" s="3433"/>
      <c r="V47" s="3433">
        <f>I47</f>
        <v>0</v>
      </c>
      <c r="W47" s="3433"/>
      <c r="X47" s="385"/>
      <c r="Y47" s="672"/>
      <c r="Z47" s="385"/>
      <c r="AA47" s="385"/>
      <c r="AB47" s="385"/>
      <c r="AC47" s="385"/>
    </row>
    <row r="48" spans="1:29" ht="15.75" thickBot="1">
      <c r="A48" s="423" t="s">
        <v>1792</v>
      </c>
      <c r="B48" s="424"/>
      <c r="C48" s="1079" t="e">
        <f>R49</f>
        <v>#DIV/0!</v>
      </c>
      <c r="D48" s="2138" t="s">
        <v>2137</v>
      </c>
      <c r="E48" s="1080" t="e">
        <f>R48</f>
        <v>#DIV/0!</v>
      </c>
      <c r="F48" s="2139"/>
      <c r="G48" s="1079" t="e">
        <f>T48</f>
        <v>#DIV/0!</v>
      </c>
      <c r="H48" s="2139"/>
      <c r="I48" s="1080" t="e">
        <f>V48</f>
        <v>#DIV/0!</v>
      </c>
      <c r="J48" s="2139"/>
      <c r="K48" s="2141">
        <f>F48+H48+J48</f>
        <v>0</v>
      </c>
      <c r="L48" s="2487"/>
      <c r="M48" s="2480"/>
      <c r="N48" s="2480"/>
      <c r="O48" s="2480"/>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1793</v>
      </c>
      <c r="B49" s="428"/>
      <c r="C49" s="351" t="e">
        <f>R49</f>
        <v>#DIV/0!</v>
      </c>
      <c r="D49" s="351"/>
      <c r="E49" s="351"/>
      <c r="F49" s="351"/>
      <c r="G49" s="351"/>
      <c r="H49" s="351"/>
      <c r="I49" s="351"/>
      <c r="J49" s="351"/>
      <c r="K49" s="674"/>
      <c r="L49" s="2487"/>
      <c r="M49" s="2480"/>
      <c r="N49" s="2480"/>
      <c r="O49" s="2480"/>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1797</v>
      </c>
      <c r="B57" s="385"/>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2" customFormat="1" ht="15">
      <c r="A58" s="440" t="s">
        <v>1678</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2502"/>
      <c r="Q58" s="2503"/>
      <c r="R58" s="2503"/>
      <c r="S58" s="2503"/>
      <c r="T58" s="2503"/>
      <c r="U58" s="2503"/>
      <c r="V58" s="2503"/>
      <c r="W58" s="2503"/>
      <c r="X58" s="2503"/>
      <c r="Y58" s="2503"/>
      <c r="Z58" s="2503"/>
      <c r="AA58" s="2503"/>
      <c r="AB58" s="2503"/>
      <c r="AC58" s="2503"/>
    </row>
    <row r="59" spans="1:29" s="102" customFormat="1" ht="15">
      <c r="A59" s="443"/>
      <c r="B59" s="444"/>
      <c r="C59" s="1099">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75" thickBot="1">
      <c r="A60" s="449" t="s">
        <v>1715</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5">
      <c r="A61" s="455" t="s">
        <v>1680</v>
      </c>
      <c r="B61" s="444"/>
      <c r="C61" s="456" t="s">
        <v>1775</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c r="A63" s="379" t="s">
        <v>1718</v>
      </c>
      <c r="B63" s="460" t="s">
        <v>1684</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1687</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1689</v>
      </c>
      <c r="B76" s="460" t="s">
        <v>1719</v>
      </c>
      <c r="C76" s="504" t="s">
        <v>1720</v>
      </c>
      <c r="D76" s="504" t="s">
        <v>1721</v>
      </c>
      <c r="E76" s="504" t="s">
        <v>1722</v>
      </c>
      <c r="F76" s="504" t="s">
        <v>1723</v>
      </c>
      <c r="G76" s="504" t="s">
        <v>1724</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1725</v>
      </c>
      <c r="C78" s="509" t="s">
        <v>1720</v>
      </c>
      <c r="D78" s="509" t="s">
        <v>1721</v>
      </c>
      <c r="E78" s="509" t="s">
        <v>1722</v>
      </c>
      <c r="F78" s="509" t="s">
        <v>1723</v>
      </c>
      <c r="G78" s="509" t="s">
        <v>1724</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1726</v>
      </c>
      <c r="C80" s="509" t="s">
        <v>1720</v>
      </c>
      <c r="D80" s="509" t="s">
        <v>1721</v>
      </c>
      <c r="E80" s="509" t="s">
        <v>1722</v>
      </c>
      <c r="F80" s="509" t="s">
        <v>1723</v>
      </c>
      <c r="G80" s="509" t="s">
        <v>1724</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1778</v>
      </c>
      <c r="C82" s="581" t="s">
        <v>1798</v>
      </c>
      <c r="D82" s="581" t="s">
        <v>1799</v>
      </c>
      <c r="E82" s="581" t="s">
        <v>1800</v>
      </c>
      <c r="F82" s="581" t="s">
        <v>1801</v>
      </c>
      <c r="G82" s="581" t="s">
        <v>1802</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1732</v>
      </c>
      <c r="C84" s="509" t="s">
        <v>1720</v>
      </c>
      <c r="D84" s="509" t="s">
        <v>1721</v>
      </c>
      <c r="E84" s="509" t="s">
        <v>1722</v>
      </c>
      <c r="F84" s="509" t="s">
        <v>1723</v>
      </c>
      <c r="G84" s="509" t="s">
        <v>1724</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1803</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485"/>
      <c r="D88" s="485"/>
      <c r="E88" s="485"/>
      <c r="F88" s="1777"/>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5.75"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1693</v>
      </c>
      <c r="B100" s="460" t="s">
        <v>1804</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1737</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1739</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1741</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1805</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1806</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1807</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1808</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1743</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恒丰银行股份有限公司北京分行：</v>
      </c>
    </row>
    <row r="4" spans="1:1" ht="36">
      <c r="A4" s="1379" t="str">
        <f>"受贵公司委托，我公司对"&amp;项目基本情况!S1&amp;"进行了预评估。"</f>
        <v>受贵公司委托，我公司对北京市平谷区兴谷街道兴谷路29号院房地产抵押价值进行了预评估。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街道兴谷路29号院房地产，为北京市东风保健营养品有限责任公司所有。根据《国有土地使用证》[]，估价对象（分摊）出让国有建设用地使用权面积为9558.83平方米，建筑面积为6436.49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街道兴谷路29号院房地产,属北京市东风保健营养品有限责任公司开发建设的工业项目，该项目尚在开发建设中。根据《国有土地使用证》[]，估价对象（分摊）出让国有建设用地使用权面积为9558.83平方米，规划建筑面积为6436.49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2024年9月12日（评估专业人员实地查勘之日）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工业，土地取得方式为出让，出让国有建设用地使用权剩余土地使用年限为39.23，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39.23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1659</v>
      </c>
      <c r="B1" s="1805" t="s">
        <v>1809</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1462</v>
      </c>
      <c r="F2" s="1736"/>
      <c r="G2" s="854"/>
      <c r="H2" s="854"/>
      <c r="I2" s="854"/>
      <c r="J2" s="854"/>
      <c r="K2" s="854"/>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6436.4900000000007</v>
      </c>
      <c r="E3" s="1802"/>
      <c r="F3" s="855"/>
      <c r="G3" s="854"/>
      <c r="H3" s="854"/>
      <c r="I3" s="854"/>
      <c r="J3" s="854"/>
      <c r="K3" s="856"/>
      <c r="L3" s="2496"/>
      <c r="M3" s="2497"/>
      <c r="N3" s="2497"/>
      <c r="O3" s="2497"/>
      <c r="P3" s="341"/>
      <c r="Q3" s="341"/>
      <c r="R3" s="341"/>
      <c r="S3" s="341"/>
      <c r="T3" s="341"/>
      <c r="U3" s="341"/>
      <c r="V3" s="341"/>
      <c r="W3" s="341"/>
      <c r="X3" s="341"/>
      <c r="Y3" s="341"/>
      <c r="Z3" s="341"/>
      <c r="AA3" s="341"/>
      <c r="AB3" s="341"/>
      <c r="AC3" s="66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54" t="s">
        <v>1774</v>
      </c>
      <c r="Q4" s="3455"/>
      <c r="R4" s="3449" t="s">
        <v>1770</v>
      </c>
      <c r="S4" s="3450"/>
      <c r="T4" s="3449" t="s">
        <v>1771</v>
      </c>
      <c r="U4" s="3450"/>
      <c r="V4" s="3458" t="s">
        <v>1772</v>
      </c>
      <c r="W4" s="3458"/>
      <c r="X4" s="1806"/>
      <c r="Y4" s="3449" t="s">
        <v>1774</v>
      </c>
      <c r="Z4" s="3450"/>
      <c r="AA4" s="3448" t="s">
        <v>1770</v>
      </c>
      <c r="AB4" s="3448" t="s">
        <v>1771</v>
      </c>
      <c r="AC4" s="3451" t="s">
        <v>1772</v>
      </c>
    </row>
    <row r="5" spans="1:29" ht="15">
      <c r="A5" s="348"/>
      <c r="B5" s="349"/>
      <c r="C5" s="3414" t="s">
        <v>1672</v>
      </c>
      <c r="D5" s="3415"/>
      <c r="E5" s="3412" t="s">
        <v>1673</v>
      </c>
      <c r="F5" s="3413"/>
      <c r="G5" s="3414" t="s">
        <v>1674</v>
      </c>
      <c r="H5" s="3415"/>
      <c r="I5" s="3414" t="s">
        <v>1675</v>
      </c>
      <c r="J5" s="3415"/>
      <c r="K5" s="537"/>
      <c r="L5" s="2479"/>
      <c r="M5" s="2480"/>
      <c r="N5" s="2480"/>
      <c r="O5" s="2480"/>
      <c r="P5" s="3456"/>
      <c r="Q5" s="3428"/>
      <c r="R5" s="3410"/>
      <c r="S5" s="3411"/>
      <c r="T5" s="3410"/>
      <c r="U5" s="3411"/>
      <c r="V5" s="3433"/>
      <c r="W5" s="3433"/>
      <c r="X5" s="1262"/>
      <c r="Y5" s="3410"/>
      <c r="Z5" s="3411"/>
      <c r="AA5" s="3404"/>
      <c r="AB5" s="3404"/>
      <c r="AC5" s="3452"/>
    </row>
    <row r="6" spans="1:29" ht="15.75" thickBot="1">
      <c r="A6" s="350"/>
      <c r="B6" s="351"/>
      <c r="C6" s="3416" t="s">
        <v>1676</v>
      </c>
      <c r="D6" s="3417"/>
      <c r="E6" s="3418" t="s">
        <v>1676</v>
      </c>
      <c r="F6" s="3419"/>
      <c r="G6" s="3416" t="s">
        <v>1676</v>
      </c>
      <c r="H6" s="3417"/>
      <c r="I6" s="3416" t="s">
        <v>1676</v>
      </c>
      <c r="J6" s="3417"/>
      <c r="K6" s="537" t="s">
        <v>1677</v>
      </c>
      <c r="L6" s="2479"/>
      <c r="M6" s="2480"/>
      <c r="N6" s="2480"/>
      <c r="O6" s="2480"/>
      <c r="P6" s="3457"/>
      <c r="Q6" s="3430"/>
      <c r="R6" s="3410"/>
      <c r="S6" s="3411"/>
      <c r="T6" s="3431"/>
      <c r="U6" s="3432"/>
      <c r="V6" s="3433"/>
      <c r="W6" s="3433"/>
      <c r="X6" s="1262"/>
      <c r="Y6" s="3431"/>
      <c r="Z6" s="3432"/>
      <c r="AA6" s="3405"/>
      <c r="AB6" s="3405"/>
      <c r="AC6" s="3453"/>
    </row>
    <row r="7" spans="1:29" s="102" customFormat="1" ht="15.75" thickBot="1">
      <c r="A7" s="352" t="s">
        <v>1678</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1"/>
      <c r="M7" s="2433"/>
      <c r="N7" s="2433"/>
      <c r="O7" s="2433"/>
      <c r="P7" s="3459" t="s">
        <v>1679</v>
      </c>
      <c r="Q7" s="3434"/>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59" t="s">
        <v>1682</v>
      </c>
      <c r="Q8" s="3407"/>
      <c r="R8" s="663" t="s">
        <v>14</v>
      </c>
      <c r="S8" s="664">
        <f t="shared" si="0"/>
        <v>100</v>
      </c>
      <c r="T8" s="663" t="s">
        <v>14</v>
      </c>
      <c r="U8" s="664">
        <f t="shared" si="1"/>
        <v>100</v>
      </c>
      <c r="V8" s="663" t="s">
        <v>14</v>
      </c>
      <c r="W8" s="664">
        <f t="shared" si="2"/>
        <v>100</v>
      </c>
      <c r="X8" s="665"/>
      <c r="Y8" s="3406" t="s">
        <v>1682</v>
      </c>
      <c r="Z8" s="3407"/>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20"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801">
        <f t="shared" si="5"/>
        <v>1</v>
      </c>
    </row>
    <row r="10" spans="1:29" s="366" customFormat="1" ht="27">
      <c r="A10" s="363"/>
      <c r="B10" s="364" t="s">
        <v>1687</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20"/>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20"/>
      <c r="Q11" s="530" t="str">
        <f t="shared" si="6"/>
        <v>容积率</v>
      </c>
      <c r="R11" s="663" t="s">
        <v>14</v>
      </c>
      <c r="S11" s="664">
        <f t="shared" si="0"/>
        <v>100</v>
      </c>
      <c r="T11" s="663" t="s">
        <v>14</v>
      </c>
      <c r="U11" s="664">
        <f t="shared" si="1"/>
        <v>100</v>
      </c>
      <c r="V11" s="663" t="s">
        <v>14</v>
      </c>
      <c r="W11" s="664">
        <f t="shared" si="2"/>
        <v>100</v>
      </c>
      <c r="X11" s="665"/>
      <c r="Y11" s="335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1"/>
      <c r="M12" s="2433"/>
      <c r="N12" s="2433"/>
      <c r="O12" s="2433"/>
      <c r="P12" s="3420"/>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5"/>
      <c r="M13" s="2480"/>
      <c r="N13" s="2480"/>
      <c r="O13" s="2480"/>
      <c r="P13" s="3420"/>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801">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5"/>
      <c r="M14" s="2480"/>
      <c r="N14" s="2480"/>
      <c r="O14" s="2480"/>
      <c r="P14" s="3420"/>
      <c r="Q14" s="530">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801">
        <f t="shared" si="5"/>
        <v>1</v>
      </c>
    </row>
    <row r="15" spans="1:29" ht="71.25">
      <c r="A15" s="379" t="s">
        <v>1689</v>
      </c>
      <c r="B15" s="554" t="s">
        <v>1810</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46" t="s">
        <v>1690</v>
      </c>
      <c r="Q15" s="1260" t="str">
        <f t="shared" si="6"/>
        <v>办公集聚程度</v>
      </c>
      <c r="R15" s="666" t="s">
        <v>14</v>
      </c>
      <c r="S15" s="667">
        <f t="shared" si="0"/>
        <v>100</v>
      </c>
      <c r="T15" s="666" t="s">
        <v>14</v>
      </c>
      <c r="U15" s="667">
        <f t="shared" si="1"/>
        <v>100</v>
      </c>
      <c r="V15" s="666" t="s">
        <v>14</v>
      </c>
      <c r="W15" s="667">
        <f t="shared" si="2"/>
        <v>100</v>
      </c>
      <c r="X15" s="1262"/>
      <c r="Y15" s="3439" t="s">
        <v>1690</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85"/>
      <c r="M16" s="2480"/>
      <c r="N16" s="2480"/>
      <c r="O16" s="2480"/>
      <c r="P16" s="3447"/>
      <c r="Q16" s="1260"/>
      <c r="R16" s="666"/>
      <c r="S16" s="667"/>
      <c r="T16" s="666"/>
      <c r="U16" s="667"/>
      <c r="V16" s="666"/>
      <c r="W16" s="667"/>
      <c r="X16" s="1262"/>
      <c r="Y16" s="3440"/>
      <c r="Z16" s="1261"/>
      <c r="AA16" s="1261">
        <v>1</v>
      </c>
      <c r="AB16" s="1261">
        <v>1</v>
      </c>
      <c r="AC16" s="1809">
        <v>1</v>
      </c>
    </row>
    <row r="17" spans="1:29" ht="71.25">
      <c r="A17" s="367"/>
      <c r="B17" s="556" t="s">
        <v>1258</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47"/>
      <c r="Q17" s="1260" t="str">
        <f>B17</f>
        <v>交通便捷度</v>
      </c>
      <c r="R17" s="666" t="s">
        <v>14</v>
      </c>
      <c r="S17" s="667">
        <f>F17</f>
        <v>100</v>
      </c>
      <c r="T17" s="666" t="s">
        <v>14</v>
      </c>
      <c r="U17" s="667">
        <f>H17</f>
        <v>100</v>
      </c>
      <c r="V17" s="666" t="s">
        <v>14</v>
      </c>
      <c r="W17" s="667">
        <f>J17</f>
        <v>100</v>
      </c>
      <c r="X17" s="1262"/>
      <c r="Y17" s="3440"/>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5"/>
      <c r="M18" s="2480"/>
      <c r="N18" s="2480"/>
      <c r="O18" s="2480"/>
      <c r="P18" s="3447"/>
      <c r="Q18" s="1260"/>
      <c r="R18" s="666"/>
      <c r="S18" s="667"/>
      <c r="T18" s="666"/>
      <c r="U18" s="667"/>
      <c r="V18" s="666"/>
      <c r="W18" s="667"/>
      <c r="X18" s="1262"/>
      <c r="Y18" s="3440"/>
      <c r="Z18" s="1261"/>
      <c r="AA18" s="1261">
        <v>1</v>
      </c>
      <c r="AB18" s="1261">
        <v>1</v>
      </c>
      <c r="AC18" s="1809">
        <v>1</v>
      </c>
    </row>
    <row r="19" spans="1:29" ht="42.75">
      <c r="A19" s="367"/>
      <c r="B19" s="556" t="s">
        <v>1811</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47"/>
      <c r="Q19" s="1260" t="str">
        <f>B19</f>
        <v>公共配套设施</v>
      </c>
      <c r="R19" s="666" t="s">
        <v>14</v>
      </c>
      <c r="S19" s="667">
        <f>F19</f>
        <v>100</v>
      </c>
      <c r="T19" s="666" t="s">
        <v>14</v>
      </c>
      <c r="U19" s="667">
        <f>H19</f>
        <v>100</v>
      </c>
      <c r="V19" s="666" t="s">
        <v>14</v>
      </c>
      <c r="W19" s="667">
        <f>J19</f>
        <v>100</v>
      </c>
      <c r="X19" s="1262"/>
      <c r="Y19" s="3440"/>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5"/>
      <c r="M20" s="2480"/>
      <c r="N20" s="2480"/>
      <c r="O20" s="2480"/>
      <c r="P20" s="3447"/>
      <c r="Q20" s="1260"/>
      <c r="R20" s="666"/>
      <c r="S20" s="667"/>
      <c r="T20" s="666"/>
      <c r="U20" s="667"/>
      <c r="V20" s="666"/>
      <c r="W20" s="667"/>
      <c r="X20" s="1262"/>
      <c r="Y20" s="3440"/>
      <c r="Z20" s="1261"/>
      <c r="AA20" s="1261">
        <v>1</v>
      </c>
      <c r="AB20" s="1261">
        <v>1</v>
      </c>
      <c r="AC20" s="1809">
        <v>1</v>
      </c>
    </row>
    <row r="21" spans="1:29" ht="28.5">
      <c r="A21" s="367"/>
      <c r="B21" s="557" t="s">
        <v>1812</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47"/>
      <c r="Q21" s="1260" t="str">
        <f>B21</f>
        <v>基础设施水平</v>
      </c>
      <c r="R21" s="666" t="s">
        <v>14</v>
      </c>
      <c r="S21" s="667">
        <f>F21</f>
        <v>100</v>
      </c>
      <c r="T21" s="666" t="s">
        <v>14</v>
      </c>
      <c r="U21" s="667">
        <f>H21</f>
        <v>100</v>
      </c>
      <c r="V21" s="666" t="s">
        <v>14</v>
      </c>
      <c r="W21" s="667">
        <f>J21</f>
        <v>100</v>
      </c>
      <c r="X21" s="1262"/>
      <c r="Y21" s="3440"/>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85"/>
      <c r="M22" s="2480"/>
      <c r="N22" s="2480"/>
      <c r="O22" s="2480"/>
      <c r="P22" s="3447"/>
      <c r="Q22" s="1260"/>
      <c r="R22" s="666"/>
      <c r="S22" s="667"/>
      <c r="T22" s="666"/>
      <c r="U22" s="667"/>
      <c r="V22" s="666"/>
      <c r="W22" s="667"/>
      <c r="X22" s="1262"/>
      <c r="Y22" s="3440"/>
      <c r="Z22" s="1261"/>
      <c r="AA22" s="1261">
        <v>1</v>
      </c>
      <c r="AB22" s="1261">
        <v>1</v>
      </c>
      <c r="AC22" s="1809">
        <v>1</v>
      </c>
    </row>
    <row r="23" spans="1:29" ht="42.75">
      <c r="A23" s="367"/>
      <c r="B23" s="556" t="s">
        <v>1813</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47"/>
      <c r="Q23" s="1260" t="str">
        <f>B23</f>
        <v>环境质量</v>
      </c>
      <c r="R23" s="666" t="s">
        <v>14</v>
      </c>
      <c r="S23" s="667">
        <f>F23</f>
        <v>100</v>
      </c>
      <c r="T23" s="666" t="s">
        <v>14</v>
      </c>
      <c r="U23" s="667">
        <f>H23</f>
        <v>100</v>
      </c>
      <c r="V23" s="666" t="s">
        <v>14</v>
      </c>
      <c r="W23" s="667">
        <f>J23</f>
        <v>100</v>
      </c>
      <c r="X23" s="1262"/>
      <c r="Y23" s="3440"/>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85"/>
      <c r="M24" s="2480"/>
      <c r="N24" s="2480"/>
      <c r="O24" s="2480"/>
      <c r="P24" s="3447"/>
      <c r="Q24" s="1260"/>
      <c r="R24" s="666"/>
      <c r="S24" s="667"/>
      <c r="T24" s="666"/>
      <c r="U24" s="667"/>
      <c r="V24" s="666"/>
      <c r="W24" s="667"/>
      <c r="X24" s="1262"/>
      <c r="Y24" s="3440"/>
      <c r="Z24" s="1261"/>
      <c r="AA24" s="1261">
        <v>1</v>
      </c>
      <c r="AB24" s="1261">
        <v>1</v>
      </c>
      <c r="AC24" s="1809">
        <v>1</v>
      </c>
    </row>
    <row r="25" spans="1:29" ht="27">
      <c r="A25" s="348"/>
      <c r="B25" s="556" t="s">
        <v>1814</v>
      </c>
      <c r="C25" s="1759"/>
      <c r="D25" s="374">
        <v>100</v>
      </c>
      <c r="E25" s="373"/>
      <c r="F25" s="374">
        <f>SUMIF(87:87,E26,88:88)-SUMIF(87:87,C26,88:88)+100</f>
        <v>100</v>
      </c>
      <c r="G25" s="1759"/>
      <c r="H25" s="374">
        <f>SUMIF(87:87,G26,88:88)-SUMIF(87:87,C26,88:88)+100</f>
        <v>100</v>
      </c>
      <c r="I25" s="373"/>
      <c r="J25" s="374">
        <f>SUMIF(87:87,I26,88:88)-SUMIF(87:87,C26,88:88)+100</f>
        <v>100</v>
      </c>
      <c r="K25" s="540"/>
      <c r="L25" s="2485"/>
      <c r="M25" s="2480"/>
      <c r="N25" s="2480"/>
      <c r="O25" s="2480"/>
      <c r="P25" s="3447"/>
      <c r="Q25" s="1260" t="str">
        <f>B25</f>
        <v>毗邻道路的类型与等级</v>
      </c>
      <c r="R25" s="666" t="s">
        <v>14</v>
      </c>
      <c r="S25" s="667">
        <f>F25</f>
        <v>100</v>
      </c>
      <c r="T25" s="666" t="s">
        <v>14</v>
      </c>
      <c r="U25" s="667">
        <f>H25</f>
        <v>100</v>
      </c>
      <c r="V25" s="666" t="s">
        <v>14</v>
      </c>
      <c r="W25" s="667">
        <f>J25</f>
        <v>100</v>
      </c>
      <c r="X25" s="1262"/>
      <c r="Y25" s="3440"/>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5"/>
      <c r="M26" s="2480"/>
      <c r="N26" s="2480"/>
      <c r="O26" s="2480"/>
      <c r="P26" s="3447"/>
      <c r="Q26" s="1260"/>
      <c r="R26" s="666"/>
      <c r="S26" s="667"/>
      <c r="T26" s="666"/>
      <c r="U26" s="667"/>
      <c r="V26" s="666"/>
      <c r="W26" s="667"/>
      <c r="X26" s="1262"/>
      <c r="Y26" s="3440"/>
      <c r="Z26" s="1261"/>
      <c r="AA26" s="1261">
        <v>1</v>
      </c>
      <c r="AB26" s="1261">
        <v>1</v>
      </c>
      <c r="AC26" s="1809">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47"/>
      <c r="Q27" s="1260" t="str">
        <f t="shared" ref="Q27:Q47" si="11">B27</f>
        <v>楼层</v>
      </c>
      <c r="R27" s="666" t="s">
        <v>14</v>
      </c>
      <c r="S27" s="667">
        <f>F27</f>
        <v>100</v>
      </c>
      <c r="T27" s="666" t="s">
        <v>14</v>
      </c>
      <c r="U27" s="667">
        <f>H27</f>
        <v>100</v>
      </c>
      <c r="V27" s="666" t="s">
        <v>14</v>
      </c>
      <c r="W27" s="667">
        <f>J27</f>
        <v>100</v>
      </c>
      <c r="X27" s="1262"/>
      <c r="Y27" s="3440"/>
      <c r="Z27" s="1261" t="str">
        <f>Q27</f>
        <v>楼层</v>
      </c>
      <c r="AA27" s="1261">
        <f t="shared" si="3"/>
        <v>1</v>
      </c>
      <c r="AB27" s="1261">
        <f t="shared" si="4"/>
        <v>1</v>
      </c>
      <c r="AC27" s="1809">
        <f t="shared" si="5"/>
        <v>1</v>
      </c>
    </row>
    <row r="28" spans="1:29" s="102" customFormat="1" ht="15">
      <c r="A28" s="370"/>
      <c r="B28" s="556" t="s">
        <v>1815</v>
      </c>
      <c r="C28" s="1812"/>
      <c r="D28" s="401">
        <v>100</v>
      </c>
      <c r="E28" s="1804"/>
      <c r="F28" s="401">
        <f>SUMIF(91:91,E28,92:92)-SUMIF(91:91,C28,92:92)+100</f>
        <v>100</v>
      </c>
      <c r="G28" s="1812"/>
      <c r="H28" s="401">
        <f>SUMIF(91:91,G28,92:92)-SUMIF(91:91,C28,92:92)+100</f>
        <v>100</v>
      </c>
      <c r="I28" s="1804"/>
      <c r="J28" s="401">
        <f>SUMIF(91:91,I28,92:92)-SUMIF(91:91,C28,92:92)+100</f>
        <v>100</v>
      </c>
      <c r="K28" s="538"/>
      <c r="L28" s="2481"/>
      <c r="M28" s="2433"/>
      <c r="N28" s="2433"/>
      <c r="O28" s="2433"/>
      <c r="P28" s="3447"/>
      <c r="Q28" s="530" t="str">
        <f t="shared" si="11"/>
        <v>朝向</v>
      </c>
      <c r="R28" s="663" t="s">
        <v>14</v>
      </c>
      <c r="S28" s="664">
        <f>F28</f>
        <v>100</v>
      </c>
      <c r="T28" s="663" t="s">
        <v>14</v>
      </c>
      <c r="U28" s="664">
        <f>H28</f>
        <v>100</v>
      </c>
      <c r="V28" s="663" t="s">
        <v>14</v>
      </c>
      <c r="W28" s="664">
        <f>J28</f>
        <v>100</v>
      </c>
      <c r="X28" s="665"/>
      <c r="Y28" s="3440"/>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5"/>
      <c r="M29" s="2480"/>
      <c r="N29" s="2480"/>
      <c r="O29" s="2480"/>
      <c r="P29" s="3447"/>
      <c r="Q29" s="1260">
        <f t="shared" si="11"/>
        <v>111</v>
      </c>
      <c r="R29" s="666" t="s">
        <v>14</v>
      </c>
      <c r="S29" s="667">
        <f t="shared" ref="S29:S47" si="12">F29</f>
        <v>100</v>
      </c>
      <c r="T29" s="666" t="s">
        <v>14</v>
      </c>
      <c r="U29" s="667">
        <f t="shared" ref="U29:U47" si="13">H29</f>
        <v>100</v>
      </c>
      <c r="V29" s="666" t="s">
        <v>14</v>
      </c>
      <c r="W29" s="667">
        <f t="shared" ref="W29:W47" si="14">J29</f>
        <v>100</v>
      </c>
      <c r="X29" s="1262"/>
      <c r="Y29" s="3440"/>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5"/>
      <c r="M30" s="2480"/>
      <c r="N30" s="2480"/>
      <c r="O30" s="2480"/>
      <c r="P30" s="3447"/>
      <c r="Q30" s="1260">
        <f t="shared" si="11"/>
        <v>111</v>
      </c>
      <c r="R30" s="666" t="s">
        <v>14</v>
      </c>
      <c r="S30" s="667">
        <f t="shared" si="12"/>
        <v>100</v>
      </c>
      <c r="T30" s="666" t="s">
        <v>14</v>
      </c>
      <c r="U30" s="667">
        <f t="shared" si="13"/>
        <v>100</v>
      </c>
      <c r="V30" s="666" t="s">
        <v>14</v>
      </c>
      <c r="W30" s="667">
        <f t="shared" si="14"/>
        <v>100</v>
      </c>
      <c r="X30" s="1262"/>
      <c r="Y30" s="3440"/>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5"/>
      <c r="M31" s="2480"/>
      <c r="N31" s="2480"/>
      <c r="O31" s="2480"/>
      <c r="P31" s="3447"/>
      <c r="Q31" s="1260">
        <f t="shared" si="11"/>
        <v>111</v>
      </c>
      <c r="R31" s="666" t="s">
        <v>14</v>
      </c>
      <c r="S31" s="667">
        <f t="shared" si="12"/>
        <v>100</v>
      </c>
      <c r="T31" s="666" t="s">
        <v>14</v>
      </c>
      <c r="U31" s="667">
        <f t="shared" si="13"/>
        <v>100</v>
      </c>
      <c r="V31" s="666" t="s">
        <v>14</v>
      </c>
      <c r="W31" s="667">
        <f t="shared" si="14"/>
        <v>100</v>
      </c>
      <c r="X31" s="1262"/>
      <c r="Y31" s="3440"/>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5"/>
      <c r="M32" s="2480"/>
      <c r="N32" s="2480"/>
      <c r="O32" s="2480"/>
      <c r="P32" s="3447"/>
      <c r="Q32" s="1260">
        <f t="shared" si="11"/>
        <v>111</v>
      </c>
      <c r="R32" s="666" t="s">
        <v>14</v>
      </c>
      <c r="S32" s="667">
        <f t="shared" si="12"/>
        <v>100</v>
      </c>
      <c r="T32" s="666" t="s">
        <v>14</v>
      </c>
      <c r="U32" s="667">
        <f t="shared" si="13"/>
        <v>100</v>
      </c>
      <c r="V32" s="666" t="s">
        <v>14</v>
      </c>
      <c r="W32" s="667">
        <f t="shared" si="14"/>
        <v>100</v>
      </c>
      <c r="X32" s="1262"/>
      <c r="Y32" s="3440"/>
      <c r="Z32" s="1261">
        <f t="shared" si="15"/>
        <v>111</v>
      </c>
      <c r="AA32" s="1261">
        <f t="shared" si="3"/>
        <v>1</v>
      </c>
      <c r="AB32" s="1261">
        <f t="shared" si="4"/>
        <v>1</v>
      </c>
      <c r="AC32" s="1809">
        <f t="shared" si="5"/>
        <v>1</v>
      </c>
    </row>
    <row r="33" spans="1:29" ht="15">
      <c r="A33" s="379" t="s">
        <v>1693</v>
      </c>
      <c r="B33" s="60" t="s">
        <v>1816</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5"/>
      <c r="M33" s="2480"/>
      <c r="N33" s="2480"/>
      <c r="O33" s="2480"/>
      <c r="P33" s="3441" t="s">
        <v>1695</v>
      </c>
      <c r="Q33" s="1260" t="str">
        <f t="shared" si="11"/>
        <v>建筑类型</v>
      </c>
      <c r="R33" s="666" t="s">
        <v>14</v>
      </c>
      <c r="S33" s="667">
        <f t="shared" si="12"/>
        <v>100</v>
      </c>
      <c r="T33" s="666" t="s">
        <v>14</v>
      </c>
      <c r="U33" s="667">
        <f t="shared" si="13"/>
        <v>100</v>
      </c>
      <c r="V33" s="666" t="s">
        <v>14</v>
      </c>
      <c r="W33" s="667">
        <f t="shared" si="14"/>
        <v>100</v>
      </c>
      <c r="X33" s="1262"/>
      <c r="Y33" s="3444" t="s">
        <v>1695</v>
      </c>
      <c r="Z33" s="1261" t="str">
        <f t="shared" si="15"/>
        <v>建筑类型</v>
      </c>
      <c r="AA33" s="1261">
        <f t="shared" si="3"/>
        <v>1</v>
      </c>
      <c r="AB33" s="1261">
        <f t="shared" si="4"/>
        <v>1</v>
      </c>
      <c r="AC33" s="1809">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42"/>
      <c r="Q34" s="531" t="str">
        <f t="shared" si="11"/>
        <v>项目建筑规模</v>
      </c>
      <c r="R34" s="668" t="s">
        <v>14</v>
      </c>
      <c r="S34" s="669" t="e">
        <f t="shared" si="12"/>
        <v>#N/A</v>
      </c>
      <c r="T34" s="668" t="s">
        <v>14</v>
      </c>
      <c r="U34" s="669" t="e">
        <f t="shared" si="13"/>
        <v>#N/A</v>
      </c>
      <c r="V34" s="668" t="s">
        <v>14</v>
      </c>
      <c r="W34" s="669" t="e">
        <f t="shared" si="14"/>
        <v>#N/A</v>
      </c>
      <c r="X34" s="670"/>
      <c r="Y34" s="3444"/>
      <c r="Z34" s="671" t="str">
        <f t="shared" si="15"/>
        <v>项目建筑规模</v>
      </c>
      <c r="AA34" s="1261" t="e">
        <f t="shared" si="3"/>
        <v>#N/A</v>
      </c>
      <c r="AB34" s="1261" t="e">
        <f t="shared" si="4"/>
        <v>#N/A</v>
      </c>
      <c r="AC34" s="1809"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42"/>
      <c r="Q35" s="1260" t="str">
        <f t="shared" si="11"/>
        <v>建筑结构</v>
      </c>
      <c r="R35" s="666" t="s">
        <v>14</v>
      </c>
      <c r="S35" s="667">
        <f t="shared" si="12"/>
        <v>100</v>
      </c>
      <c r="T35" s="666" t="s">
        <v>14</v>
      </c>
      <c r="U35" s="667">
        <f t="shared" si="13"/>
        <v>100</v>
      </c>
      <c r="V35" s="666" t="s">
        <v>14</v>
      </c>
      <c r="W35" s="667">
        <f t="shared" si="14"/>
        <v>100</v>
      </c>
      <c r="X35" s="1262"/>
      <c r="Y35" s="3444"/>
      <c r="Z35" s="1261" t="str">
        <f t="shared" si="15"/>
        <v>建筑结构</v>
      </c>
      <c r="AA35" s="1261">
        <f t="shared" si="3"/>
        <v>1</v>
      </c>
      <c r="AB35" s="1261">
        <f t="shared" si="4"/>
        <v>1</v>
      </c>
      <c r="AC35" s="1809">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42"/>
      <c r="Q36" s="1260" t="str">
        <f t="shared" si="11"/>
        <v>公共部分装修</v>
      </c>
      <c r="R36" s="666" t="s">
        <v>14</v>
      </c>
      <c r="S36" s="667">
        <f t="shared" si="12"/>
        <v>100</v>
      </c>
      <c r="T36" s="666" t="s">
        <v>14</v>
      </c>
      <c r="U36" s="667">
        <f t="shared" si="13"/>
        <v>100</v>
      </c>
      <c r="V36" s="666" t="s">
        <v>14</v>
      </c>
      <c r="W36" s="667">
        <f t="shared" si="14"/>
        <v>100</v>
      </c>
      <c r="X36" s="1262"/>
      <c r="Y36" s="3444"/>
      <c r="Z36" s="1261" t="str">
        <f t="shared" si="15"/>
        <v>公共部分装修</v>
      </c>
      <c r="AA36" s="1261">
        <f t="shared" si="3"/>
        <v>1</v>
      </c>
      <c r="AB36" s="1261">
        <f t="shared" si="4"/>
        <v>1</v>
      </c>
      <c r="AC36" s="1809">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42"/>
      <c r="Q37" s="1260" t="str">
        <f t="shared" si="11"/>
        <v>成新度</v>
      </c>
      <c r="R37" s="666" t="s">
        <v>14</v>
      </c>
      <c r="S37" s="667" t="e">
        <f t="shared" si="12"/>
        <v>#N/A</v>
      </c>
      <c r="T37" s="666" t="s">
        <v>14</v>
      </c>
      <c r="U37" s="667" t="e">
        <f t="shared" si="13"/>
        <v>#N/A</v>
      </c>
      <c r="V37" s="666" t="s">
        <v>14</v>
      </c>
      <c r="W37" s="667" t="e">
        <f t="shared" si="14"/>
        <v>#N/A</v>
      </c>
      <c r="X37" s="1262"/>
      <c r="Y37" s="3444"/>
      <c r="Z37" s="1261" t="str">
        <f t="shared" si="15"/>
        <v>成新度</v>
      </c>
      <c r="AA37" s="1261" t="e">
        <f t="shared" si="3"/>
        <v>#N/A</v>
      </c>
      <c r="AB37" s="1261" t="e">
        <f t="shared" si="4"/>
        <v>#N/A</v>
      </c>
      <c r="AC37" s="1809"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42"/>
      <c r="Q38" s="530" t="str">
        <f t="shared" si="11"/>
        <v>写字楼等级</v>
      </c>
      <c r="R38" s="663" t="s">
        <v>14</v>
      </c>
      <c r="S38" s="664">
        <f t="shared" si="12"/>
        <v>100</v>
      </c>
      <c r="T38" s="663" t="s">
        <v>14</v>
      </c>
      <c r="U38" s="664">
        <f t="shared" si="13"/>
        <v>100</v>
      </c>
      <c r="V38" s="663" t="s">
        <v>14</v>
      </c>
      <c r="W38" s="664">
        <f t="shared" si="14"/>
        <v>100</v>
      </c>
      <c r="X38" s="665"/>
      <c r="Y38" s="344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42" t="s">
        <v>1695</v>
      </c>
      <c r="Q39" s="1260" t="str">
        <f t="shared" si="11"/>
        <v>物业管理</v>
      </c>
      <c r="R39" s="666" t="s">
        <v>14</v>
      </c>
      <c r="S39" s="667">
        <f t="shared" si="12"/>
        <v>100</v>
      </c>
      <c r="T39" s="666" t="s">
        <v>14</v>
      </c>
      <c r="U39" s="667">
        <f t="shared" si="13"/>
        <v>100</v>
      </c>
      <c r="V39" s="666" t="s">
        <v>14</v>
      </c>
      <c r="W39" s="667">
        <f t="shared" si="14"/>
        <v>100</v>
      </c>
      <c r="X39" s="1262"/>
      <c r="Y39" s="3444" t="s">
        <v>1695</v>
      </c>
      <c r="Z39" s="1261" t="str">
        <f t="shared" si="15"/>
        <v>物业管理</v>
      </c>
      <c r="AA39" s="1261">
        <f t="shared" si="3"/>
        <v>1</v>
      </c>
      <c r="AB39" s="1261">
        <f t="shared" si="4"/>
        <v>1</v>
      </c>
      <c r="AC39" s="1809">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42"/>
      <c r="Q40" s="1260" t="str">
        <f t="shared" si="11"/>
        <v>市政基础设施</v>
      </c>
      <c r="R40" s="666" t="s">
        <v>14</v>
      </c>
      <c r="S40" s="667">
        <f t="shared" si="12"/>
        <v>100</v>
      </c>
      <c r="T40" s="666" t="s">
        <v>14</v>
      </c>
      <c r="U40" s="667">
        <f t="shared" si="13"/>
        <v>100</v>
      </c>
      <c r="V40" s="666" t="s">
        <v>14</v>
      </c>
      <c r="W40" s="667">
        <f t="shared" si="14"/>
        <v>100</v>
      </c>
      <c r="X40" s="1262"/>
      <c r="Y40" s="3444"/>
      <c r="Z40" s="1261" t="str">
        <f t="shared" si="15"/>
        <v>市政基础设施</v>
      </c>
      <c r="AA40" s="1261">
        <f t="shared" si="3"/>
        <v>1</v>
      </c>
      <c r="AB40" s="1261">
        <f t="shared" si="4"/>
        <v>1</v>
      </c>
      <c r="AC40" s="1809">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42"/>
      <c r="Q41" s="1260" t="str">
        <f t="shared" si="11"/>
        <v>层高</v>
      </c>
      <c r="R41" s="666" t="s">
        <v>14</v>
      </c>
      <c r="S41" s="667">
        <f t="shared" si="12"/>
        <v>100</v>
      </c>
      <c r="T41" s="666" t="s">
        <v>14</v>
      </c>
      <c r="U41" s="667">
        <f t="shared" si="13"/>
        <v>100</v>
      </c>
      <c r="V41" s="666" t="s">
        <v>14</v>
      </c>
      <c r="W41" s="667">
        <f t="shared" si="14"/>
        <v>100</v>
      </c>
      <c r="X41" s="1262"/>
      <c r="Y41" s="3444"/>
      <c r="Z41" s="1261" t="str">
        <f t="shared" si="15"/>
        <v>层高</v>
      </c>
      <c r="AA41" s="1261">
        <f t="shared" si="3"/>
        <v>1</v>
      </c>
      <c r="AB41" s="1261">
        <f t="shared" si="4"/>
        <v>1</v>
      </c>
      <c r="AC41" s="1809">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42"/>
      <c r="Q42" s="531" t="str">
        <f t="shared" si="11"/>
        <v>单套建筑面积</v>
      </c>
      <c r="R42" s="668" t="s">
        <v>14</v>
      </c>
      <c r="S42" s="669">
        <f t="shared" si="12"/>
        <v>100</v>
      </c>
      <c r="T42" s="668" t="s">
        <v>14</v>
      </c>
      <c r="U42" s="669">
        <f t="shared" si="13"/>
        <v>100</v>
      </c>
      <c r="V42" s="668" t="s">
        <v>14</v>
      </c>
      <c r="W42" s="669">
        <f t="shared" si="14"/>
        <v>100</v>
      </c>
      <c r="X42" s="670"/>
      <c r="Y42" s="3444"/>
      <c r="Z42" s="671" t="str">
        <f t="shared" si="15"/>
        <v>单套建筑面积</v>
      </c>
      <c r="AA42" s="1261">
        <f t="shared" si="3"/>
        <v>1</v>
      </c>
      <c r="AB42" s="1261">
        <f t="shared" si="4"/>
        <v>1</v>
      </c>
      <c r="AC42" s="1809">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42"/>
      <c r="Q43" s="1260" t="str">
        <f t="shared" si="11"/>
        <v>内部装修</v>
      </c>
      <c r="R43" s="666" t="s">
        <v>14</v>
      </c>
      <c r="S43" s="667">
        <f t="shared" si="12"/>
        <v>100</v>
      </c>
      <c r="T43" s="666" t="s">
        <v>14</v>
      </c>
      <c r="U43" s="667">
        <f t="shared" si="13"/>
        <v>100</v>
      </c>
      <c r="V43" s="666" t="s">
        <v>14</v>
      </c>
      <c r="W43" s="667">
        <f t="shared" si="14"/>
        <v>100</v>
      </c>
      <c r="X43" s="1262"/>
      <c r="Y43" s="3444"/>
      <c r="Z43" s="1261" t="str">
        <f t="shared" si="15"/>
        <v>内部装修</v>
      </c>
      <c r="AA43" s="1261">
        <f t="shared" si="3"/>
        <v>1</v>
      </c>
      <c r="AB43" s="1261">
        <f t="shared" si="4"/>
        <v>1</v>
      </c>
      <c r="AC43" s="1809">
        <f t="shared" si="5"/>
        <v>1</v>
      </c>
    </row>
    <row r="44" spans="1:29" ht="15">
      <c r="A44" s="409"/>
      <c r="B44" s="364" t="s">
        <v>1706</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5"/>
      <c r="M44" s="2480"/>
      <c r="N44" s="2480"/>
      <c r="O44" s="2480"/>
      <c r="P44" s="3442"/>
      <c r="Q44" s="1260" t="str">
        <f t="shared" si="11"/>
        <v>内部装修维护情况</v>
      </c>
      <c r="R44" s="666" t="s">
        <v>14</v>
      </c>
      <c r="S44" s="667">
        <f t="shared" si="12"/>
        <v>100</v>
      </c>
      <c r="T44" s="666" t="s">
        <v>14</v>
      </c>
      <c r="U44" s="667">
        <f t="shared" si="13"/>
        <v>100</v>
      </c>
      <c r="V44" s="666" t="s">
        <v>14</v>
      </c>
      <c r="W44" s="667">
        <f t="shared" si="14"/>
        <v>100</v>
      </c>
      <c r="X44" s="1262"/>
      <c r="Y44" s="3444"/>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42"/>
      <c r="Q45" s="530">
        <f t="shared" si="11"/>
        <v>111</v>
      </c>
      <c r="R45" s="663" t="s">
        <v>14</v>
      </c>
      <c r="S45" s="664">
        <f t="shared" si="12"/>
        <v>100</v>
      </c>
      <c r="T45" s="663" t="s">
        <v>14</v>
      </c>
      <c r="U45" s="664">
        <f t="shared" si="13"/>
        <v>100</v>
      </c>
      <c r="V45" s="663" t="s">
        <v>14</v>
      </c>
      <c r="W45" s="664">
        <f t="shared" si="14"/>
        <v>100</v>
      </c>
      <c r="X45" s="665"/>
      <c r="Y45" s="3444"/>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42"/>
      <c r="Q46" s="1260">
        <f t="shared" si="11"/>
        <v>111</v>
      </c>
      <c r="R46" s="666" t="s">
        <v>14</v>
      </c>
      <c r="S46" s="667">
        <f t="shared" si="12"/>
        <v>100</v>
      </c>
      <c r="T46" s="666" t="s">
        <v>14</v>
      </c>
      <c r="U46" s="667">
        <f t="shared" si="13"/>
        <v>100</v>
      </c>
      <c r="V46" s="666" t="s">
        <v>14</v>
      </c>
      <c r="W46" s="667">
        <f t="shared" si="14"/>
        <v>100</v>
      </c>
      <c r="X46" s="1262"/>
      <c r="Y46" s="3444"/>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43"/>
      <c r="Q47" s="1260">
        <f t="shared" si="11"/>
        <v>111</v>
      </c>
      <c r="R47" s="666" t="s">
        <v>14</v>
      </c>
      <c r="S47" s="667">
        <f t="shared" si="12"/>
        <v>100</v>
      </c>
      <c r="T47" s="666" t="s">
        <v>14</v>
      </c>
      <c r="U47" s="667">
        <f t="shared" si="13"/>
        <v>100</v>
      </c>
      <c r="V47" s="666" t="s">
        <v>14</v>
      </c>
      <c r="W47" s="667">
        <f t="shared" si="14"/>
        <v>100</v>
      </c>
      <c r="X47" s="1262"/>
      <c r="Y47" s="3445"/>
      <c r="Z47" s="1261">
        <f t="shared" si="15"/>
        <v>111</v>
      </c>
      <c r="AA47" s="1261">
        <f t="shared" si="3"/>
        <v>1</v>
      </c>
      <c r="AB47" s="1261">
        <f t="shared" si="4"/>
        <v>1</v>
      </c>
      <c r="AC47" s="1809">
        <f t="shared" si="5"/>
        <v>1</v>
      </c>
    </row>
    <row r="48" spans="1:29" ht="15">
      <c r="A48" s="416" t="s">
        <v>1707</v>
      </c>
      <c r="B48" s="417"/>
      <c r="C48" s="1078" t="s">
        <v>0</v>
      </c>
      <c r="D48" s="418"/>
      <c r="E48" s="419"/>
      <c r="F48" s="420"/>
      <c r="G48" s="421"/>
      <c r="H48" s="422"/>
      <c r="I48" s="419"/>
      <c r="J48" s="422"/>
      <c r="K48" s="673"/>
      <c r="L48" s="2487"/>
      <c r="M48" s="2480"/>
      <c r="N48" s="2480"/>
      <c r="O48" s="2480"/>
      <c r="P48" s="3420" t="str">
        <f>A48</f>
        <v>成交单价（元/平方米）</v>
      </c>
      <c r="Q48" s="3438"/>
      <c r="R48" s="3433">
        <f>E48</f>
        <v>0</v>
      </c>
      <c r="S48" s="3433"/>
      <c r="T48" s="3433">
        <f>G48</f>
        <v>0</v>
      </c>
      <c r="U48" s="3433"/>
      <c r="V48" s="3433">
        <f>I48</f>
        <v>0</v>
      </c>
      <c r="W48" s="3433"/>
      <c r="X48" s="385"/>
      <c r="Y48" s="672"/>
      <c r="Z48" s="385"/>
      <c r="AA48" s="385"/>
      <c r="AB48" s="385"/>
      <c r="AC48" s="555"/>
    </row>
    <row r="49" spans="1:29" ht="15.75" thickBot="1">
      <c r="A49" s="423" t="s">
        <v>1792</v>
      </c>
      <c r="B49" s="424"/>
      <c r="C49" s="1079" t="e">
        <f>R50</f>
        <v>#DIV/0!</v>
      </c>
      <c r="D49" s="2138" t="s">
        <v>2137</v>
      </c>
      <c r="E49" s="1080" t="e">
        <f>R49</f>
        <v>#DIV/0!</v>
      </c>
      <c r="F49" s="2139"/>
      <c r="G49" s="1079" t="e">
        <f>T49</f>
        <v>#DIV/0!</v>
      </c>
      <c r="H49" s="2139"/>
      <c r="I49" s="1080" t="e">
        <f>V49</f>
        <v>#DIV/0!</v>
      </c>
      <c r="J49" s="2139"/>
      <c r="K49" s="2141">
        <f>F49+H49+J49</f>
        <v>0</v>
      </c>
      <c r="L49" s="2487"/>
      <c r="M49" s="2480"/>
      <c r="N49" s="2480"/>
      <c r="O49" s="2480"/>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5"/>
      <c r="Y49" s="385"/>
      <c r="Z49" s="385"/>
      <c r="AA49" s="385"/>
      <c r="AB49" s="385"/>
      <c r="AC49" s="555"/>
    </row>
    <row r="50" spans="1:29" ht="15.75" thickBot="1">
      <c r="A50" s="427" t="s">
        <v>1793</v>
      </c>
      <c r="B50" s="428"/>
      <c r="C50" s="351" t="e">
        <f>R50</f>
        <v>#DIV/0!</v>
      </c>
      <c r="D50" s="351"/>
      <c r="E50" s="351"/>
      <c r="F50" s="351"/>
      <c r="G50" s="351"/>
      <c r="H50" s="351"/>
      <c r="I50" s="351"/>
      <c r="J50" s="429"/>
      <c r="K50" s="674"/>
      <c r="L50" s="2487"/>
      <c r="M50" s="2480"/>
      <c r="N50" s="2480"/>
      <c r="O50" s="2480"/>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1797</v>
      </c>
      <c r="B58" s="385"/>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2" customFormat="1" ht="15">
      <c r="A59" s="440" t="s">
        <v>1678</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0"/>
      <c r="Q59" s="2503"/>
      <c r="R59" s="2503"/>
      <c r="S59" s="2503"/>
      <c r="T59" s="2503"/>
      <c r="U59" s="2503"/>
      <c r="V59" s="2503"/>
      <c r="W59" s="2503"/>
      <c r="X59" s="2503"/>
      <c r="Y59" s="2503"/>
      <c r="Z59" s="2503"/>
      <c r="AA59" s="2503"/>
      <c r="AB59" s="2503"/>
      <c r="AC59" s="2503"/>
    </row>
    <row r="60" spans="1:29" s="102" customFormat="1" ht="15">
      <c r="A60" s="443"/>
      <c r="B60" s="444"/>
      <c r="C60" s="1099">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75" thickBot="1">
      <c r="A61" s="449" t="s">
        <v>1715</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5">
      <c r="A62" s="455" t="s">
        <v>1680</v>
      </c>
      <c r="B62" s="444"/>
      <c r="C62" s="456" t="s">
        <v>1775</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c r="A64" s="379" t="s">
        <v>1718</v>
      </c>
      <c r="B64" s="460" t="s">
        <v>1684</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1687</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1689</v>
      </c>
      <c r="B77" s="460" t="s">
        <v>1820</v>
      </c>
      <c r="C77" s="504" t="s">
        <v>1720</v>
      </c>
      <c r="D77" s="504" t="s">
        <v>1721</v>
      </c>
      <c r="E77" s="504" t="s">
        <v>1722</v>
      </c>
      <c r="F77" s="504" t="s">
        <v>1723</v>
      </c>
      <c r="G77" s="504" t="s">
        <v>1724</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1725</v>
      </c>
      <c r="C79" s="509" t="s">
        <v>1720</v>
      </c>
      <c r="D79" s="509" t="s">
        <v>1721</v>
      </c>
      <c r="E79" s="509" t="s">
        <v>1722</v>
      </c>
      <c r="F79" s="509" t="s">
        <v>1723</v>
      </c>
      <c r="G79" s="509" t="s">
        <v>1724</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1726</v>
      </c>
      <c r="C81" s="509" t="s">
        <v>1720</v>
      </c>
      <c r="D81" s="509" t="s">
        <v>1721</v>
      </c>
      <c r="E81" s="509" t="s">
        <v>1722</v>
      </c>
      <c r="F81" s="509" t="s">
        <v>1723</v>
      </c>
      <c r="G81" s="509" t="s">
        <v>1724</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1812</v>
      </c>
      <c r="C83" s="581" t="s">
        <v>1798</v>
      </c>
      <c r="D83" s="581" t="s">
        <v>1799</v>
      </c>
      <c r="E83" s="581" t="s">
        <v>1800</v>
      </c>
      <c r="F83" s="581" t="s">
        <v>1801</v>
      </c>
      <c r="G83" s="581" t="s">
        <v>1802</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1821</v>
      </c>
      <c r="C85" s="509" t="s">
        <v>1720</v>
      </c>
      <c r="D85" s="509" t="s">
        <v>1721</v>
      </c>
      <c r="E85" s="509" t="s">
        <v>1722</v>
      </c>
      <c r="F85" s="509" t="s">
        <v>1723</v>
      </c>
      <c r="G85" s="509" t="s">
        <v>1724</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1822</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7"/>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60" t="s">
        <v>1735</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1737</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1739</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1823</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1740</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1741</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1824</v>
      </c>
      <c r="C119" s="513"/>
      <c r="D119" s="513"/>
      <c r="E119" s="513"/>
      <c r="F119" s="513"/>
      <c r="G119" s="513"/>
      <c r="H119" s="513"/>
      <c r="I119" s="513"/>
      <c r="J119" s="513"/>
      <c r="K119" s="513"/>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1807</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1743</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1659</v>
      </c>
      <c r="B1" s="1805" t="s">
        <v>1825</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6436.4900000000007</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421" t="s">
        <v>1769</v>
      </c>
      <c r="D4" s="3422"/>
      <c r="E4" s="3423" t="s">
        <v>1770</v>
      </c>
      <c r="F4" s="3424"/>
      <c r="G4" s="3421" t="s">
        <v>1771</v>
      </c>
      <c r="H4" s="3422"/>
      <c r="I4" s="3421" t="s">
        <v>1772</v>
      </c>
      <c r="J4" s="3422"/>
      <c r="K4" s="537" t="s">
        <v>1773</v>
      </c>
      <c r="L4" s="859"/>
      <c r="M4" s="860"/>
      <c r="N4" s="860"/>
      <c r="O4" s="860"/>
      <c r="P4" s="3425" t="s">
        <v>1774</v>
      </c>
      <c r="Q4" s="3426"/>
      <c r="R4" s="3408" t="s">
        <v>1770</v>
      </c>
      <c r="S4" s="3409"/>
      <c r="T4" s="3408" t="s">
        <v>1771</v>
      </c>
      <c r="U4" s="3409"/>
      <c r="V4" s="3433" t="s">
        <v>1772</v>
      </c>
      <c r="W4" s="3433"/>
      <c r="X4" s="1262"/>
      <c r="Y4" s="3408" t="s">
        <v>1774</v>
      </c>
      <c r="Z4" s="3409"/>
      <c r="AA4" s="3403" t="s">
        <v>1770</v>
      </c>
      <c r="AB4" s="3404" t="s">
        <v>1771</v>
      </c>
      <c r="AC4" s="3403" t="s">
        <v>1772</v>
      </c>
    </row>
    <row r="5" spans="1:29" ht="15">
      <c r="A5" s="348"/>
      <c r="B5" s="349"/>
      <c r="C5" s="3414" t="s">
        <v>1672</v>
      </c>
      <c r="D5" s="3415"/>
      <c r="E5" s="3412" t="s">
        <v>1673</v>
      </c>
      <c r="F5" s="3413"/>
      <c r="G5" s="3414" t="s">
        <v>1674</v>
      </c>
      <c r="H5" s="3415"/>
      <c r="I5" s="3414" t="s">
        <v>1675</v>
      </c>
      <c r="J5" s="3415"/>
      <c r="K5" s="537"/>
      <c r="L5" s="859"/>
      <c r="M5" s="860"/>
      <c r="N5" s="860"/>
      <c r="O5" s="860"/>
      <c r="P5" s="3427"/>
      <c r="Q5" s="3428"/>
      <c r="R5" s="3410"/>
      <c r="S5" s="3411"/>
      <c r="T5" s="3410"/>
      <c r="U5" s="3411"/>
      <c r="V5" s="3433"/>
      <c r="W5" s="3433"/>
      <c r="X5" s="1262"/>
      <c r="Y5" s="3410"/>
      <c r="Z5" s="3411"/>
      <c r="AA5" s="3404"/>
      <c r="AB5" s="3404"/>
      <c r="AC5" s="3404"/>
    </row>
    <row r="6" spans="1:29" ht="15.75" thickBot="1">
      <c r="A6" s="350"/>
      <c r="B6" s="351"/>
      <c r="C6" s="3416" t="s">
        <v>1676</v>
      </c>
      <c r="D6" s="3417"/>
      <c r="E6" s="3418" t="s">
        <v>1676</v>
      </c>
      <c r="F6" s="3419"/>
      <c r="G6" s="3416" t="s">
        <v>1676</v>
      </c>
      <c r="H6" s="3417"/>
      <c r="I6" s="3416" t="s">
        <v>1676</v>
      </c>
      <c r="J6" s="3417"/>
      <c r="K6" s="537" t="s">
        <v>1677</v>
      </c>
      <c r="L6" s="859"/>
      <c r="M6" s="860"/>
      <c r="N6" s="860"/>
      <c r="O6" s="86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1"/>
      <c r="M7" s="862"/>
      <c r="N7" s="862"/>
      <c r="O7" s="862"/>
      <c r="P7" s="3406" t="s">
        <v>1679</v>
      </c>
      <c r="Q7" s="3434"/>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6" t="s">
        <v>1682</v>
      </c>
      <c r="Q8" s="3407"/>
      <c r="R8" s="663" t="s">
        <v>14</v>
      </c>
      <c r="S8" s="664">
        <f t="shared" si="0"/>
        <v>100</v>
      </c>
      <c r="T8" s="663" t="s">
        <v>14</v>
      </c>
      <c r="U8" s="664">
        <f t="shared" si="1"/>
        <v>100</v>
      </c>
      <c r="V8" s="663" t="s">
        <v>14</v>
      </c>
      <c r="W8" s="664">
        <f t="shared" si="2"/>
        <v>100</v>
      </c>
      <c r="X8" s="665"/>
      <c r="Y8" s="3406" t="s">
        <v>1682</v>
      </c>
      <c r="Z8" s="340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38"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50">
        <f t="shared" si="5"/>
        <v>1</v>
      </c>
    </row>
    <row r="10" spans="1:29" s="366" customFormat="1" ht="27">
      <c r="A10" s="363"/>
      <c r="B10" s="364" t="s">
        <v>1687</v>
      </c>
      <c r="C10" s="3125"/>
      <c r="D10" s="119">
        <v>100</v>
      </c>
      <c r="E10" s="3125"/>
      <c r="F10" s="119">
        <f>SUMIF(59:59,E10,60:60)-SUMIF(59:59,C10,60:60)+100</f>
        <v>100</v>
      </c>
      <c r="G10" s="3126"/>
      <c r="H10" s="119">
        <f>SUMIF(59:59,G10,60:60)-SUMIF(59:59,C10,60:60)+100</f>
        <v>100</v>
      </c>
      <c r="I10" s="3125"/>
      <c r="J10" s="119">
        <f>SUMIF(59:59,I10,60:60)-SUMIF(59:59,C10,60:60)+100</f>
        <v>100</v>
      </c>
      <c r="K10" s="38"/>
      <c r="L10" s="864"/>
      <c r="M10" s="865"/>
      <c r="N10" s="865"/>
      <c r="O10" s="866"/>
      <c r="P10" s="3438"/>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38"/>
      <c r="Q11" s="530" t="str">
        <f t="shared" si="6"/>
        <v>容积率</v>
      </c>
      <c r="R11" s="663" t="s">
        <v>14</v>
      </c>
      <c r="S11" s="664">
        <f t="shared" si="0"/>
        <v>100</v>
      </c>
      <c r="T11" s="663" t="s">
        <v>14</v>
      </c>
      <c r="U11" s="664">
        <f t="shared" si="1"/>
        <v>100</v>
      </c>
      <c r="V11" s="663" t="s">
        <v>14</v>
      </c>
      <c r="W11" s="664">
        <f t="shared" si="2"/>
        <v>100</v>
      </c>
      <c r="X11" s="665"/>
      <c r="Y11" s="33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1"/>
      <c r="M12" s="862"/>
      <c r="N12" s="862"/>
      <c r="O12" s="863"/>
      <c r="P12" s="3438"/>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9"/>
      <c r="M13" s="860"/>
      <c r="N13" s="860"/>
      <c r="O13" s="868"/>
      <c r="P13" s="3438"/>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9"/>
      <c r="M14" s="860"/>
      <c r="N14" s="860"/>
      <c r="O14" s="868"/>
      <c r="P14" s="3438"/>
      <c r="Q14" s="530">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57">
      <c r="A15" s="379" t="s">
        <v>1689</v>
      </c>
      <c r="B15" s="58" t="s">
        <v>1826</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9" t="s">
        <v>1690</v>
      </c>
      <c r="Q15" s="1260" t="str">
        <f t="shared" si="6"/>
        <v>产业集聚程度</v>
      </c>
      <c r="R15" s="666" t="s">
        <v>14</v>
      </c>
      <c r="S15" s="667">
        <f t="shared" si="0"/>
        <v>100</v>
      </c>
      <c r="T15" s="666" t="s">
        <v>14</v>
      </c>
      <c r="U15" s="667">
        <f t="shared" si="1"/>
        <v>100</v>
      </c>
      <c r="V15" s="666" t="s">
        <v>14</v>
      </c>
      <c r="W15" s="667">
        <f t="shared" si="2"/>
        <v>100</v>
      </c>
      <c r="X15" s="1262"/>
      <c r="Y15" s="3439" t="s">
        <v>1690</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9"/>
      <c r="M16" s="860"/>
      <c r="N16" s="860"/>
      <c r="O16" s="868"/>
      <c r="P16" s="3440"/>
      <c r="Q16" s="1260"/>
      <c r="R16" s="666"/>
      <c r="S16" s="667"/>
      <c r="T16" s="666"/>
      <c r="U16" s="667"/>
      <c r="V16" s="666"/>
      <c r="W16" s="667"/>
      <c r="X16" s="1262"/>
      <c r="Y16" s="3440"/>
      <c r="Z16" s="1261"/>
      <c r="AA16" s="1261">
        <v>1</v>
      </c>
      <c r="AB16" s="1261">
        <v>1</v>
      </c>
      <c r="AC16" s="1261">
        <v>1</v>
      </c>
    </row>
    <row r="17" spans="1:29" ht="85.5">
      <c r="A17" s="367"/>
      <c r="B17" s="390" t="s">
        <v>1258</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40"/>
      <c r="Q17" s="1260" t="str">
        <f>B17</f>
        <v>交通便捷度</v>
      </c>
      <c r="R17" s="666" t="s">
        <v>14</v>
      </c>
      <c r="S17" s="667">
        <f>F17</f>
        <v>100</v>
      </c>
      <c r="T17" s="666" t="s">
        <v>14</v>
      </c>
      <c r="U17" s="667">
        <f>H17</f>
        <v>100</v>
      </c>
      <c r="V17" s="666" t="s">
        <v>14</v>
      </c>
      <c r="W17" s="667">
        <f>J17</f>
        <v>100</v>
      </c>
      <c r="X17" s="1262"/>
      <c r="Y17" s="3440"/>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9"/>
      <c r="M18" s="860"/>
      <c r="N18" s="860"/>
      <c r="O18" s="868"/>
      <c r="P18" s="3440"/>
      <c r="Q18" s="1260"/>
      <c r="R18" s="666"/>
      <c r="S18" s="667"/>
      <c r="T18" s="666"/>
      <c r="U18" s="667"/>
      <c r="V18" s="666"/>
      <c r="W18" s="667"/>
      <c r="X18" s="1262"/>
      <c r="Y18" s="3440"/>
      <c r="Z18" s="1261"/>
      <c r="AA18" s="1261">
        <v>1</v>
      </c>
      <c r="AB18" s="1261">
        <v>1</v>
      </c>
      <c r="AC18" s="1261">
        <v>1</v>
      </c>
    </row>
    <row r="19" spans="1:29" ht="42.75">
      <c r="A19" s="367"/>
      <c r="B19" s="390" t="s">
        <v>1811</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40"/>
      <c r="Q19" s="1260" t="str">
        <f>B19</f>
        <v>公共配套设施</v>
      </c>
      <c r="R19" s="666" t="s">
        <v>14</v>
      </c>
      <c r="S19" s="667">
        <f>F19</f>
        <v>100</v>
      </c>
      <c r="T19" s="666" t="s">
        <v>14</v>
      </c>
      <c r="U19" s="667">
        <f>H19</f>
        <v>100</v>
      </c>
      <c r="V19" s="666" t="s">
        <v>14</v>
      </c>
      <c r="W19" s="667">
        <f>J19</f>
        <v>100</v>
      </c>
      <c r="X19" s="1262"/>
      <c r="Y19" s="3440"/>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9"/>
      <c r="M20" s="860"/>
      <c r="N20" s="860"/>
      <c r="O20" s="868"/>
      <c r="P20" s="3440"/>
      <c r="Q20" s="1260"/>
      <c r="R20" s="666"/>
      <c r="S20" s="667"/>
      <c r="T20" s="666"/>
      <c r="U20" s="667"/>
      <c r="V20" s="666"/>
      <c r="W20" s="667"/>
      <c r="X20" s="1262"/>
      <c r="Y20" s="3440"/>
      <c r="Z20" s="1261"/>
      <c r="AA20" s="1261">
        <v>1</v>
      </c>
      <c r="AB20" s="1261">
        <v>1</v>
      </c>
      <c r="AC20" s="1261">
        <v>1</v>
      </c>
    </row>
    <row r="21" spans="1:29" ht="28.5">
      <c r="A21" s="367"/>
      <c r="B21" s="586" t="s">
        <v>1812</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40"/>
      <c r="Q21" s="1260" t="str">
        <f>B21</f>
        <v>基础设施水平</v>
      </c>
      <c r="R21" s="666" t="s">
        <v>14</v>
      </c>
      <c r="S21" s="667">
        <f>F21</f>
        <v>100</v>
      </c>
      <c r="T21" s="666" t="s">
        <v>14</v>
      </c>
      <c r="U21" s="667">
        <f>H21</f>
        <v>100</v>
      </c>
      <c r="V21" s="666" t="s">
        <v>14</v>
      </c>
      <c r="W21" s="667">
        <f>J21</f>
        <v>100</v>
      </c>
      <c r="X21" s="1262"/>
      <c r="Y21" s="3440"/>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9"/>
      <c r="M22" s="860"/>
      <c r="N22" s="860"/>
      <c r="O22" s="868"/>
      <c r="P22" s="3440"/>
      <c r="Q22" s="1260"/>
      <c r="R22" s="666"/>
      <c r="S22" s="667"/>
      <c r="T22" s="666"/>
      <c r="U22" s="667"/>
      <c r="V22" s="666"/>
      <c r="W22" s="667"/>
      <c r="X22" s="1262"/>
      <c r="Y22" s="3440"/>
      <c r="Z22" s="1261"/>
      <c r="AA22" s="1261">
        <v>1</v>
      </c>
      <c r="AB22" s="1261">
        <v>1</v>
      </c>
      <c r="AC22" s="1261">
        <v>1</v>
      </c>
    </row>
    <row r="23" spans="1:29" ht="71.25">
      <c r="A23" s="367"/>
      <c r="B23" s="390" t="s">
        <v>1813</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40"/>
      <c r="Q23" s="1260" t="str">
        <f>B23</f>
        <v>环境质量</v>
      </c>
      <c r="R23" s="666" t="s">
        <v>14</v>
      </c>
      <c r="S23" s="667">
        <f>F23</f>
        <v>100</v>
      </c>
      <c r="T23" s="666" t="s">
        <v>14</v>
      </c>
      <c r="U23" s="667">
        <f>H23</f>
        <v>100</v>
      </c>
      <c r="V23" s="666" t="s">
        <v>14</v>
      </c>
      <c r="W23" s="667">
        <f>J23</f>
        <v>100</v>
      </c>
      <c r="X23" s="1262"/>
      <c r="Y23" s="3440"/>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9"/>
      <c r="M24" s="860"/>
      <c r="N24" s="860"/>
      <c r="O24" s="868"/>
      <c r="P24" s="3440"/>
      <c r="Q24" s="1260"/>
      <c r="R24" s="666"/>
      <c r="S24" s="667"/>
      <c r="T24" s="666"/>
      <c r="U24" s="667"/>
      <c r="V24" s="666"/>
      <c r="W24" s="667"/>
      <c r="X24" s="1262"/>
      <c r="Y24" s="3440"/>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40"/>
      <c r="Q25" s="1260">
        <f>B25</f>
        <v>111</v>
      </c>
      <c r="R25" s="666" t="s">
        <v>14</v>
      </c>
      <c r="S25" s="667">
        <f>F25</f>
        <v>100</v>
      </c>
      <c r="T25" s="666" t="s">
        <v>14</v>
      </c>
      <c r="U25" s="667">
        <f>H25</f>
        <v>100</v>
      </c>
      <c r="V25" s="666" t="s">
        <v>14</v>
      </c>
      <c r="W25" s="667">
        <f>J25</f>
        <v>100</v>
      </c>
      <c r="X25" s="1262"/>
      <c r="Y25" s="3440"/>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40"/>
      <c r="Q26" s="1260">
        <f t="shared" ref="Q26:Q40" si="11">B26</f>
        <v>111</v>
      </c>
      <c r="R26" s="666" t="s">
        <v>14</v>
      </c>
      <c r="S26" s="667">
        <f>F26</f>
        <v>100</v>
      </c>
      <c r="T26" s="666" t="s">
        <v>14</v>
      </c>
      <c r="U26" s="667">
        <f>H26</f>
        <v>100</v>
      </c>
      <c r="V26" s="666" t="s">
        <v>14</v>
      </c>
      <c r="W26" s="667">
        <f>J26</f>
        <v>100</v>
      </c>
      <c r="X26" s="1262"/>
      <c r="Y26" s="3440"/>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40"/>
      <c r="Q27" s="530">
        <f t="shared" si="11"/>
        <v>111</v>
      </c>
      <c r="R27" s="663" t="s">
        <v>14</v>
      </c>
      <c r="S27" s="664">
        <f>F27</f>
        <v>100</v>
      </c>
      <c r="T27" s="663" t="s">
        <v>14</v>
      </c>
      <c r="U27" s="664">
        <f>H27</f>
        <v>100</v>
      </c>
      <c r="V27" s="663" t="s">
        <v>14</v>
      </c>
      <c r="W27" s="664">
        <f>J27</f>
        <v>100</v>
      </c>
      <c r="X27" s="665"/>
      <c r="Y27" s="3440"/>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40"/>
      <c r="Q28" s="1260">
        <f t="shared" si="11"/>
        <v>111</v>
      </c>
      <c r="R28" s="666" t="s">
        <v>14</v>
      </c>
      <c r="S28" s="667">
        <f t="shared" ref="S28:S40" si="12">F28</f>
        <v>100</v>
      </c>
      <c r="T28" s="666" t="s">
        <v>14</v>
      </c>
      <c r="U28" s="667">
        <f t="shared" ref="U28:U40" si="13">H28</f>
        <v>100</v>
      </c>
      <c r="V28" s="666" t="s">
        <v>14</v>
      </c>
      <c r="W28" s="667">
        <f t="shared" ref="W28:W40" si="14">J28</f>
        <v>100</v>
      </c>
      <c r="X28" s="1262"/>
      <c r="Y28" s="3440"/>
      <c r="Z28" s="1261">
        <f t="shared" ref="Z28:Z40" si="15">Q28</f>
        <v>111</v>
      </c>
      <c r="AA28" s="1261">
        <f t="shared" si="3"/>
        <v>1</v>
      </c>
      <c r="AB28" s="1261">
        <f t="shared" si="4"/>
        <v>1</v>
      </c>
      <c r="AC28" s="1261">
        <f t="shared" si="5"/>
        <v>1</v>
      </c>
    </row>
    <row r="29" spans="1:29" ht="28.5">
      <c r="A29" s="404" t="s">
        <v>1693</v>
      </c>
      <c r="B29" s="60" t="s">
        <v>1816</v>
      </c>
      <c r="C29" s="1761"/>
      <c r="D29" s="405">
        <v>100</v>
      </c>
      <c r="E29" s="1761"/>
      <c r="F29" s="400">
        <f>SUMIF(88:88,E29,89:89)-SUMIF(88:88,C29,89:89)+100</f>
        <v>100</v>
      </c>
      <c r="G29" s="1761"/>
      <c r="H29" s="374">
        <f>SUMIF(88:88,G29,89:89)-SUMIF(88:88,C29,89:89)+100</f>
        <v>100</v>
      </c>
      <c r="I29" s="1761"/>
      <c r="J29" s="405">
        <f>SUMIF(88:88,I29,89:89)-SUMIF(88:88,C29,89:89)+100</f>
        <v>100</v>
      </c>
      <c r="K29" s="538"/>
      <c r="L29" s="869"/>
      <c r="M29" s="860"/>
      <c r="N29" s="860"/>
      <c r="O29" s="868"/>
      <c r="P29" s="3463" t="s">
        <v>1695</v>
      </c>
      <c r="Q29" s="1260" t="str">
        <f t="shared" si="11"/>
        <v>建筑类型</v>
      </c>
      <c r="R29" s="666" t="s">
        <v>14</v>
      </c>
      <c r="S29" s="667">
        <f t="shared" si="12"/>
        <v>100</v>
      </c>
      <c r="T29" s="666" t="s">
        <v>14</v>
      </c>
      <c r="U29" s="667">
        <f t="shared" si="13"/>
        <v>100</v>
      </c>
      <c r="V29" s="666" t="s">
        <v>14</v>
      </c>
      <c r="W29" s="667">
        <f t="shared" si="14"/>
        <v>100</v>
      </c>
      <c r="X29" s="1262"/>
      <c r="Y29" s="3444" t="s">
        <v>1695</v>
      </c>
      <c r="Z29" s="1261" t="str">
        <f t="shared" si="15"/>
        <v>建筑类型</v>
      </c>
      <c r="AA29" s="1261">
        <f t="shared" si="3"/>
        <v>1</v>
      </c>
      <c r="AB29" s="1261">
        <f t="shared" si="4"/>
        <v>1</v>
      </c>
      <c r="AC29" s="1261">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44"/>
      <c r="Q30" s="531" t="str">
        <f t="shared" si="11"/>
        <v>项目建筑规模</v>
      </c>
      <c r="R30" s="668" t="s">
        <v>14</v>
      </c>
      <c r="S30" s="669" t="e">
        <f t="shared" si="12"/>
        <v>#N/A</v>
      </c>
      <c r="T30" s="668" t="s">
        <v>14</v>
      </c>
      <c r="U30" s="669" t="e">
        <f t="shared" si="13"/>
        <v>#N/A</v>
      </c>
      <c r="V30" s="668" t="s">
        <v>14</v>
      </c>
      <c r="W30" s="669" t="e">
        <f t="shared" si="14"/>
        <v>#N/A</v>
      </c>
      <c r="X30" s="670"/>
      <c r="Y30" s="3444"/>
      <c r="Z30" s="671" t="str">
        <f t="shared" si="15"/>
        <v>项目建筑规模</v>
      </c>
      <c r="AA30" s="1261" t="e">
        <f t="shared" si="3"/>
        <v>#N/A</v>
      </c>
      <c r="AB30" s="1261" t="e">
        <f t="shared" si="4"/>
        <v>#N/A</v>
      </c>
      <c r="AC30" s="1261"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44"/>
      <c r="Q31" s="1260" t="str">
        <f t="shared" si="11"/>
        <v>建筑结构</v>
      </c>
      <c r="R31" s="666" t="s">
        <v>14</v>
      </c>
      <c r="S31" s="667">
        <f t="shared" si="12"/>
        <v>100</v>
      </c>
      <c r="T31" s="666" t="s">
        <v>14</v>
      </c>
      <c r="U31" s="667">
        <f t="shared" si="13"/>
        <v>100</v>
      </c>
      <c r="V31" s="666" t="s">
        <v>14</v>
      </c>
      <c r="W31" s="667">
        <f t="shared" si="14"/>
        <v>100</v>
      </c>
      <c r="X31" s="1262"/>
      <c r="Y31" s="3444"/>
      <c r="Z31" s="1261" t="str">
        <f t="shared" si="15"/>
        <v>建筑结构</v>
      </c>
      <c r="AA31" s="1261">
        <f t="shared" si="3"/>
        <v>1</v>
      </c>
      <c r="AB31" s="1261">
        <f t="shared" si="4"/>
        <v>1</v>
      </c>
      <c r="AC31" s="1261">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44"/>
      <c r="Q32" s="1260" t="str">
        <f t="shared" si="11"/>
        <v>公共部分装修</v>
      </c>
      <c r="R32" s="666" t="s">
        <v>14</v>
      </c>
      <c r="S32" s="667">
        <f t="shared" si="12"/>
        <v>100</v>
      </c>
      <c r="T32" s="666" t="s">
        <v>14</v>
      </c>
      <c r="U32" s="667">
        <f t="shared" si="13"/>
        <v>100</v>
      </c>
      <c r="V32" s="666" t="s">
        <v>14</v>
      </c>
      <c r="W32" s="667">
        <f t="shared" si="14"/>
        <v>100</v>
      </c>
      <c r="X32" s="1262"/>
      <c r="Y32" s="3444"/>
      <c r="Z32" s="1261" t="str">
        <f t="shared" si="15"/>
        <v>公共部分装修</v>
      </c>
      <c r="AA32" s="1261">
        <f t="shared" si="3"/>
        <v>1</v>
      </c>
      <c r="AB32" s="1261">
        <f t="shared" si="4"/>
        <v>1</v>
      </c>
      <c r="AC32" s="1261">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44"/>
      <c r="Q33" s="1260" t="str">
        <f t="shared" si="11"/>
        <v>成新度</v>
      </c>
      <c r="R33" s="666" t="s">
        <v>14</v>
      </c>
      <c r="S33" s="667" t="e">
        <f t="shared" si="12"/>
        <v>#N/A</v>
      </c>
      <c r="T33" s="666" t="s">
        <v>14</v>
      </c>
      <c r="U33" s="667" t="e">
        <f t="shared" si="13"/>
        <v>#N/A</v>
      </c>
      <c r="V33" s="666" t="s">
        <v>14</v>
      </c>
      <c r="W33" s="667" t="e">
        <f t="shared" si="14"/>
        <v>#N/A</v>
      </c>
      <c r="X33" s="1262"/>
      <c r="Y33" s="3444"/>
      <c r="Z33" s="1261" t="str">
        <f t="shared" si="15"/>
        <v>成新度</v>
      </c>
      <c r="AA33" s="1261" t="e">
        <f t="shared" si="3"/>
        <v>#N/A</v>
      </c>
      <c r="AB33" s="1261" t="e">
        <f t="shared" si="4"/>
        <v>#N/A</v>
      </c>
      <c r="AC33" s="1261"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44"/>
      <c r="Q34" s="530" t="str">
        <f t="shared" si="11"/>
        <v>物业管理</v>
      </c>
      <c r="R34" s="663" t="s">
        <v>14</v>
      </c>
      <c r="S34" s="664">
        <f t="shared" si="12"/>
        <v>100</v>
      </c>
      <c r="T34" s="663" t="s">
        <v>14</v>
      </c>
      <c r="U34" s="664">
        <f t="shared" si="13"/>
        <v>100</v>
      </c>
      <c r="V34" s="663" t="s">
        <v>14</v>
      </c>
      <c r="W34" s="664">
        <f t="shared" si="14"/>
        <v>100</v>
      </c>
      <c r="X34" s="665"/>
      <c r="Y34" s="344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44" t="s">
        <v>1695</v>
      </c>
      <c r="Q35" s="1260" t="str">
        <f t="shared" si="11"/>
        <v>市政基础设施</v>
      </c>
      <c r="R35" s="666" t="s">
        <v>14</v>
      </c>
      <c r="S35" s="667">
        <f t="shared" si="12"/>
        <v>100</v>
      </c>
      <c r="T35" s="666" t="s">
        <v>14</v>
      </c>
      <c r="U35" s="667">
        <f t="shared" si="13"/>
        <v>100</v>
      </c>
      <c r="V35" s="666" t="s">
        <v>14</v>
      </c>
      <c r="W35" s="667">
        <f t="shared" si="14"/>
        <v>100</v>
      </c>
      <c r="X35" s="1262"/>
      <c r="Y35" s="3444" t="s">
        <v>1695</v>
      </c>
      <c r="Z35" s="1261" t="str">
        <f t="shared" si="15"/>
        <v>市政基础设施</v>
      </c>
      <c r="AA35" s="1261">
        <f t="shared" si="3"/>
        <v>1</v>
      </c>
      <c r="AB35" s="1261">
        <f t="shared" si="4"/>
        <v>1</v>
      </c>
      <c r="AC35" s="1261">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44"/>
      <c r="Q36" s="1260" t="str">
        <f t="shared" si="11"/>
        <v>内部装修</v>
      </c>
      <c r="R36" s="666" t="s">
        <v>14</v>
      </c>
      <c r="S36" s="667">
        <f t="shared" si="12"/>
        <v>100</v>
      </c>
      <c r="T36" s="666" t="s">
        <v>14</v>
      </c>
      <c r="U36" s="667">
        <f t="shared" si="13"/>
        <v>100</v>
      </c>
      <c r="V36" s="666" t="s">
        <v>14</v>
      </c>
      <c r="W36" s="667">
        <f t="shared" si="14"/>
        <v>100</v>
      </c>
      <c r="X36" s="1262"/>
      <c r="Y36" s="3444"/>
      <c r="Z36" s="1261" t="str">
        <f t="shared" si="15"/>
        <v>内部装修</v>
      </c>
      <c r="AA36" s="1261">
        <f t="shared" si="3"/>
        <v>1</v>
      </c>
      <c r="AB36" s="1261">
        <f t="shared" si="4"/>
        <v>1</v>
      </c>
      <c r="AC36" s="1261">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44"/>
      <c r="Q37" s="1260" t="str">
        <f t="shared" si="11"/>
        <v>内部装修状况</v>
      </c>
      <c r="R37" s="666" t="s">
        <v>14</v>
      </c>
      <c r="S37" s="667">
        <f t="shared" si="12"/>
        <v>100</v>
      </c>
      <c r="T37" s="666" t="s">
        <v>14</v>
      </c>
      <c r="U37" s="667">
        <f t="shared" si="13"/>
        <v>100</v>
      </c>
      <c r="V37" s="666" t="s">
        <v>14</v>
      </c>
      <c r="W37" s="667">
        <f t="shared" si="14"/>
        <v>100</v>
      </c>
      <c r="X37" s="1262"/>
      <c r="Y37" s="3444"/>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44"/>
      <c r="Q38" s="531">
        <f t="shared" si="11"/>
        <v>111</v>
      </c>
      <c r="R38" s="668" t="s">
        <v>14</v>
      </c>
      <c r="S38" s="669">
        <f t="shared" si="12"/>
        <v>100</v>
      </c>
      <c r="T38" s="668" t="s">
        <v>14</v>
      </c>
      <c r="U38" s="669">
        <f t="shared" si="13"/>
        <v>100</v>
      </c>
      <c r="V38" s="668" t="s">
        <v>14</v>
      </c>
      <c r="W38" s="669">
        <f t="shared" si="14"/>
        <v>100</v>
      </c>
      <c r="X38" s="670"/>
      <c r="Y38" s="3444"/>
      <c r="Z38" s="671">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44"/>
      <c r="Q39" s="1260">
        <f t="shared" si="11"/>
        <v>111</v>
      </c>
      <c r="R39" s="666" t="s">
        <v>14</v>
      </c>
      <c r="S39" s="667">
        <f t="shared" si="12"/>
        <v>100</v>
      </c>
      <c r="T39" s="666" t="s">
        <v>14</v>
      </c>
      <c r="U39" s="667">
        <f t="shared" si="13"/>
        <v>100</v>
      </c>
      <c r="V39" s="666" t="s">
        <v>14</v>
      </c>
      <c r="W39" s="667">
        <f t="shared" si="14"/>
        <v>100</v>
      </c>
      <c r="X39" s="1262"/>
      <c r="Y39" s="3444"/>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45"/>
      <c r="Q40" s="1260">
        <f t="shared" si="11"/>
        <v>111</v>
      </c>
      <c r="R40" s="666" t="s">
        <v>14</v>
      </c>
      <c r="S40" s="667">
        <f t="shared" si="12"/>
        <v>100</v>
      </c>
      <c r="T40" s="666" t="s">
        <v>14</v>
      </c>
      <c r="U40" s="667">
        <f t="shared" si="13"/>
        <v>100</v>
      </c>
      <c r="V40" s="666" t="s">
        <v>14</v>
      </c>
      <c r="W40" s="667">
        <f t="shared" si="14"/>
        <v>100</v>
      </c>
      <c r="X40" s="1262"/>
      <c r="Y40" s="3445"/>
      <c r="Z40" s="1261">
        <f t="shared" si="15"/>
        <v>111</v>
      </c>
      <c r="AA40" s="1261">
        <f t="shared" si="3"/>
        <v>1</v>
      </c>
      <c r="AB40" s="1261">
        <f t="shared" si="4"/>
        <v>1</v>
      </c>
      <c r="AC40" s="1261">
        <f t="shared" si="5"/>
        <v>1</v>
      </c>
    </row>
    <row r="41" spans="1:29" ht="15">
      <c r="A41" s="416" t="s">
        <v>1707</v>
      </c>
      <c r="B41" s="417"/>
      <c r="C41" s="1078" t="s">
        <v>0</v>
      </c>
      <c r="D41" s="418"/>
      <c r="E41" s="419"/>
      <c r="F41" s="420"/>
      <c r="G41" s="421"/>
      <c r="H41" s="422"/>
      <c r="I41" s="419"/>
      <c r="J41" s="422"/>
      <c r="K41" s="673"/>
      <c r="L41" s="872"/>
      <c r="M41" s="860"/>
      <c r="N41" s="860"/>
      <c r="O41" s="860"/>
      <c r="P41" s="3438" t="str">
        <f>A41</f>
        <v>成交单价（元/平方米）</v>
      </c>
      <c r="Q41" s="3438"/>
      <c r="R41" s="3433">
        <f>E41</f>
        <v>0</v>
      </c>
      <c r="S41" s="3433"/>
      <c r="T41" s="3433">
        <f>G41</f>
        <v>0</v>
      </c>
      <c r="U41" s="3433"/>
      <c r="V41" s="3433">
        <f>I41</f>
        <v>0</v>
      </c>
      <c r="W41" s="3433"/>
      <c r="X41" s="385"/>
      <c r="Y41" s="672"/>
      <c r="Z41" s="385"/>
      <c r="AA41" s="385"/>
      <c r="AB41" s="385"/>
      <c r="AC41" s="385"/>
    </row>
    <row r="42" spans="1:29" ht="15.75" thickBot="1">
      <c r="A42" s="423" t="s">
        <v>1792</v>
      </c>
      <c r="B42" s="424"/>
      <c r="C42" s="1079" t="e">
        <f>R43</f>
        <v>#DIV/0!</v>
      </c>
      <c r="D42" s="2138" t="s">
        <v>2137</v>
      </c>
      <c r="E42" s="1080" t="e">
        <f>R42</f>
        <v>#DIV/0!</v>
      </c>
      <c r="F42" s="2139"/>
      <c r="G42" s="1079" t="e">
        <f>T42</f>
        <v>#DIV/0!</v>
      </c>
      <c r="H42" s="2139"/>
      <c r="I42" s="1080" t="e">
        <f>V42</f>
        <v>#DIV/0!</v>
      </c>
      <c r="J42" s="2139"/>
      <c r="K42" s="2141">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5"/>
      <c r="M46" s="860"/>
      <c r="N46" s="860"/>
      <c r="O46" s="860"/>
    </row>
    <row r="47" spans="1:29" ht="13.5" customHeight="1">
      <c r="A47" s="2480"/>
      <c r="B47" s="2480"/>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5"/>
      <c r="M47" s="860"/>
      <c r="N47" s="860"/>
      <c r="O47" s="860"/>
    </row>
    <row r="48" spans="1:29" s="437" customFormat="1" ht="13.5" customHeight="1">
      <c r="A48" s="2490"/>
      <c r="B48" s="2490"/>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5"/>
      <c r="M48" s="873"/>
      <c r="N48" s="873"/>
      <c r="O48" s="873"/>
    </row>
    <row r="49" spans="1:17" s="437"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1"/>
      <c r="O54" s="2532"/>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1830</v>
      </c>
      <c r="B1" s="1137" t="s">
        <v>3334</v>
      </c>
      <c r="C1" s="1138" t="s">
        <v>1661</v>
      </c>
      <c r="D1" s="1139"/>
      <c r="E1" s="3124"/>
      <c r="F1" s="1732"/>
      <c r="G1" s="1141" t="s">
        <v>1766</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6"/>
      <c r="L2" s="2496"/>
      <c r="M2" s="2497"/>
      <c r="N2" s="2497"/>
      <c r="O2" s="2497"/>
      <c r="P2" s="1083"/>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5"/>
      <c r="AC3" s="66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25" t="s">
        <v>1774</v>
      </c>
      <c r="Q4" s="3426"/>
      <c r="R4" s="3408" t="s">
        <v>1770</v>
      </c>
      <c r="S4" s="3409"/>
      <c r="T4" s="3408" t="s">
        <v>1771</v>
      </c>
      <c r="U4" s="3409"/>
      <c r="V4" s="3433" t="s">
        <v>1772</v>
      </c>
      <c r="W4" s="3433"/>
      <c r="X4" s="1262"/>
      <c r="Y4" s="3408" t="s">
        <v>1774</v>
      </c>
      <c r="Z4" s="3409"/>
      <c r="AA4" s="3403" t="s">
        <v>1770</v>
      </c>
      <c r="AB4" s="3404" t="s">
        <v>1771</v>
      </c>
      <c r="AC4" s="3403" t="s">
        <v>1772</v>
      </c>
    </row>
    <row r="5" spans="1:29" ht="15">
      <c r="A5" s="348"/>
      <c r="B5" s="349"/>
      <c r="C5" s="3414" t="s">
        <v>1672</v>
      </c>
      <c r="D5" s="3415"/>
      <c r="E5" s="3412" t="s">
        <v>1673</v>
      </c>
      <c r="F5" s="3413"/>
      <c r="G5" s="3414" t="s">
        <v>1674</v>
      </c>
      <c r="H5" s="3415"/>
      <c r="I5" s="3414" t="s">
        <v>1675</v>
      </c>
      <c r="J5" s="3415"/>
      <c r="K5" s="537"/>
      <c r="L5" s="2479"/>
      <c r="M5" s="2480"/>
      <c r="N5" s="2480"/>
      <c r="O5" s="2480"/>
      <c r="P5" s="3427"/>
      <c r="Q5" s="3428"/>
      <c r="R5" s="3410"/>
      <c r="S5" s="3411"/>
      <c r="T5" s="3410"/>
      <c r="U5" s="3411"/>
      <c r="V5" s="3433"/>
      <c r="W5" s="3433"/>
      <c r="X5" s="1262"/>
      <c r="Y5" s="3410"/>
      <c r="Z5" s="3411"/>
      <c r="AA5" s="3404"/>
      <c r="AB5" s="3404"/>
      <c r="AC5" s="3404"/>
    </row>
    <row r="6" spans="1:29" ht="15.75" thickBot="1">
      <c r="A6" s="350"/>
      <c r="B6" s="351"/>
      <c r="C6" s="3416" t="s">
        <v>1676</v>
      </c>
      <c r="D6" s="3417"/>
      <c r="E6" s="3418" t="s">
        <v>1676</v>
      </c>
      <c r="F6" s="3419"/>
      <c r="G6" s="3416" t="s">
        <v>1676</v>
      </c>
      <c r="H6" s="3417"/>
      <c r="I6" s="3416" t="s">
        <v>1676</v>
      </c>
      <c r="J6" s="3417"/>
      <c r="K6" s="537" t="s">
        <v>1677</v>
      </c>
      <c r="L6" s="2479"/>
      <c r="M6" s="2480"/>
      <c r="N6" s="2480"/>
      <c r="O6" s="248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1"/>
      <c r="M7" s="2433"/>
      <c r="N7" s="2433"/>
      <c r="O7" s="2433"/>
      <c r="P7" s="3406" t="s">
        <v>1679</v>
      </c>
      <c r="Q7" s="3434"/>
      <c r="R7" s="663" t="s">
        <v>14</v>
      </c>
      <c r="S7" s="664">
        <f t="shared" ref="S7:S14" si="0">F7</f>
        <v>0</v>
      </c>
      <c r="T7" s="663" t="s">
        <v>14</v>
      </c>
      <c r="U7" s="664">
        <f t="shared" ref="U7:U14" si="1">H7</f>
        <v>0</v>
      </c>
      <c r="V7" s="663" t="s">
        <v>14</v>
      </c>
      <c r="W7" s="664">
        <f t="shared" ref="W7:W14"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406" t="s">
        <v>1682</v>
      </c>
      <c r="Q8" s="3407"/>
      <c r="R8" s="663" t="s">
        <v>14</v>
      </c>
      <c r="S8" s="664">
        <f t="shared" si="0"/>
        <v>100</v>
      </c>
      <c r="T8" s="663" t="s">
        <v>14</v>
      </c>
      <c r="U8" s="664">
        <f t="shared" si="1"/>
        <v>100</v>
      </c>
      <c r="V8" s="663" t="s">
        <v>14</v>
      </c>
      <c r="W8" s="664">
        <f t="shared" si="2"/>
        <v>100</v>
      </c>
      <c r="X8" s="665"/>
      <c r="Y8" s="3406" t="s">
        <v>1682</v>
      </c>
      <c r="Z8" s="3407"/>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438" t="s">
        <v>1685</v>
      </c>
      <c r="Q9" s="530" t="str">
        <f t="shared" ref="Q9:Q14" si="6">B9</f>
        <v>用途</v>
      </c>
      <c r="R9" s="663" t="s">
        <v>14</v>
      </c>
      <c r="S9" s="664">
        <f t="shared" si="0"/>
        <v>100</v>
      </c>
      <c r="T9" s="663" t="s">
        <v>14</v>
      </c>
      <c r="U9" s="664">
        <f t="shared" si="1"/>
        <v>100</v>
      </c>
      <c r="V9" s="663" t="s">
        <v>14</v>
      </c>
      <c r="W9" s="664">
        <f t="shared" si="2"/>
        <v>100</v>
      </c>
      <c r="X9" s="665"/>
      <c r="Y9" s="3350" t="s">
        <v>1686</v>
      </c>
      <c r="Z9" s="50" t="str">
        <f t="shared" ref="Z9:Z14" si="7">Q9</f>
        <v>用途</v>
      </c>
      <c r="AA9" s="50">
        <f t="shared" si="3"/>
        <v>1</v>
      </c>
      <c r="AB9" s="50">
        <f t="shared" si="4"/>
        <v>1</v>
      </c>
      <c r="AC9" s="50">
        <f t="shared" si="5"/>
        <v>1</v>
      </c>
    </row>
    <row r="10" spans="1:29" s="366" customFormat="1" ht="27">
      <c r="A10" s="565"/>
      <c r="B10" s="566" t="s">
        <v>1687</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38"/>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38"/>
      <c r="Q11" s="530">
        <f t="shared" si="6"/>
        <v>111</v>
      </c>
      <c r="R11" s="663" t="s">
        <v>14</v>
      </c>
      <c r="S11" s="664">
        <f t="shared" si="0"/>
        <v>100</v>
      </c>
      <c r="T11" s="663" t="s">
        <v>14</v>
      </c>
      <c r="U11" s="664">
        <f t="shared" si="1"/>
        <v>100</v>
      </c>
      <c r="V11" s="663" t="s">
        <v>14</v>
      </c>
      <c r="W11" s="664">
        <f t="shared" si="2"/>
        <v>100</v>
      </c>
      <c r="X11" s="665"/>
      <c r="Y11" s="33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38"/>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38"/>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85.5">
      <c r="A14" s="345" t="s">
        <v>1689</v>
      </c>
      <c r="B14" s="554" t="s">
        <v>1832</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39" t="s">
        <v>1690</v>
      </c>
      <c r="Q14" s="1260" t="str">
        <f t="shared" si="6"/>
        <v>交通便捷度</v>
      </c>
      <c r="R14" s="666" t="s">
        <v>14</v>
      </c>
      <c r="S14" s="667">
        <f t="shared" si="0"/>
        <v>100</v>
      </c>
      <c r="T14" s="666" t="s">
        <v>14</v>
      </c>
      <c r="U14" s="667">
        <f t="shared" si="1"/>
        <v>100</v>
      </c>
      <c r="V14" s="666" t="s">
        <v>14</v>
      </c>
      <c r="W14" s="667">
        <f t="shared" si="2"/>
        <v>100</v>
      </c>
      <c r="X14" s="1262"/>
      <c r="Y14" s="3439" t="s">
        <v>1690</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5"/>
      <c r="M15" s="2480"/>
      <c r="N15" s="2480"/>
      <c r="O15" s="2480"/>
      <c r="P15" s="3440"/>
      <c r="Q15" s="1260"/>
      <c r="R15" s="666"/>
      <c r="S15" s="667"/>
      <c r="T15" s="666"/>
      <c r="U15" s="667"/>
      <c r="V15" s="666"/>
      <c r="W15" s="667"/>
      <c r="X15" s="1262"/>
      <c r="Y15" s="3440"/>
      <c r="Z15" s="1261"/>
      <c r="AA15" s="1261">
        <v>1</v>
      </c>
      <c r="AB15" s="1261">
        <v>1</v>
      </c>
      <c r="AC15" s="1261">
        <v>1</v>
      </c>
    </row>
    <row r="16" spans="1:29" ht="42.75">
      <c r="A16" s="348"/>
      <c r="B16" s="556" t="s">
        <v>1811</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40"/>
      <c r="Q16" s="1260" t="str">
        <f>B16</f>
        <v>公共配套设施</v>
      </c>
      <c r="R16" s="666" t="s">
        <v>14</v>
      </c>
      <c r="S16" s="667">
        <f>F16</f>
        <v>100</v>
      </c>
      <c r="T16" s="666" t="s">
        <v>14</v>
      </c>
      <c r="U16" s="667">
        <f>H16</f>
        <v>100</v>
      </c>
      <c r="V16" s="666" t="s">
        <v>14</v>
      </c>
      <c r="W16" s="667">
        <f>J16</f>
        <v>100</v>
      </c>
      <c r="X16" s="1262"/>
      <c r="Y16" s="3440"/>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5"/>
      <c r="M17" s="2480"/>
      <c r="N17" s="2480"/>
      <c r="O17" s="2480"/>
      <c r="P17" s="3440"/>
      <c r="Q17" s="1260"/>
      <c r="R17" s="666"/>
      <c r="S17" s="667"/>
      <c r="T17" s="666"/>
      <c r="U17" s="667"/>
      <c r="V17" s="666"/>
      <c r="W17" s="667"/>
      <c r="X17" s="1262"/>
      <c r="Y17" s="3440"/>
      <c r="Z17" s="1261"/>
      <c r="AA17" s="1261">
        <v>1</v>
      </c>
      <c r="AB17" s="1261">
        <v>1</v>
      </c>
      <c r="AC17" s="1261">
        <v>1</v>
      </c>
    </row>
    <row r="18" spans="1:29" ht="28.5">
      <c r="A18" s="348"/>
      <c r="B18" s="557" t="s">
        <v>1812</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40"/>
      <c r="Q18" s="1260" t="str">
        <f>B18</f>
        <v>基础设施水平</v>
      </c>
      <c r="R18" s="666" t="s">
        <v>14</v>
      </c>
      <c r="S18" s="667">
        <f>F18</f>
        <v>100</v>
      </c>
      <c r="T18" s="666" t="s">
        <v>14</v>
      </c>
      <c r="U18" s="667">
        <f>H18</f>
        <v>100</v>
      </c>
      <c r="V18" s="666" t="s">
        <v>14</v>
      </c>
      <c r="W18" s="667">
        <f>J18</f>
        <v>100</v>
      </c>
      <c r="X18" s="1262"/>
      <c r="Y18" s="3440"/>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5"/>
      <c r="M19" s="2480"/>
      <c r="N19" s="2480"/>
      <c r="O19" s="2480"/>
      <c r="P19" s="3440"/>
      <c r="Q19" s="1260"/>
      <c r="R19" s="666"/>
      <c r="S19" s="667"/>
      <c r="T19" s="666"/>
      <c r="U19" s="667"/>
      <c r="V19" s="666"/>
      <c r="W19" s="667"/>
      <c r="X19" s="1262"/>
      <c r="Y19" s="3440"/>
      <c r="Z19" s="1261"/>
      <c r="AA19" s="1261">
        <v>1</v>
      </c>
      <c r="AB19" s="1261">
        <v>1</v>
      </c>
      <c r="AC19" s="1261">
        <v>1</v>
      </c>
    </row>
    <row r="20" spans="1:29" ht="57">
      <c r="A20" s="348"/>
      <c r="B20" s="556" t="s">
        <v>1833</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40"/>
      <c r="Q20" s="1260" t="str">
        <f>B20</f>
        <v>自然及人文环境</v>
      </c>
      <c r="R20" s="666" t="s">
        <v>14</v>
      </c>
      <c r="S20" s="667">
        <f>F20</f>
        <v>100</v>
      </c>
      <c r="T20" s="666" t="s">
        <v>14</v>
      </c>
      <c r="U20" s="667">
        <f>H20</f>
        <v>100</v>
      </c>
      <c r="V20" s="666" t="s">
        <v>14</v>
      </c>
      <c r="W20" s="667">
        <f>J20</f>
        <v>100</v>
      </c>
      <c r="X20" s="1262"/>
      <c r="Y20" s="3440"/>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5"/>
      <c r="M21" s="2480"/>
      <c r="N21" s="2480"/>
      <c r="O21" s="2480"/>
      <c r="P21" s="3440"/>
      <c r="Q21" s="1260"/>
      <c r="R21" s="666"/>
      <c r="S21" s="667"/>
      <c r="T21" s="666"/>
      <c r="U21" s="667"/>
      <c r="V21" s="666"/>
      <c r="W21" s="667"/>
      <c r="X21" s="1262"/>
      <c r="Y21" s="3440"/>
      <c r="Z21" s="1261"/>
      <c r="AA21" s="1261">
        <v>1</v>
      </c>
      <c r="AB21" s="1261">
        <v>1</v>
      </c>
      <c r="AC21" s="1261">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40"/>
      <c r="Q22" s="1260" t="str">
        <f>B22</f>
        <v>楼层</v>
      </c>
      <c r="R22" s="666" t="s">
        <v>14</v>
      </c>
      <c r="S22" s="667">
        <f>F22</f>
        <v>100</v>
      </c>
      <c r="T22" s="666" t="s">
        <v>14</v>
      </c>
      <c r="U22" s="667">
        <f>H22</f>
        <v>100</v>
      </c>
      <c r="V22" s="666" t="s">
        <v>14</v>
      </c>
      <c r="W22" s="667">
        <f>J22</f>
        <v>100</v>
      </c>
      <c r="X22" s="1262"/>
      <c r="Y22" s="3440"/>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40"/>
      <c r="Q23" s="1260">
        <f>B23</f>
        <v>111</v>
      </c>
      <c r="R23" s="666" t="s">
        <v>14</v>
      </c>
      <c r="S23" s="667">
        <f>F23</f>
        <v>100</v>
      </c>
      <c r="T23" s="666" t="s">
        <v>14</v>
      </c>
      <c r="U23" s="667">
        <f>H23</f>
        <v>100</v>
      </c>
      <c r="V23" s="666" t="s">
        <v>14</v>
      </c>
      <c r="W23" s="667">
        <f>J23</f>
        <v>100</v>
      </c>
      <c r="X23" s="1262"/>
      <c r="Y23" s="3440"/>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40"/>
      <c r="Q24" s="1260">
        <f t="shared" ref="Q24:Q36" si="11">B24</f>
        <v>111</v>
      </c>
      <c r="R24" s="666" t="s">
        <v>14</v>
      </c>
      <c r="S24" s="667">
        <f>F24</f>
        <v>100</v>
      </c>
      <c r="T24" s="666" t="s">
        <v>14</v>
      </c>
      <c r="U24" s="667">
        <f>H24</f>
        <v>100</v>
      </c>
      <c r="V24" s="666" t="s">
        <v>14</v>
      </c>
      <c r="W24" s="667">
        <f>J24</f>
        <v>100</v>
      </c>
      <c r="X24" s="1262"/>
      <c r="Y24" s="3440"/>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440"/>
      <c r="Q25" s="530">
        <f t="shared" si="11"/>
        <v>111</v>
      </c>
      <c r="R25" s="663" t="s">
        <v>14</v>
      </c>
      <c r="S25" s="664">
        <f>F25</f>
        <v>100</v>
      </c>
      <c r="T25" s="663" t="s">
        <v>14</v>
      </c>
      <c r="U25" s="664">
        <f>H25</f>
        <v>100</v>
      </c>
      <c r="V25" s="663" t="s">
        <v>14</v>
      </c>
      <c r="W25" s="664">
        <f>J25</f>
        <v>100</v>
      </c>
      <c r="X25" s="665"/>
      <c r="Y25" s="3440"/>
      <c r="Z25" s="50">
        <f>Q25</f>
        <v>111</v>
      </c>
      <c r="AA25" s="1261">
        <f>D25/F25</f>
        <v>1</v>
      </c>
      <c r="AB25" s="1261">
        <f>D25/H25</f>
        <v>1</v>
      </c>
      <c r="AC25" s="1261">
        <f>D25/J25</f>
        <v>1</v>
      </c>
    </row>
    <row r="26" spans="1:29" ht="28.5">
      <c r="A26" s="574" t="s">
        <v>1693</v>
      </c>
      <c r="B26" s="59" t="s">
        <v>1835</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63" t="s">
        <v>1695</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44" t="s">
        <v>1695</v>
      </c>
      <c r="Z26" s="1261" t="str">
        <f t="shared" ref="Z26:Z36" si="15">Q26</f>
        <v>配套类型</v>
      </c>
      <c r="AA26" s="1261" t="e">
        <f t="shared" si="3"/>
        <v>#DIV/0!</v>
      </c>
      <c r="AB26" s="1261" t="e">
        <f t="shared" si="4"/>
        <v>#DIV/0!</v>
      </c>
      <c r="AC26" s="1261"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44"/>
      <c r="Q27" s="531" t="str">
        <f t="shared" si="11"/>
        <v>项目停车位配比</v>
      </c>
      <c r="R27" s="668" t="s">
        <v>14</v>
      </c>
      <c r="S27" s="669">
        <f t="shared" si="12"/>
        <v>100</v>
      </c>
      <c r="T27" s="668" t="s">
        <v>14</v>
      </c>
      <c r="U27" s="669">
        <f t="shared" si="13"/>
        <v>100</v>
      </c>
      <c r="V27" s="668" t="s">
        <v>14</v>
      </c>
      <c r="W27" s="669">
        <f t="shared" si="14"/>
        <v>100</v>
      </c>
      <c r="X27" s="670"/>
      <c r="Y27" s="3444"/>
      <c r="Z27" s="671" t="str">
        <f t="shared" si="15"/>
        <v>项目停车位配比</v>
      </c>
      <c r="AA27" s="1261">
        <f t="shared" si="3"/>
        <v>1</v>
      </c>
      <c r="AB27" s="1261">
        <f t="shared" si="4"/>
        <v>1</v>
      </c>
      <c r="AC27" s="1261">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44"/>
      <c r="Q28" s="1260" t="str">
        <f t="shared" si="11"/>
        <v>公共部分装修</v>
      </c>
      <c r="R28" s="666" t="s">
        <v>14</v>
      </c>
      <c r="S28" s="667">
        <f t="shared" si="12"/>
        <v>100</v>
      </c>
      <c r="T28" s="666" t="s">
        <v>14</v>
      </c>
      <c r="U28" s="667">
        <f t="shared" si="13"/>
        <v>100</v>
      </c>
      <c r="V28" s="666" t="s">
        <v>14</v>
      </c>
      <c r="W28" s="667">
        <f t="shared" si="14"/>
        <v>100</v>
      </c>
      <c r="X28" s="1262"/>
      <c r="Y28" s="3444"/>
      <c r="Z28" s="1261" t="str">
        <f t="shared" si="15"/>
        <v>公共部分装修</v>
      </c>
      <c r="AA28" s="1261">
        <f t="shared" si="3"/>
        <v>1</v>
      </c>
      <c r="AB28" s="1261">
        <f t="shared" si="4"/>
        <v>1</v>
      </c>
      <c r="AC28" s="1261">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44"/>
      <c r="Q29" s="1260" t="str">
        <f t="shared" si="11"/>
        <v>成新率</v>
      </c>
      <c r="R29" s="666" t="s">
        <v>14</v>
      </c>
      <c r="S29" s="667" t="e">
        <f t="shared" si="12"/>
        <v>#N/A</v>
      </c>
      <c r="T29" s="666" t="s">
        <v>14</v>
      </c>
      <c r="U29" s="667" t="e">
        <f t="shared" si="13"/>
        <v>#N/A</v>
      </c>
      <c r="V29" s="666" t="s">
        <v>14</v>
      </c>
      <c r="W29" s="667" t="e">
        <f t="shared" si="14"/>
        <v>#N/A</v>
      </c>
      <c r="X29" s="1262"/>
      <c r="Y29" s="3444"/>
      <c r="Z29" s="1261" t="str">
        <f t="shared" si="15"/>
        <v>成新率</v>
      </c>
      <c r="AA29" s="1261" t="e">
        <f t="shared" si="3"/>
        <v>#N/A</v>
      </c>
      <c r="AB29" s="1261" t="e">
        <f t="shared" si="4"/>
        <v>#N/A</v>
      </c>
      <c r="AC29" s="1261"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44"/>
      <c r="Q30" s="1260" t="str">
        <f t="shared" si="11"/>
        <v>物业等级</v>
      </c>
      <c r="R30" s="666" t="s">
        <v>14</v>
      </c>
      <c r="S30" s="667">
        <f t="shared" si="12"/>
        <v>100</v>
      </c>
      <c r="T30" s="666" t="s">
        <v>14</v>
      </c>
      <c r="U30" s="667">
        <f t="shared" si="13"/>
        <v>100</v>
      </c>
      <c r="V30" s="666" t="s">
        <v>14</v>
      </c>
      <c r="W30" s="667">
        <f t="shared" si="14"/>
        <v>100</v>
      </c>
      <c r="X30" s="1262"/>
      <c r="Y30" s="3444"/>
      <c r="Z30" s="1261" t="str">
        <f t="shared" si="15"/>
        <v>物业等级</v>
      </c>
      <c r="AA30" s="1261">
        <f t="shared" si="3"/>
        <v>1</v>
      </c>
      <c r="AB30" s="1261">
        <f t="shared" si="4"/>
        <v>1</v>
      </c>
      <c r="AC30" s="1261">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444"/>
      <c r="Q31" s="530" t="str">
        <f t="shared" si="11"/>
        <v>停车位面积</v>
      </c>
      <c r="R31" s="663" t="s">
        <v>14</v>
      </c>
      <c r="S31" s="664" t="e">
        <f t="shared" si="12"/>
        <v>#N/A</v>
      </c>
      <c r="T31" s="663" t="s">
        <v>14</v>
      </c>
      <c r="U31" s="664" t="e">
        <f t="shared" si="13"/>
        <v>#N/A</v>
      </c>
      <c r="V31" s="663" t="s">
        <v>14</v>
      </c>
      <c r="W31" s="664" t="e">
        <f t="shared" si="14"/>
        <v>#N/A</v>
      </c>
      <c r="X31" s="665"/>
      <c r="Y31" s="3444"/>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44" t="s">
        <v>1695</v>
      </c>
      <c r="Q32" s="1260" t="str">
        <f t="shared" si="11"/>
        <v>车位类型</v>
      </c>
      <c r="R32" s="666" t="s">
        <v>14</v>
      </c>
      <c r="S32" s="667">
        <f t="shared" si="12"/>
        <v>100</v>
      </c>
      <c r="T32" s="666" t="s">
        <v>14</v>
      </c>
      <c r="U32" s="667">
        <f t="shared" si="13"/>
        <v>100</v>
      </c>
      <c r="V32" s="666" t="s">
        <v>14</v>
      </c>
      <c r="W32" s="667">
        <f t="shared" si="14"/>
        <v>100</v>
      </c>
      <c r="X32" s="1262"/>
      <c r="Y32" s="3444" t="s">
        <v>1695</v>
      </c>
      <c r="Z32" s="1261" t="str">
        <f t="shared" si="15"/>
        <v>车位类型</v>
      </c>
      <c r="AA32" s="1261">
        <f t="shared" si="3"/>
        <v>1</v>
      </c>
      <c r="AB32" s="1261">
        <f t="shared" si="4"/>
        <v>1</v>
      </c>
      <c r="AC32" s="1261">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44"/>
      <c r="Q33" s="1260" t="str">
        <f t="shared" si="11"/>
        <v>是否直接入户</v>
      </c>
      <c r="R33" s="666" t="s">
        <v>14</v>
      </c>
      <c r="S33" s="667">
        <f t="shared" si="12"/>
        <v>100</v>
      </c>
      <c r="T33" s="666" t="s">
        <v>14</v>
      </c>
      <c r="U33" s="667">
        <f t="shared" si="13"/>
        <v>100</v>
      </c>
      <c r="V33" s="666" t="s">
        <v>14</v>
      </c>
      <c r="W33" s="667">
        <f t="shared" si="14"/>
        <v>100</v>
      </c>
      <c r="X33" s="1262"/>
      <c r="Y33" s="3444"/>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44"/>
      <c r="Q34" s="1260">
        <f t="shared" si="11"/>
        <v>111</v>
      </c>
      <c r="R34" s="666" t="s">
        <v>14</v>
      </c>
      <c r="S34" s="667">
        <f t="shared" si="12"/>
        <v>100</v>
      </c>
      <c r="T34" s="666" t="s">
        <v>14</v>
      </c>
      <c r="U34" s="667">
        <f t="shared" si="13"/>
        <v>100</v>
      </c>
      <c r="V34" s="666" t="s">
        <v>14</v>
      </c>
      <c r="W34" s="667">
        <f t="shared" si="14"/>
        <v>100</v>
      </c>
      <c r="X34" s="1262"/>
      <c r="Y34" s="3444"/>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44"/>
      <c r="Q35" s="531">
        <f t="shared" si="11"/>
        <v>111</v>
      </c>
      <c r="R35" s="668" t="s">
        <v>14</v>
      </c>
      <c r="S35" s="669">
        <f t="shared" si="12"/>
        <v>100</v>
      </c>
      <c r="T35" s="668" t="s">
        <v>14</v>
      </c>
      <c r="U35" s="669">
        <f t="shared" si="13"/>
        <v>100</v>
      </c>
      <c r="V35" s="668" t="s">
        <v>14</v>
      </c>
      <c r="W35" s="669">
        <f t="shared" si="14"/>
        <v>100</v>
      </c>
      <c r="X35" s="670"/>
      <c r="Y35" s="3444"/>
      <c r="Z35" s="671">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44"/>
      <c r="Q36" s="1260">
        <f t="shared" si="11"/>
        <v>111</v>
      </c>
      <c r="R36" s="666" t="s">
        <v>14</v>
      </c>
      <c r="S36" s="667">
        <f t="shared" si="12"/>
        <v>100</v>
      </c>
      <c r="T36" s="666" t="s">
        <v>14</v>
      </c>
      <c r="U36" s="667">
        <f t="shared" si="13"/>
        <v>100</v>
      </c>
      <c r="V36" s="666" t="s">
        <v>14</v>
      </c>
      <c r="W36" s="667">
        <f t="shared" si="14"/>
        <v>100</v>
      </c>
      <c r="X36" s="1262"/>
      <c r="Y36" s="3444"/>
      <c r="Z36" s="1261">
        <f t="shared" si="15"/>
        <v>111</v>
      </c>
      <c r="AA36" s="1261">
        <f t="shared" si="3"/>
        <v>1</v>
      </c>
      <c r="AB36" s="1261">
        <f t="shared" si="4"/>
        <v>1</v>
      </c>
      <c r="AC36" s="1261">
        <f t="shared" si="5"/>
        <v>1</v>
      </c>
    </row>
    <row r="37" spans="1:29" ht="15">
      <c r="A37" s="416" t="s">
        <v>1843</v>
      </c>
      <c r="B37" s="1818" t="s">
        <v>3355</v>
      </c>
      <c r="C37" s="1078" t="s">
        <v>0</v>
      </c>
      <c r="D37" s="418"/>
      <c r="E37" s="419"/>
      <c r="F37" s="420"/>
      <c r="G37" s="421"/>
      <c r="H37" s="422"/>
      <c r="I37" s="419"/>
      <c r="J37" s="422"/>
      <c r="K37" s="545"/>
      <c r="L37" s="2487"/>
      <c r="M37" s="2480"/>
      <c r="N37" s="2480"/>
      <c r="O37" s="2480"/>
      <c r="P37" s="3438" t="str">
        <f>A37</f>
        <v>成交单价</v>
      </c>
      <c r="Q37" s="3438"/>
      <c r="R37" s="3433">
        <f>E37</f>
        <v>0</v>
      </c>
      <c r="S37" s="3433"/>
      <c r="T37" s="3433">
        <f>G37</f>
        <v>0</v>
      </c>
      <c r="U37" s="3433"/>
      <c r="V37" s="3433">
        <f>I37</f>
        <v>0</v>
      </c>
      <c r="W37" s="3433"/>
      <c r="X37" s="385"/>
      <c r="Y37" s="672"/>
      <c r="Z37" s="385"/>
      <c r="AA37" s="385"/>
      <c r="AB37" s="385"/>
      <c r="AC37" s="385"/>
    </row>
    <row r="38" spans="1:29" ht="15.75" thickBot="1">
      <c r="A38" s="423" t="s">
        <v>1844</v>
      </c>
      <c r="B38" s="424" t="str">
        <f>B37</f>
        <v>元/平方米</v>
      </c>
      <c r="C38" s="1079" t="e">
        <f>R39</f>
        <v>#DIV/0!</v>
      </c>
      <c r="D38" s="2138" t="s">
        <v>2137</v>
      </c>
      <c r="E38" s="1080" t="e">
        <f>R38</f>
        <v>#DIV/0!</v>
      </c>
      <c r="F38" s="2139"/>
      <c r="G38" s="1079" t="e">
        <f>T38</f>
        <v>#DIV/0!</v>
      </c>
      <c r="H38" s="2139"/>
      <c r="I38" s="1080" t="e">
        <f>V38</f>
        <v>#DIV/0!</v>
      </c>
      <c r="J38" s="2139"/>
      <c r="K38" s="2141">
        <f>F38+H38+J38</f>
        <v>0</v>
      </c>
      <c r="L38" s="2487"/>
      <c r="M38" s="2480"/>
      <c r="N38" s="2480"/>
      <c r="O38" s="2480"/>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87"/>
      <c r="M39" s="2480"/>
      <c r="N39" s="2480"/>
      <c r="O39" s="2480"/>
      <c r="P39" s="3435" t="str">
        <f>A39</f>
        <v>估价对象XX用房的比较价值（楼面单价，元/平方米）</v>
      </c>
      <c r="Q39" s="3436"/>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1849</v>
      </c>
      <c r="B47" s="860"/>
      <c r="C47" s="885"/>
      <c r="D47" s="885"/>
      <c r="E47" s="885"/>
      <c r="F47" s="1085"/>
      <c r="G47" s="1085"/>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2" customFormat="1" ht="15">
      <c r="A48" s="440" t="s">
        <v>1850</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0"/>
      <c r="Q48" s="2503"/>
      <c r="R48" s="2503"/>
      <c r="S48" s="2503"/>
      <c r="T48" s="2503"/>
      <c r="U48" s="2503"/>
      <c r="V48" s="2503"/>
      <c r="W48" s="2503"/>
      <c r="X48" s="2503"/>
      <c r="Y48" s="2503"/>
      <c r="Z48" s="2503"/>
      <c r="AA48" s="2503"/>
      <c r="AB48" s="2503"/>
      <c r="AC48" s="2503"/>
    </row>
    <row r="49" spans="1:29" s="102" customFormat="1" ht="15">
      <c r="A49" s="443"/>
      <c r="B49" s="444"/>
      <c r="C49" s="1094">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75" thickBot="1">
      <c r="A50" s="449" t="s">
        <v>1715</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5">
      <c r="A51" s="455" t="s">
        <v>1680</v>
      </c>
      <c r="B51" s="444"/>
      <c r="C51" s="456" t="s">
        <v>1775</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c r="A53" s="379" t="s">
        <v>1718</v>
      </c>
      <c r="B53" s="460" t="s">
        <v>1684</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1687</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1726</v>
      </c>
      <c r="C65" s="509" t="s">
        <v>1720</v>
      </c>
      <c r="D65" s="509" t="s">
        <v>1721</v>
      </c>
      <c r="E65" s="509" t="s">
        <v>1722</v>
      </c>
      <c r="F65" s="509" t="s">
        <v>1723</v>
      </c>
      <c r="G65" s="509" t="s">
        <v>1724</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1812</v>
      </c>
      <c r="C67" s="581" t="s">
        <v>1798</v>
      </c>
      <c r="D67" s="581" t="s">
        <v>1799</v>
      </c>
      <c r="E67" s="581" t="s">
        <v>1800</v>
      </c>
      <c r="F67" s="581" t="s">
        <v>1801</v>
      </c>
      <c r="G67" s="581" t="s">
        <v>1802</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1732</v>
      </c>
      <c r="C69" s="509" t="s">
        <v>1720</v>
      </c>
      <c r="D69" s="509" t="s">
        <v>1721</v>
      </c>
      <c r="E69" s="509" t="s">
        <v>1722</v>
      </c>
      <c r="F69" s="509" t="s">
        <v>1723</v>
      </c>
      <c r="G69" s="509" t="s">
        <v>1724</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1851</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60" t="s">
        <v>1852</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1853</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1739</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1855</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1857</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1858</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1830</v>
      </c>
      <c r="B1" s="1137" t="s">
        <v>3335</v>
      </c>
      <c r="C1" s="1138" t="s">
        <v>1661</v>
      </c>
      <c r="D1" s="1139"/>
      <c r="E1" s="3124"/>
      <c r="F1" s="1732"/>
      <c r="G1" s="1149" t="s">
        <v>1766</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1461</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1462</v>
      </c>
      <c r="F2" s="1736"/>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25" t="s">
        <v>1774</v>
      </c>
      <c r="Q4" s="3426"/>
      <c r="R4" s="3408" t="s">
        <v>1770</v>
      </c>
      <c r="S4" s="3409"/>
      <c r="T4" s="3408" t="s">
        <v>1771</v>
      </c>
      <c r="U4" s="3409"/>
      <c r="V4" s="3433" t="s">
        <v>1772</v>
      </c>
      <c r="W4" s="3433"/>
      <c r="X4" s="1262"/>
      <c r="Y4" s="3408" t="s">
        <v>1774</v>
      </c>
      <c r="Z4" s="3409"/>
      <c r="AA4" s="3403" t="s">
        <v>1770</v>
      </c>
      <c r="AB4" s="3404" t="s">
        <v>1771</v>
      </c>
      <c r="AC4" s="3403" t="s">
        <v>1772</v>
      </c>
    </row>
    <row r="5" spans="1:29" ht="15">
      <c r="A5" s="348"/>
      <c r="B5" s="349"/>
      <c r="C5" s="3414" t="s">
        <v>1672</v>
      </c>
      <c r="D5" s="3415"/>
      <c r="E5" s="3412" t="s">
        <v>1673</v>
      </c>
      <c r="F5" s="3413"/>
      <c r="G5" s="3414" t="s">
        <v>1674</v>
      </c>
      <c r="H5" s="3415"/>
      <c r="I5" s="3414" t="s">
        <v>1675</v>
      </c>
      <c r="J5" s="3415"/>
      <c r="K5" s="537"/>
      <c r="L5" s="2479"/>
      <c r="M5" s="2480"/>
      <c r="N5" s="2480"/>
      <c r="O5" s="2480"/>
      <c r="P5" s="3427"/>
      <c r="Q5" s="3428"/>
      <c r="R5" s="3410"/>
      <c r="S5" s="3411"/>
      <c r="T5" s="3410"/>
      <c r="U5" s="3411"/>
      <c r="V5" s="3433"/>
      <c r="W5" s="3433"/>
      <c r="X5" s="1262"/>
      <c r="Y5" s="3410"/>
      <c r="Z5" s="3411"/>
      <c r="AA5" s="3404"/>
      <c r="AB5" s="3404"/>
      <c r="AC5" s="3404"/>
    </row>
    <row r="6" spans="1:29" ht="15.75" thickBot="1">
      <c r="A6" s="350"/>
      <c r="B6" s="351"/>
      <c r="C6" s="3416" t="s">
        <v>1676</v>
      </c>
      <c r="D6" s="3417"/>
      <c r="E6" s="3418" t="s">
        <v>1676</v>
      </c>
      <c r="F6" s="3419"/>
      <c r="G6" s="3416" t="s">
        <v>1676</v>
      </c>
      <c r="H6" s="3417"/>
      <c r="I6" s="3416" t="s">
        <v>1676</v>
      </c>
      <c r="J6" s="3417"/>
      <c r="K6" s="537" t="s">
        <v>1677</v>
      </c>
      <c r="L6" s="2479"/>
      <c r="M6" s="2480"/>
      <c r="N6" s="2480"/>
      <c r="O6" s="248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c r="F7" s="357">
        <f>SUMIF(46:46,YEAR(E7)&amp;"-"&amp;MONTH(E7),47:47)</f>
        <v>0</v>
      </c>
      <c r="G7" s="1819"/>
      <c r="H7" s="355">
        <f>SUMIF(46:46,YEAR(G7)&amp;"-"&amp;MONTH(G7),47:47)</f>
        <v>0</v>
      </c>
      <c r="I7" s="356"/>
      <c r="J7" s="355">
        <f>SUMIF(46:46,YEAR(I7)&amp;"-"&amp;MONTH(I7),47:47)</f>
        <v>0</v>
      </c>
      <c r="K7" s="38"/>
      <c r="L7" s="2481"/>
      <c r="M7" s="2433"/>
      <c r="N7" s="2433"/>
      <c r="O7" s="2433"/>
      <c r="P7" s="3406" t="s">
        <v>1679</v>
      </c>
      <c r="Q7" s="3434"/>
      <c r="R7" s="663" t="s">
        <v>14</v>
      </c>
      <c r="S7" s="664">
        <f t="shared" ref="S7:S14" si="0">F7</f>
        <v>0</v>
      </c>
      <c r="T7" s="663" t="s">
        <v>14</v>
      </c>
      <c r="U7" s="664">
        <f t="shared" ref="U7:U14" si="1">H7</f>
        <v>0</v>
      </c>
      <c r="V7" s="663" t="s">
        <v>14</v>
      </c>
      <c r="W7" s="664">
        <f t="shared" ref="W7:W14"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406" t="s">
        <v>1682</v>
      </c>
      <c r="Q8" s="3407"/>
      <c r="R8" s="663" t="s">
        <v>14</v>
      </c>
      <c r="S8" s="664">
        <f t="shared" si="0"/>
        <v>100</v>
      </c>
      <c r="T8" s="663" t="s">
        <v>14</v>
      </c>
      <c r="U8" s="664">
        <f t="shared" si="1"/>
        <v>100</v>
      </c>
      <c r="V8" s="663" t="s">
        <v>14</v>
      </c>
      <c r="W8" s="664">
        <f t="shared" si="2"/>
        <v>100</v>
      </c>
      <c r="X8" s="665"/>
      <c r="Y8" s="3406" t="s">
        <v>1682</v>
      </c>
      <c r="Z8" s="340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38" t="s">
        <v>1685</v>
      </c>
      <c r="Q9" s="530" t="str">
        <f t="shared" ref="Q9:Q14" si="6">B9</f>
        <v>用途</v>
      </c>
      <c r="R9" s="663" t="s">
        <v>14</v>
      </c>
      <c r="S9" s="664">
        <f t="shared" si="0"/>
        <v>100</v>
      </c>
      <c r="T9" s="663" t="s">
        <v>14</v>
      </c>
      <c r="U9" s="664">
        <f t="shared" si="1"/>
        <v>100</v>
      </c>
      <c r="V9" s="663" t="s">
        <v>14</v>
      </c>
      <c r="W9" s="664">
        <f t="shared" si="2"/>
        <v>100</v>
      </c>
      <c r="X9" s="665"/>
      <c r="Y9" s="3350" t="s">
        <v>1686</v>
      </c>
      <c r="Z9" s="50" t="str">
        <f t="shared" ref="Z9:Z14" si="7">Q9</f>
        <v>用途</v>
      </c>
      <c r="AA9" s="50">
        <f t="shared" si="3"/>
        <v>1</v>
      </c>
      <c r="AB9" s="50">
        <f t="shared" si="4"/>
        <v>1</v>
      </c>
      <c r="AC9" s="50">
        <f t="shared" si="5"/>
        <v>1</v>
      </c>
    </row>
    <row r="10" spans="1:29" s="366" customFormat="1" ht="27">
      <c r="A10" s="363"/>
      <c r="B10" s="364" t="s">
        <v>1687</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38"/>
      <c r="Q10" s="530"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38"/>
      <c r="Q11" s="530">
        <f t="shared" si="6"/>
        <v>111</v>
      </c>
      <c r="R11" s="663" t="s">
        <v>14</v>
      </c>
      <c r="S11" s="664">
        <f t="shared" si="0"/>
        <v>100</v>
      </c>
      <c r="T11" s="663" t="s">
        <v>14</v>
      </c>
      <c r="U11" s="664">
        <f t="shared" si="1"/>
        <v>100</v>
      </c>
      <c r="V11" s="663" t="s">
        <v>14</v>
      </c>
      <c r="W11" s="664">
        <f t="shared" si="2"/>
        <v>100</v>
      </c>
      <c r="X11" s="665"/>
      <c r="Y11" s="33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38"/>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5"/>
      <c r="M13" s="2480"/>
      <c r="N13" s="2480"/>
      <c r="O13" s="2535"/>
      <c r="P13" s="3438"/>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85.5">
      <c r="A14" s="379" t="s">
        <v>1689</v>
      </c>
      <c r="B14" s="58" t="s">
        <v>1832</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39" t="s">
        <v>1690</v>
      </c>
      <c r="Q14" s="1260" t="str">
        <f t="shared" si="6"/>
        <v>交通便捷度</v>
      </c>
      <c r="R14" s="666" t="s">
        <v>14</v>
      </c>
      <c r="S14" s="667">
        <f t="shared" si="0"/>
        <v>100</v>
      </c>
      <c r="T14" s="666" t="s">
        <v>14</v>
      </c>
      <c r="U14" s="667">
        <f t="shared" si="1"/>
        <v>100</v>
      </c>
      <c r="V14" s="666" t="s">
        <v>14</v>
      </c>
      <c r="W14" s="667">
        <f t="shared" si="2"/>
        <v>100</v>
      </c>
      <c r="X14" s="1262"/>
      <c r="Y14" s="3439" t="s">
        <v>1690</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5"/>
      <c r="M15" s="2480"/>
      <c r="N15" s="2480"/>
      <c r="O15" s="2535"/>
      <c r="P15" s="3440"/>
      <c r="Q15" s="1260"/>
      <c r="R15" s="666"/>
      <c r="S15" s="667"/>
      <c r="T15" s="666"/>
      <c r="U15" s="667"/>
      <c r="V15" s="666"/>
      <c r="W15" s="667"/>
      <c r="X15" s="1262"/>
      <c r="Y15" s="3440"/>
      <c r="Z15" s="1261"/>
      <c r="AA15" s="1261">
        <v>1</v>
      </c>
      <c r="AB15" s="1261">
        <v>1</v>
      </c>
      <c r="AC15" s="1261">
        <v>1</v>
      </c>
    </row>
    <row r="16" spans="1:29" ht="42.75">
      <c r="A16" s="367"/>
      <c r="B16" s="390" t="s">
        <v>1811</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40"/>
      <c r="Q16" s="1260" t="str">
        <f>B16</f>
        <v>公共配套设施</v>
      </c>
      <c r="R16" s="666" t="s">
        <v>14</v>
      </c>
      <c r="S16" s="667">
        <f>F16</f>
        <v>100</v>
      </c>
      <c r="T16" s="666" t="s">
        <v>14</v>
      </c>
      <c r="U16" s="667">
        <f>H16</f>
        <v>100</v>
      </c>
      <c r="V16" s="666" t="s">
        <v>14</v>
      </c>
      <c r="W16" s="667">
        <f>J16</f>
        <v>100</v>
      </c>
      <c r="X16" s="1262"/>
      <c r="Y16" s="3440"/>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5"/>
      <c r="M17" s="2480"/>
      <c r="N17" s="2480"/>
      <c r="O17" s="2535"/>
      <c r="P17" s="3440"/>
      <c r="Q17" s="1260"/>
      <c r="R17" s="666"/>
      <c r="S17" s="667"/>
      <c r="T17" s="666"/>
      <c r="U17" s="667"/>
      <c r="V17" s="666"/>
      <c r="W17" s="667"/>
      <c r="X17" s="1262"/>
      <c r="Y17" s="3440"/>
      <c r="Z17" s="1261"/>
      <c r="AA17" s="1261">
        <v>1</v>
      </c>
      <c r="AB17" s="1261">
        <v>1</v>
      </c>
      <c r="AC17" s="1261">
        <v>1</v>
      </c>
    </row>
    <row r="18" spans="1:29" ht="28.5">
      <c r="A18" s="367"/>
      <c r="B18" s="586" t="s">
        <v>1812</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40"/>
      <c r="Q18" s="1260" t="str">
        <f>B18</f>
        <v>基础设施水平</v>
      </c>
      <c r="R18" s="666" t="s">
        <v>14</v>
      </c>
      <c r="S18" s="667">
        <f>F18</f>
        <v>100</v>
      </c>
      <c r="T18" s="666" t="s">
        <v>14</v>
      </c>
      <c r="U18" s="667">
        <f>H18</f>
        <v>100</v>
      </c>
      <c r="V18" s="666" t="s">
        <v>14</v>
      </c>
      <c r="W18" s="667">
        <f>J18</f>
        <v>100</v>
      </c>
      <c r="X18" s="1262"/>
      <c r="Y18" s="3440"/>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5"/>
      <c r="M19" s="2480"/>
      <c r="N19" s="2480"/>
      <c r="O19" s="2535"/>
      <c r="P19" s="3440"/>
      <c r="Q19" s="1260"/>
      <c r="R19" s="666"/>
      <c r="S19" s="667"/>
      <c r="T19" s="666"/>
      <c r="U19" s="667"/>
      <c r="V19" s="666"/>
      <c r="W19" s="667"/>
      <c r="X19" s="1262"/>
      <c r="Y19" s="3440"/>
      <c r="Z19" s="1261"/>
      <c r="AA19" s="1261">
        <v>1</v>
      </c>
      <c r="AB19" s="1261">
        <v>1</v>
      </c>
      <c r="AC19" s="1261">
        <v>1</v>
      </c>
    </row>
    <row r="20" spans="1:29" ht="57">
      <c r="A20" s="367"/>
      <c r="B20" s="390" t="s">
        <v>1833</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40"/>
      <c r="Q20" s="1260" t="str">
        <f>B20</f>
        <v>自然及人文环境</v>
      </c>
      <c r="R20" s="666" t="s">
        <v>14</v>
      </c>
      <c r="S20" s="667">
        <f>F20</f>
        <v>100</v>
      </c>
      <c r="T20" s="666" t="s">
        <v>14</v>
      </c>
      <c r="U20" s="667">
        <f>H20</f>
        <v>100</v>
      </c>
      <c r="V20" s="666" t="s">
        <v>14</v>
      </c>
      <c r="W20" s="667">
        <f>J20</f>
        <v>100</v>
      </c>
      <c r="X20" s="1262"/>
      <c r="Y20" s="3440"/>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5"/>
      <c r="M21" s="2480"/>
      <c r="N21" s="2480"/>
      <c r="O21" s="2535"/>
      <c r="P21" s="3440"/>
      <c r="Q21" s="1260"/>
      <c r="R21" s="666"/>
      <c r="S21" s="667"/>
      <c r="T21" s="666"/>
      <c r="U21" s="667"/>
      <c r="V21" s="666"/>
      <c r="W21" s="667"/>
      <c r="X21" s="1262"/>
      <c r="Y21" s="3440"/>
      <c r="Z21" s="1261"/>
      <c r="AA21" s="1261">
        <v>1</v>
      </c>
      <c r="AB21" s="1261">
        <v>1</v>
      </c>
      <c r="AC21" s="1261">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40"/>
      <c r="Q22" s="1260" t="str">
        <f>B22</f>
        <v>楼层</v>
      </c>
      <c r="R22" s="666" t="s">
        <v>14</v>
      </c>
      <c r="S22" s="667">
        <f>F22</f>
        <v>100</v>
      </c>
      <c r="T22" s="666" t="s">
        <v>14</v>
      </c>
      <c r="U22" s="667">
        <f>H22</f>
        <v>100</v>
      </c>
      <c r="V22" s="666" t="s">
        <v>14</v>
      </c>
      <c r="W22" s="667">
        <f>J22</f>
        <v>100</v>
      </c>
      <c r="X22" s="1262"/>
      <c r="Y22" s="3440"/>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40"/>
      <c r="Q23" s="1260">
        <f>B23</f>
        <v>111</v>
      </c>
      <c r="R23" s="666" t="s">
        <v>14</v>
      </c>
      <c r="S23" s="667">
        <f>F23</f>
        <v>100</v>
      </c>
      <c r="T23" s="666" t="s">
        <v>14</v>
      </c>
      <c r="U23" s="667">
        <f>H23</f>
        <v>100</v>
      </c>
      <c r="V23" s="666" t="s">
        <v>14</v>
      </c>
      <c r="W23" s="667">
        <f>J23</f>
        <v>100</v>
      </c>
      <c r="X23" s="1262"/>
      <c r="Y23" s="3440"/>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40"/>
      <c r="Q24" s="1260">
        <f t="shared" ref="Q24:Q34" si="11">B24</f>
        <v>111</v>
      </c>
      <c r="R24" s="666" t="s">
        <v>14</v>
      </c>
      <c r="S24" s="667">
        <f>F24</f>
        <v>100</v>
      </c>
      <c r="T24" s="666" t="s">
        <v>14</v>
      </c>
      <c r="U24" s="667">
        <f>H24</f>
        <v>100</v>
      </c>
      <c r="V24" s="666" t="s">
        <v>14</v>
      </c>
      <c r="W24" s="667">
        <f>J24</f>
        <v>100</v>
      </c>
      <c r="X24" s="1262"/>
      <c r="Y24" s="3440"/>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1"/>
      <c r="M25" s="2433"/>
      <c r="N25" s="2433"/>
      <c r="O25" s="2533"/>
      <c r="P25" s="3440"/>
      <c r="Q25" s="530">
        <f t="shared" si="11"/>
        <v>111</v>
      </c>
      <c r="R25" s="663" t="s">
        <v>14</v>
      </c>
      <c r="S25" s="664">
        <f>F25</f>
        <v>100</v>
      </c>
      <c r="T25" s="663" t="s">
        <v>14</v>
      </c>
      <c r="U25" s="664">
        <f>H25</f>
        <v>100</v>
      </c>
      <c r="V25" s="663" t="s">
        <v>14</v>
      </c>
      <c r="W25" s="664">
        <f>J25</f>
        <v>100</v>
      </c>
      <c r="X25" s="665"/>
      <c r="Y25" s="3440"/>
      <c r="Z25" s="50">
        <f>Q25</f>
        <v>111</v>
      </c>
      <c r="AA25" s="1261">
        <f>D25/F25</f>
        <v>1</v>
      </c>
      <c r="AB25" s="1261">
        <f>D25/H25</f>
        <v>1</v>
      </c>
      <c r="AC25" s="1261">
        <f>D25/J25</f>
        <v>1</v>
      </c>
    </row>
    <row r="26" spans="1:29" ht="28.5">
      <c r="A26" s="404" t="s">
        <v>1693</v>
      </c>
      <c r="B26" s="60" t="s">
        <v>1837</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463" t="s">
        <v>1695</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44" t="s">
        <v>1695</v>
      </c>
      <c r="Z26" s="1261" t="str">
        <f t="shared" ref="Z26:Z34" si="15">Q26</f>
        <v>公共部分装修</v>
      </c>
      <c r="AA26" s="1261">
        <f t="shared" si="3"/>
        <v>1</v>
      </c>
      <c r="AB26" s="1261">
        <f t="shared" si="4"/>
        <v>1</v>
      </c>
      <c r="AC26" s="1261">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44"/>
      <c r="Q27" s="531" t="str">
        <f t="shared" si="11"/>
        <v>成新率</v>
      </c>
      <c r="R27" s="668" t="s">
        <v>14</v>
      </c>
      <c r="S27" s="669" t="e">
        <f t="shared" si="12"/>
        <v>#N/A</v>
      </c>
      <c r="T27" s="668" t="s">
        <v>14</v>
      </c>
      <c r="U27" s="669" t="e">
        <f t="shared" si="13"/>
        <v>#N/A</v>
      </c>
      <c r="V27" s="668" t="s">
        <v>14</v>
      </c>
      <c r="W27" s="669" t="e">
        <f t="shared" si="14"/>
        <v>#N/A</v>
      </c>
      <c r="X27" s="670"/>
      <c r="Y27" s="3444"/>
      <c r="Z27" s="671" t="str">
        <f t="shared" si="15"/>
        <v>成新率</v>
      </c>
      <c r="AA27" s="1261" t="e">
        <f t="shared" si="3"/>
        <v>#N/A</v>
      </c>
      <c r="AB27" s="1261" t="e">
        <f t="shared" si="4"/>
        <v>#N/A</v>
      </c>
      <c r="AC27" s="1261"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44"/>
      <c r="Q28" s="1260" t="str">
        <f t="shared" si="11"/>
        <v>物业等级</v>
      </c>
      <c r="R28" s="666" t="s">
        <v>14</v>
      </c>
      <c r="S28" s="667">
        <f t="shared" si="12"/>
        <v>100</v>
      </c>
      <c r="T28" s="666" t="s">
        <v>14</v>
      </c>
      <c r="U28" s="667">
        <f t="shared" si="13"/>
        <v>100</v>
      </c>
      <c r="V28" s="666" t="s">
        <v>14</v>
      </c>
      <c r="W28" s="667">
        <f t="shared" si="14"/>
        <v>100</v>
      </c>
      <c r="X28" s="1262"/>
      <c r="Y28" s="3444"/>
      <c r="Z28" s="1261" t="str">
        <f t="shared" si="15"/>
        <v>物业等级</v>
      </c>
      <c r="AA28" s="1261">
        <f t="shared" si="3"/>
        <v>1</v>
      </c>
      <c r="AB28" s="1261">
        <f t="shared" si="4"/>
        <v>1</v>
      </c>
      <c r="AC28" s="1261">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44"/>
      <c r="Q29" s="1260" t="str">
        <f t="shared" si="11"/>
        <v>有无电梯</v>
      </c>
      <c r="R29" s="666" t="s">
        <v>14</v>
      </c>
      <c r="S29" s="667">
        <f t="shared" si="12"/>
        <v>100</v>
      </c>
      <c r="T29" s="666" t="s">
        <v>14</v>
      </c>
      <c r="U29" s="667">
        <f t="shared" si="13"/>
        <v>100</v>
      </c>
      <c r="V29" s="666" t="s">
        <v>14</v>
      </c>
      <c r="W29" s="667">
        <f t="shared" si="14"/>
        <v>100</v>
      </c>
      <c r="X29" s="1262"/>
      <c r="Y29" s="3444"/>
      <c r="Z29" s="1261" t="str">
        <f t="shared" si="15"/>
        <v>有无电梯</v>
      </c>
      <c r="AA29" s="1261">
        <f t="shared" si="3"/>
        <v>1</v>
      </c>
      <c r="AB29" s="1261">
        <f t="shared" si="4"/>
        <v>1</v>
      </c>
      <c r="AC29" s="1261">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44"/>
      <c r="Q30" s="1260" t="str">
        <f t="shared" si="11"/>
        <v>建筑面积</v>
      </c>
      <c r="R30" s="666" t="s">
        <v>14</v>
      </c>
      <c r="S30" s="667" t="e">
        <f t="shared" si="12"/>
        <v>#N/A</v>
      </c>
      <c r="T30" s="666" t="s">
        <v>14</v>
      </c>
      <c r="U30" s="667" t="e">
        <f t="shared" si="13"/>
        <v>#N/A</v>
      </c>
      <c r="V30" s="666" t="s">
        <v>14</v>
      </c>
      <c r="W30" s="667" t="e">
        <f t="shared" si="14"/>
        <v>#N/A</v>
      </c>
      <c r="X30" s="1262"/>
      <c r="Y30" s="3444"/>
      <c r="Z30" s="1261" t="str">
        <f t="shared" si="15"/>
        <v>建筑面积</v>
      </c>
      <c r="AA30" s="1261" t="e">
        <f t="shared" si="3"/>
        <v>#N/A</v>
      </c>
      <c r="AB30" s="1261" t="e">
        <f t="shared" si="4"/>
        <v>#N/A</v>
      </c>
      <c r="AC30" s="1261"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444"/>
      <c r="Q31" s="530" t="str">
        <f t="shared" si="11"/>
        <v>是否封闭</v>
      </c>
      <c r="R31" s="663" t="s">
        <v>14</v>
      </c>
      <c r="S31" s="664">
        <f t="shared" si="12"/>
        <v>100</v>
      </c>
      <c r="T31" s="663" t="s">
        <v>14</v>
      </c>
      <c r="U31" s="664">
        <f t="shared" si="13"/>
        <v>100</v>
      </c>
      <c r="V31" s="663" t="s">
        <v>14</v>
      </c>
      <c r="W31" s="664">
        <f t="shared" si="14"/>
        <v>100</v>
      </c>
      <c r="X31" s="665"/>
      <c r="Y31" s="344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44" t="s">
        <v>1695</v>
      </c>
      <c r="Q32" s="1260">
        <f t="shared" si="11"/>
        <v>111</v>
      </c>
      <c r="R32" s="666" t="s">
        <v>14</v>
      </c>
      <c r="S32" s="667">
        <f t="shared" si="12"/>
        <v>100</v>
      </c>
      <c r="T32" s="666" t="s">
        <v>14</v>
      </c>
      <c r="U32" s="667">
        <f t="shared" si="13"/>
        <v>100</v>
      </c>
      <c r="V32" s="666" t="s">
        <v>14</v>
      </c>
      <c r="W32" s="667">
        <f t="shared" si="14"/>
        <v>100</v>
      </c>
      <c r="X32" s="1262"/>
      <c r="Y32" s="3444" t="s">
        <v>1695</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44"/>
      <c r="Q33" s="1260">
        <f t="shared" si="11"/>
        <v>111</v>
      </c>
      <c r="R33" s="666" t="s">
        <v>14</v>
      </c>
      <c r="S33" s="667">
        <f t="shared" si="12"/>
        <v>100</v>
      </c>
      <c r="T33" s="666" t="s">
        <v>14</v>
      </c>
      <c r="U33" s="667">
        <f t="shared" si="13"/>
        <v>100</v>
      </c>
      <c r="V33" s="666" t="s">
        <v>14</v>
      </c>
      <c r="W33" s="667">
        <f t="shared" si="14"/>
        <v>100</v>
      </c>
      <c r="X33" s="1262"/>
      <c r="Y33" s="3444"/>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5"/>
      <c r="M34" s="2480"/>
      <c r="N34" s="2480"/>
      <c r="O34" s="2535"/>
      <c r="P34" s="3444"/>
      <c r="Q34" s="1260">
        <f t="shared" si="11"/>
        <v>111</v>
      </c>
      <c r="R34" s="666" t="s">
        <v>14</v>
      </c>
      <c r="S34" s="667">
        <f t="shared" si="12"/>
        <v>100</v>
      </c>
      <c r="T34" s="666" t="s">
        <v>14</v>
      </c>
      <c r="U34" s="667">
        <f t="shared" si="13"/>
        <v>100</v>
      </c>
      <c r="V34" s="666" t="s">
        <v>14</v>
      </c>
      <c r="W34" s="667">
        <f t="shared" si="14"/>
        <v>100</v>
      </c>
      <c r="X34" s="1262"/>
      <c r="Y34" s="3444"/>
      <c r="Z34" s="1261">
        <f t="shared" si="15"/>
        <v>111</v>
      </c>
      <c r="AA34" s="1261">
        <f t="shared" si="3"/>
        <v>1</v>
      </c>
      <c r="AB34" s="1261">
        <f t="shared" si="4"/>
        <v>1</v>
      </c>
      <c r="AC34" s="1261">
        <f t="shared" si="5"/>
        <v>1</v>
      </c>
    </row>
    <row r="35" spans="1:30" ht="15">
      <c r="A35" s="416" t="s">
        <v>1707</v>
      </c>
      <c r="B35" s="417"/>
      <c r="C35" s="1078" t="s">
        <v>0</v>
      </c>
      <c r="D35" s="418"/>
      <c r="E35" s="419"/>
      <c r="F35" s="420"/>
      <c r="G35" s="421"/>
      <c r="H35" s="422"/>
      <c r="I35" s="419"/>
      <c r="J35" s="422"/>
      <c r="K35" s="673"/>
      <c r="L35" s="2487"/>
      <c r="M35" s="2480"/>
      <c r="N35" s="2480"/>
      <c r="O35" s="2480"/>
      <c r="P35" s="3438" t="str">
        <f>A35</f>
        <v>成交单价（元/平方米）</v>
      </c>
      <c r="Q35" s="3438"/>
      <c r="R35" s="3433">
        <f>E35</f>
        <v>0</v>
      </c>
      <c r="S35" s="3433"/>
      <c r="T35" s="3433">
        <f>G35</f>
        <v>0</v>
      </c>
      <c r="U35" s="3433"/>
      <c r="V35" s="3433">
        <f>I35</f>
        <v>0</v>
      </c>
      <c r="W35" s="3433"/>
      <c r="X35" s="385"/>
      <c r="Y35" s="672"/>
      <c r="Z35" s="385"/>
      <c r="AA35" s="385"/>
      <c r="AB35" s="385"/>
      <c r="AC35" s="385"/>
    </row>
    <row r="36" spans="1:30" ht="15.75" thickBot="1">
      <c r="A36" s="423" t="s">
        <v>1792</v>
      </c>
      <c r="B36" s="424"/>
      <c r="C36" s="1079" t="e">
        <f>R37</f>
        <v>#DIV/0!</v>
      </c>
      <c r="D36" s="2138" t="s">
        <v>2137</v>
      </c>
      <c r="E36" s="1080" t="e">
        <f>R36</f>
        <v>#DIV/0!</v>
      </c>
      <c r="F36" s="2139"/>
      <c r="G36" s="1079" t="e">
        <f>T36</f>
        <v>#DIV/0!</v>
      </c>
      <c r="H36" s="2139"/>
      <c r="I36" s="1080" t="e">
        <f>V36</f>
        <v>#DIV/0!</v>
      </c>
      <c r="J36" s="2139"/>
      <c r="K36" s="2141">
        <f>F36+H36+J36</f>
        <v>0</v>
      </c>
      <c r="L36" s="2487"/>
      <c r="M36" s="2480"/>
      <c r="N36" s="2480"/>
      <c r="O36" s="2480"/>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87"/>
      <c r="M37" s="2480"/>
      <c r="N37" s="2480"/>
      <c r="O37" s="2480"/>
      <c r="P37" s="3435" t="str">
        <f>A37</f>
        <v>估价对象XX用房的比较价值（楼面单价，元/平方米）</v>
      </c>
      <c r="Q37" s="3436"/>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1797</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1678</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9">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75" thickBot="1">
      <c r="A48" s="449" t="s">
        <v>1715</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5">
      <c r="A49" s="455" t="s">
        <v>1680</v>
      </c>
      <c r="B49" s="444"/>
      <c r="C49" s="456" t="s">
        <v>1775</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c r="A51" s="379" t="s">
        <v>1718</v>
      </c>
      <c r="B51" s="460" t="s">
        <v>1684</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1687</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1862</v>
      </c>
      <c r="C63" s="509" t="s">
        <v>1720</v>
      </c>
      <c r="D63" s="509" t="s">
        <v>1721</v>
      </c>
      <c r="E63" s="509" t="s">
        <v>1722</v>
      </c>
      <c r="F63" s="509" t="s">
        <v>1723</v>
      </c>
      <c r="G63" s="509" t="s">
        <v>1724</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1812</v>
      </c>
      <c r="C65" s="581" t="s">
        <v>1798</v>
      </c>
      <c r="D65" s="581" t="s">
        <v>1799</v>
      </c>
      <c r="E65" s="581" t="s">
        <v>1800</v>
      </c>
      <c r="F65" s="581" t="s">
        <v>1801</v>
      </c>
      <c r="G65" s="581" t="s">
        <v>1802</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1732</v>
      </c>
      <c r="C67" s="509" t="s">
        <v>1720</v>
      </c>
      <c r="D67" s="509" t="s">
        <v>1721</v>
      </c>
      <c r="E67" s="509" t="s">
        <v>1722</v>
      </c>
      <c r="F67" s="509" t="s">
        <v>1723</v>
      </c>
      <c r="G67" s="509" t="s">
        <v>1724</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1851</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60" t="s">
        <v>1739</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1855</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1863</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1865</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08"/>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25" t="s">
        <v>1774</v>
      </c>
      <c r="Q4" s="3426"/>
      <c r="R4" s="3408" t="s">
        <v>1770</v>
      </c>
      <c r="S4" s="3409"/>
      <c r="T4" s="3408" t="s">
        <v>1771</v>
      </c>
      <c r="U4" s="3409"/>
      <c r="V4" s="3433" t="s">
        <v>1772</v>
      </c>
      <c r="W4" s="3433"/>
      <c r="X4" s="1262"/>
      <c r="Y4" s="3408" t="s">
        <v>1774</v>
      </c>
      <c r="Z4" s="3409"/>
      <c r="AA4" s="3403" t="s">
        <v>1770</v>
      </c>
      <c r="AB4" s="3404" t="s">
        <v>1771</v>
      </c>
      <c r="AC4" s="3403" t="s">
        <v>1772</v>
      </c>
    </row>
    <row r="5" spans="1:29" ht="15">
      <c r="A5" s="348"/>
      <c r="B5" s="349"/>
      <c r="C5" s="3414" t="s">
        <v>1672</v>
      </c>
      <c r="D5" s="3415"/>
      <c r="E5" s="3412" t="s">
        <v>1673</v>
      </c>
      <c r="F5" s="3413"/>
      <c r="G5" s="3414" t="s">
        <v>1674</v>
      </c>
      <c r="H5" s="3415"/>
      <c r="I5" s="3414" t="s">
        <v>1675</v>
      </c>
      <c r="J5" s="3415"/>
      <c r="K5" s="537"/>
      <c r="L5" s="2479"/>
      <c r="M5" s="2480"/>
      <c r="N5" s="2480"/>
      <c r="O5" s="2480"/>
      <c r="P5" s="3427"/>
      <c r="Q5" s="3428"/>
      <c r="R5" s="3410"/>
      <c r="S5" s="3411"/>
      <c r="T5" s="3410"/>
      <c r="U5" s="3411"/>
      <c r="V5" s="3433"/>
      <c r="W5" s="3433"/>
      <c r="X5" s="1262"/>
      <c r="Y5" s="3410"/>
      <c r="Z5" s="3411"/>
      <c r="AA5" s="3404"/>
      <c r="AB5" s="3404"/>
      <c r="AC5" s="3404"/>
    </row>
    <row r="6" spans="1:29" ht="15.75" thickBot="1">
      <c r="A6" s="350"/>
      <c r="B6" s="351"/>
      <c r="C6" s="3416" t="s">
        <v>1676</v>
      </c>
      <c r="D6" s="3417"/>
      <c r="E6" s="3418" t="s">
        <v>1676</v>
      </c>
      <c r="F6" s="3419"/>
      <c r="G6" s="3416" t="s">
        <v>1676</v>
      </c>
      <c r="H6" s="3417"/>
      <c r="I6" s="3416" t="s">
        <v>1676</v>
      </c>
      <c r="J6" s="3417"/>
      <c r="K6" s="537" t="s">
        <v>1677</v>
      </c>
      <c r="L6" s="2479"/>
      <c r="M6" s="2480"/>
      <c r="N6" s="2480"/>
      <c r="O6" s="248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c r="F7" s="357">
        <f>SUMIF(69:69,YEAR(E7)&amp;"-"&amp;INT((MONTH(E7)+2)/3),70:70)</f>
        <v>0</v>
      </c>
      <c r="G7" s="1819"/>
      <c r="H7" s="355">
        <f>SUMIF(69:69,YEAR(G7)&amp;"-"&amp;INT((MONTH(G7)+2)/3),70:70)</f>
        <v>0</v>
      </c>
      <c r="I7" s="1819"/>
      <c r="J7" s="355">
        <f>SUMIF(69:69,YEAR(I7)&amp;"-"&amp;INT((MONTH(I7)+2)/3),70:70)</f>
        <v>0</v>
      </c>
      <c r="K7" s="38"/>
      <c r="L7" s="2481"/>
      <c r="M7" s="2433"/>
      <c r="N7" s="2433"/>
      <c r="O7" s="2433"/>
      <c r="P7" s="3406" t="s">
        <v>1679</v>
      </c>
      <c r="Q7" s="3434"/>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406" t="s">
        <v>1682</v>
      </c>
      <c r="Q8" s="3407"/>
      <c r="R8" s="663" t="s">
        <v>14</v>
      </c>
      <c r="S8" s="664">
        <f t="shared" si="0"/>
        <v>0</v>
      </c>
      <c r="T8" s="663" t="s">
        <v>14</v>
      </c>
      <c r="U8" s="664">
        <f t="shared" si="1"/>
        <v>0</v>
      </c>
      <c r="V8" s="663" t="s">
        <v>14</v>
      </c>
      <c r="W8" s="664">
        <f t="shared" si="2"/>
        <v>0</v>
      </c>
      <c r="X8" s="665"/>
      <c r="Y8" s="3406" t="s">
        <v>1682</v>
      </c>
      <c r="Z8" s="3407"/>
      <c r="AA8" s="50" t="e">
        <f t="shared" ref="AA8:AA45" si="3">D8/F8</f>
        <v>#DIV/0!</v>
      </c>
      <c r="AB8" s="50" t="e">
        <f t="shared" ref="AB8:AB45" si="4">D8/H8</f>
        <v>#DIV/0!</v>
      </c>
      <c r="AC8" s="50" t="e">
        <f t="shared" ref="AC8:AC45" si="5">D8/J8</f>
        <v>#DIV/0!</v>
      </c>
    </row>
    <row r="9" spans="1:29" s="102" customFormat="1">
      <c r="A9" s="359"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38"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107</v>
      </c>
      <c r="G10" s="402"/>
      <c r="H10" s="119">
        <f>ROUND(100/'数据-取费表'!G16,0)</f>
        <v>107</v>
      </c>
      <c r="I10" s="402"/>
      <c r="J10" s="119">
        <f>ROUND(100/'数据-取费表'!G16,0)</f>
        <v>107</v>
      </c>
      <c r="K10" s="592"/>
      <c r="L10" s="2482"/>
      <c r="M10" s="2483"/>
      <c r="N10" s="2483"/>
      <c r="O10" s="2534"/>
      <c r="P10" s="3438"/>
      <c r="Q10" s="530" t="str">
        <f t="shared" si="6"/>
        <v>土地使用年限（年）</v>
      </c>
      <c r="R10" s="663" t="s">
        <v>14</v>
      </c>
      <c r="S10" s="664">
        <f t="shared" si="0"/>
        <v>107</v>
      </c>
      <c r="T10" s="663" t="s">
        <v>14</v>
      </c>
      <c r="U10" s="664">
        <f t="shared" si="1"/>
        <v>107</v>
      </c>
      <c r="V10" s="663" t="s">
        <v>14</v>
      </c>
      <c r="W10" s="664">
        <f t="shared" si="2"/>
        <v>107</v>
      </c>
      <c r="X10" s="665"/>
      <c r="Y10" s="3350"/>
      <c r="Z10" s="50" t="str">
        <f t="shared" si="7"/>
        <v>土地使用年限（年）</v>
      </c>
      <c r="AA10" s="50">
        <f t="shared" si="3"/>
        <v>0.93457943925233644</v>
      </c>
      <c r="AB10" s="50">
        <f t="shared" si="4"/>
        <v>0.93457943925233644</v>
      </c>
      <c r="AC10" s="50">
        <f t="shared" si="5"/>
        <v>0.93457943925233644</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38"/>
      <c r="Q11" s="530" t="str">
        <f t="shared" si="6"/>
        <v>容积率</v>
      </c>
      <c r="R11" s="663" t="s">
        <v>14</v>
      </c>
      <c r="S11" s="664" t="e">
        <f t="shared" si="0"/>
        <v>#N/A</v>
      </c>
      <c r="T11" s="663" t="s">
        <v>14</v>
      </c>
      <c r="U11" s="664" t="e">
        <f t="shared" si="1"/>
        <v>#N/A</v>
      </c>
      <c r="V11" s="663" t="s">
        <v>14</v>
      </c>
      <c r="W11" s="664" t="e">
        <f t="shared" si="2"/>
        <v>#N/A</v>
      </c>
      <c r="X11" s="665"/>
      <c r="Y11" s="3350"/>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438"/>
      <c r="Q12" s="530" t="str">
        <f t="shared" si="6"/>
        <v>配建</v>
      </c>
      <c r="R12" s="663" t="s">
        <v>14</v>
      </c>
      <c r="S12" s="664">
        <f t="shared" si="0"/>
        <v>100</v>
      </c>
      <c r="T12" s="663" t="s">
        <v>14</v>
      </c>
      <c r="U12" s="664">
        <f t="shared" si="1"/>
        <v>100</v>
      </c>
      <c r="V12" s="663" t="s">
        <v>14</v>
      </c>
      <c r="W12" s="664">
        <f t="shared" si="2"/>
        <v>100</v>
      </c>
      <c r="X12" s="665"/>
      <c r="Y12" s="33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38"/>
      <c r="Q13" s="530">
        <f t="shared" si="6"/>
        <v>111</v>
      </c>
      <c r="R13" s="663" t="s">
        <v>14</v>
      </c>
      <c r="S13" s="664">
        <f t="shared" si="0"/>
        <v>100</v>
      </c>
      <c r="T13" s="663" t="s">
        <v>14</v>
      </c>
      <c r="U13" s="664">
        <f t="shared" si="1"/>
        <v>100</v>
      </c>
      <c r="V13" s="663" t="s">
        <v>14</v>
      </c>
      <c r="W13" s="664">
        <f t="shared" si="2"/>
        <v>100</v>
      </c>
      <c r="X13" s="665"/>
      <c r="Y13" s="3350"/>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38"/>
      <c r="Q14" s="530">
        <f t="shared" si="6"/>
        <v>111</v>
      </c>
      <c r="R14" s="663" t="s">
        <v>14</v>
      </c>
      <c r="S14" s="664">
        <f t="shared" si="0"/>
        <v>100</v>
      </c>
      <c r="T14" s="663" t="s">
        <v>14</v>
      </c>
      <c r="U14" s="664">
        <f t="shared" si="1"/>
        <v>100</v>
      </c>
      <c r="V14" s="663" t="s">
        <v>14</v>
      </c>
      <c r="W14" s="664">
        <f t="shared" si="2"/>
        <v>100</v>
      </c>
      <c r="X14" s="665"/>
      <c r="Y14" s="3350"/>
      <c r="Z14" s="50">
        <f t="shared" si="7"/>
        <v>111</v>
      </c>
      <c r="AA14" s="50">
        <f>D14/F14</f>
        <v>1</v>
      </c>
      <c r="AB14" s="50">
        <f>D14/H14</f>
        <v>1</v>
      </c>
      <c r="AC14" s="50">
        <f>D14/J14</f>
        <v>1</v>
      </c>
    </row>
    <row r="15" spans="1:29" ht="99.75">
      <c r="A15" s="379" t="s">
        <v>1689</v>
      </c>
      <c r="B15" s="58" t="s">
        <v>1256</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39" t="s">
        <v>1690</v>
      </c>
      <c r="Q15" s="1260" t="str">
        <f t="shared" si="6"/>
        <v>居住社区成熟度</v>
      </c>
      <c r="R15" s="666" t="s">
        <v>14</v>
      </c>
      <c r="S15" s="667">
        <f t="shared" si="0"/>
        <v>100</v>
      </c>
      <c r="T15" s="666" t="s">
        <v>14</v>
      </c>
      <c r="U15" s="667">
        <f t="shared" si="1"/>
        <v>100</v>
      </c>
      <c r="V15" s="666" t="s">
        <v>14</v>
      </c>
      <c r="W15" s="667">
        <f t="shared" si="2"/>
        <v>100</v>
      </c>
      <c r="X15" s="1262"/>
      <c r="Y15" s="3439" t="s">
        <v>1690</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5"/>
      <c r="M16" s="2480"/>
      <c r="N16" s="2480"/>
      <c r="O16" s="2535"/>
      <c r="P16" s="3440"/>
      <c r="Q16" s="1260"/>
      <c r="R16" s="666"/>
      <c r="S16" s="667"/>
      <c r="T16" s="666"/>
      <c r="U16" s="667"/>
      <c r="V16" s="666"/>
      <c r="W16" s="667"/>
      <c r="X16" s="1262"/>
      <c r="Y16" s="3440"/>
      <c r="Z16" s="1261"/>
      <c r="AA16" s="1261">
        <v>1</v>
      </c>
      <c r="AB16" s="1261">
        <v>1</v>
      </c>
      <c r="AC16" s="1261">
        <v>1</v>
      </c>
    </row>
    <row r="17" spans="1:29" ht="71.25">
      <c r="A17" s="367"/>
      <c r="B17" s="390" t="s">
        <v>1776</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40"/>
      <c r="Q17" s="1260" t="str">
        <f>B17</f>
        <v>商业繁华度</v>
      </c>
      <c r="R17" s="666" t="s">
        <v>14</v>
      </c>
      <c r="S17" s="667">
        <f>F17</f>
        <v>100</v>
      </c>
      <c r="T17" s="666" t="s">
        <v>14</v>
      </c>
      <c r="U17" s="667">
        <f>H17</f>
        <v>100</v>
      </c>
      <c r="V17" s="666" t="s">
        <v>14</v>
      </c>
      <c r="W17" s="667">
        <f>J17</f>
        <v>100</v>
      </c>
      <c r="X17" s="1262"/>
      <c r="Y17" s="3440"/>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5"/>
      <c r="M18" s="2480"/>
      <c r="N18" s="2480"/>
      <c r="O18" s="2535"/>
      <c r="P18" s="3440"/>
      <c r="Q18" s="1260"/>
      <c r="R18" s="666"/>
      <c r="S18" s="667"/>
      <c r="T18" s="666"/>
      <c r="U18" s="667"/>
      <c r="V18" s="666"/>
      <c r="W18" s="667"/>
      <c r="X18" s="1262"/>
      <c r="Y18" s="3440"/>
      <c r="Z18" s="1261"/>
      <c r="AA18" s="1261">
        <v>1</v>
      </c>
      <c r="AB18" s="1261">
        <v>1</v>
      </c>
      <c r="AC18" s="1261">
        <v>1</v>
      </c>
    </row>
    <row r="19" spans="1:29" ht="71.25">
      <c r="A19" s="367"/>
      <c r="B19" s="390" t="s">
        <v>1810</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40"/>
      <c r="Q19" s="1260" t="str">
        <f>B19</f>
        <v>办公集聚程度</v>
      </c>
      <c r="R19" s="666" t="s">
        <v>14</v>
      </c>
      <c r="S19" s="667">
        <f>F19</f>
        <v>100</v>
      </c>
      <c r="T19" s="666" t="s">
        <v>14</v>
      </c>
      <c r="U19" s="667">
        <f>H19</f>
        <v>100</v>
      </c>
      <c r="V19" s="666" t="s">
        <v>14</v>
      </c>
      <c r="W19" s="667">
        <f>J19</f>
        <v>100</v>
      </c>
      <c r="X19" s="1262"/>
      <c r="Y19" s="3440"/>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5"/>
      <c r="M20" s="2480"/>
      <c r="N20" s="2480"/>
      <c r="O20" s="2535"/>
      <c r="P20" s="3440"/>
      <c r="Q20" s="1260"/>
      <c r="R20" s="666"/>
      <c r="S20" s="667"/>
      <c r="T20" s="666"/>
      <c r="U20" s="667"/>
      <c r="V20" s="666"/>
      <c r="W20" s="667"/>
      <c r="X20" s="1262"/>
      <c r="Y20" s="3440"/>
      <c r="Z20" s="1261"/>
      <c r="AA20" s="1261">
        <v>1</v>
      </c>
      <c r="AB20" s="1261">
        <v>1</v>
      </c>
      <c r="AC20" s="1261">
        <v>1</v>
      </c>
    </row>
    <row r="21" spans="1:29" ht="85.5">
      <c r="A21" s="367"/>
      <c r="B21" s="390" t="s">
        <v>1832</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40"/>
      <c r="Q21" s="1260" t="str">
        <f>B21</f>
        <v>交通便捷度</v>
      </c>
      <c r="R21" s="666" t="s">
        <v>14</v>
      </c>
      <c r="S21" s="667">
        <f>F21</f>
        <v>100</v>
      </c>
      <c r="T21" s="666" t="s">
        <v>14</v>
      </c>
      <c r="U21" s="667">
        <f>H21</f>
        <v>100</v>
      </c>
      <c r="V21" s="666" t="s">
        <v>14</v>
      </c>
      <c r="W21" s="667">
        <f>J21</f>
        <v>100</v>
      </c>
      <c r="X21" s="1262"/>
      <c r="Y21" s="3440"/>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5"/>
      <c r="M22" s="2480"/>
      <c r="N22" s="2480"/>
      <c r="O22" s="2535"/>
      <c r="P22" s="3440"/>
      <c r="Q22" s="1260"/>
      <c r="R22" s="666"/>
      <c r="S22" s="667"/>
      <c r="T22" s="666"/>
      <c r="U22" s="667"/>
      <c r="V22" s="666"/>
      <c r="W22" s="667"/>
      <c r="X22" s="1262"/>
      <c r="Y22" s="3440"/>
      <c r="Z22" s="1261"/>
      <c r="AA22" s="1261">
        <v>1</v>
      </c>
      <c r="AB22" s="1261">
        <v>1</v>
      </c>
      <c r="AC22" s="1261">
        <v>1</v>
      </c>
    </row>
    <row r="23" spans="1:29" ht="15">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40"/>
      <c r="Q23" s="1260" t="str">
        <f t="shared" ref="Q23:Q37" si="8">B23</f>
        <v>区域土地利用方向</v>
      </c>
      <c r="R23" s="666" t="s">
        <v>14</v>
      </c>
      <c r="S23" s="667">
        <f>F23</f>
        <v>100</v>
      </c>
      <c r="T23" s="666" t="s">
        <v>14</v>
      </c>
      <c r="U23" s="667">
        <f>H23</f>
        <v>100</v>
      </c>
      <c r="V23" s="666" t="s">
        <v>14</v>
      </c>
      <c r="W23" s="667">
        <f>J23</f>
        <v>100</v>
      </c>
      <c r="X23" s="1262"/>
      <c r="Y23" s="3440"/>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7"/>
      <c r="L24" s="2485"/>
      <c r="M24" s="2480"/>
      <c r="N24" s="2480"/>
      <c r="O24" s="2535"/>
      <c r="P24" s="3440"/>
      <c r="Q24" s="1260"/>
      <c r="R24" s="666"/>
      <c r="S24" s="667"/>
      <c r="T24" s="666"/>
      <c r="U24" s="667"/>
      <c r="V24" s="666"/>
      <c r="W24" s="667"/>
      <c r="X24" s="1262"/>
      <c r="Y24" s="3440"/>
      <c r="Z24" s="1261"/>
      <c r="AA24" s="1261"/>
      <c r="AB24" s="1261"/>
      <c r="AC24" s="1261"/>
    </row>
    <row r="25" spans="1:29" ht="57">
      <c r="A25" s="348"/>
      <c r="B25" s="586" t="s">
        <v>1871</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40"/>
      <c r="Q25" s="1260" t="str">
        <f t="shared" si="8"/>
        <v>自然及人文环境状况</v>
      </c>
      <c r="R25" s="666" t="s">
        <v>14</v>
      </c>
      <c r="S25" s="667">
        <f>F25</f>
        <v>100</v>
      </c>
      <c r="T25" s="666" t="s">
        <v>14</v>
      </c>
      <c r="U25" s="667">
        <f>H25</f>
        <v>100</v>
      </c>
      <c r="V25" s="666" t="s">
        <v>14</v>
      </c>
      <c r="W25" s="667">
        <f>J25</f>
        <v>100</v>
      </c>
      <c r="X25" s="1262"/>
      <c r="Y25" s="3440"/>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5"/>
      <c r="M26" s="2480"/>
      <c r="N26" s="2480"/>
      <c r="O26" s="2535"/>
      <c r="P26" s="3440"/>
      <c r="Q26" s="1260"/>
      <c r="R26" s="666"/>
      <c r="S26" s="667"/>
      <c r="T26" s="666"/>
      <c r="U26" s="667"/>
      <c r="V26" s="666"/>
      <c r="W26" s="667"/>
      <c r="X26" s="1262"/>
      <c r="Y26" s="3440"/>
      <c r="Z26" s="1261"/>
      <c r="AA26" s="1261">
        <v>1</v>
      </c>
      <c r="AB26" s="1261">
        <v>1</v>
      </c>
      <c r="AC26" s="1261">
        <v>1</v>
      </c>
    </row>
    <row r="27" spans="1:29" s="102" customFormat="1" ht="42.75">
      <c r="A27" s="443"/>
      <c r="B27" s="586" t="s">
        <v>1777</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3"/>
      <c r="N27" s="2433"/>
      <c r="O27" s="2533"/>
      <c r="P27" s="3440"/>
      <c r="Q27" s="530" t="str">
        <f t="shared" si="8"/>
        <v>公共配套设施</v>
      </c>
      <c r="R27" s="663" t="s">
        <v>14</v>
      </c>
      <c r="S27" s="664">
        <f>F27</f>
        <v>100</v>
      </c>
      <c r="T27" s="663" t="s">
        <v>14</v>
      </c>
      <c r="U27" s="664">
        <f>H27</f>
        <v>100</v>
      </c>
      <c r="V27" s="663" t="s">
        <v>14</v>
      </c>
      <c r="W27" s="664">
        <f>J27</f>
        <v>100</v>
      </c>
      <c r="X27" s="665"/>
      <c r="Y27" s="3440"/>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1"/>
      <c r="M28" s="2433"/>
      <c r="N28" s="2433"/>
      <c r="O28" s="2533"/>
      <c r="P28" s="3440"/>
      <c r="Q28" s="530"/>
      <c r="R28" s="663"/>
      <c r="S28" s="664"/>
      <c r="T28" s="663"/>
      <c r="U28" s="664"/>
      <c r="V28" s="663"/>
      <c r="W28" s="664"/>
      <c r="X28" s="665"/>
      <c r="Y28" s="3440"/>
      <c r="Z28" s="50"/>
      <c r="AA28" s="1261">
        <v>1</v>
      </c>
      <c r="AB28" s="1261">
        <v>1</v>
      </c>
      <c r="AC28" s="1261">
        <v>1</v>
      </c>
    </row>
    <row r="29" spans="1:29" s="102" customFormat="1" ht="28.5">
      <c r="A29" s="443"/>
      <c r="B29" s="586" t="s">
        <v>1778</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440"/>
      <c r="Q29" s="530" t="str">
        <f t="shared" ref="Q29" si="9">B29</f>
        <v>基础设施水平</v>
      </c>
      <c r="R29" s="663" t="s">
        <v>14</v>
      </c>
      <c r="S29" s="664">
        <f>F29</f>
        <v>100</v>
      </c>
      <c r="T29" s="663" t="s">
        <v>14</v>
      </c>
      <c r="U29" s="664">
        <f>H29</f>
        <v>100</v>
      </c>
      <c r="V29" s="663" t="s">
        <v>14</v>
      </c>
      <c r="W29" s="664">
        <f>J29</f>
        <v>100</v>
      </c>
      <c r="X29" s="665"/>
      <c r="Y29" s="3440"/>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1"/>
      <c r="M30" s="2433"/>
      <c r="N30" s="2433"/>
      <c r="O30" s="2533"/>
      <c r="P30" s="3440"/>
      <c r="Q30" s="530"/>
      <c r="R30" s="663"/>
      <c r="S30" s="664"/>
      <c r="T30" s="663"/>
      <c r="U30" s="664"/>
      <c r="V30" s="663"/>
      <c r="W30" s="664"/>
      <c r="X30" s="665"/>
      <c r="Y30" s="3440"/>
      <c r="Z30" s="50"/>
      <c r="AA30" s="1261">
        <v>1</v>
      </c>
      <c r="AB30" s="1261">
        <v>1</v>
      </c>
      <c r="AC30" s="1261">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40"/>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0"/>
      <c r="Z31" s="1261" t="str">
        <f t="shared" ref="Z31:Z45" si="13">Q31</f>
        <v>临街状况</v>
      </c>
      <c r="AA31" s="1261">
        <f t="shared" si="3"/>
        <v>1</v>
      </c>
      <c r="AB31" s="1261">
        <f t="shared" si="4"/>
        <v>1</v>
      </c>
      <c r="AC31" s="1261">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40"/>
      <c r="Q32" s="1260" t="str">
        <f t="shared" si="8"/>
        <v>毗邻道路的类型与等级</v>
      </c>
      <c r="R32" s="666" t="s">
        <v>14</v>
      </c>
      <c r="S32" s="667">
        <f t="shared" si="10"/>
        <v>100</v>
      </c>
      <c r="T32" s="666" t="s">
        <v>14</v>
      </c>
      <c r="U32" s="667">
        <f t="shared" si="11"/>
        <v>100</v>
      </c>
      <c r="V32" s="666" t="s">
        <v>14</v>
      </c>
      <c r="W32" s="667">
        <f t="shared" si="12"/>
        <v>100</v>
      </c>
      <c r="X32" s="1262"/>
      <c r="Y32" s="3440"/>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5"/>
      <c r="M33" s="2480"/>
      <c r="N33" s="2480"/>
      <c r="O33" s="2535"/>
      <c r="P33" s="3440"/>
      <c r="Q33" s="1260"/>
      <c r="R33" s="666"/>
      <c r="S33" s="667"/>
      <c r="T33" s="666"/>
      <c r="U33" s="667"/>
      <c r="V33" s="666"/>
      <c r="W33" s="667"/>
      <c r="X33" s="1262"/>
      <c r="Y33" s="3440"/>
      <c r="Z33" s="1261"/>
      <c r="AA33" s="1261">
        <v>1</v>
      </c>
      <c r="AB33" s="1261">
        <v>1</v>
      </c>
      <c r="AC33" s="1261">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40"/>
      <c r="Q34" s="1260" t="str">
        <f t="shared" si="8"/>
        <v>土地级别</v>
      </c>
      <c r="R34" s="666" t="s">
        <v>14</v>
      </c>
      <c r="S34" s="667">
        <f t="shared" si="10"/>
        <v>100</v>
      </c>
      <c r="T34" s="666" t="s">
        <v>14</v>
      </c>
      <c r="U34" s="667">
        <f t="shared" si="11"/>
        <v>100</v>
      </c>
      <c r="V34" s="666" t="s">
        <v>14</v>
      </c>
      <c r="W34" s="667">
        <f t="shared" si="12"/>
        <v>100</v>
      </c>
      <c r="X34" s="1262"/>
      <c r="Y34" s="3440"/>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40"/>
      <c r="Q35" s="1260">
        <f t="shared" si="8"/>
        <v>111</v>
      </c>
      <c r="R35" s="666" t="s">
        <v>14</v>
      </c>
      <c r="S35" s="667">
        <f t="shared" si="10"/>
        <v>100</v>
      </c>
      <c r="T35" s="666" t="s">
        <v>14</v>
      </c>
      <c r="U35" s="667">
        <f t="shared" si="11"/>
        <v>100</v>
      </c>
      <c r="V35" s="666" t="s">
        <v>14</v>
      </c>
      <c r="W35" s="667">
        <f t="shared" si="12"/>
        <v>100</v>
      </c>
      <c r="X35" s="1262"/>
      <c r="Y35" s="3440"/>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63" t="s">
        <v>1695</v>
      </c>
      <c r="Q36" s="1260">
        <f t="shared" si="8"/>
        <v>111</v>
      </c>
      <c r="R36" s="666" t="s">
        <v>14</v>
      </c>
      <c r="S36" s="667">
        <f t="shared" si="10"/>
        <v>100</v>
      </c>
      <c r="T36" s="666" t="s">
        <v>14</v>
      </c>
      <c r="U36" s="667">
        <f t="shared" si="11"/>
        <v>100</v>
      </c>
      <c r="V36" s="666" t="s">
        <v>14</v>
      </c>
      <c r="W36" s="667">
        <f t="shared" si="12"/>
        <v>100</v>
      </c>
      <c r="X36" s="1262"/>
      <c r="Y36" s="3444" t="s">
        <v>1695</v>
      </c>
      <c r="Z36" s="1261">
        <f t="shared" si="13"/>
        <v>111</v>
      </c>
      <c r="AA36" s="1261">
        <f t="shared" si="3"/>
        <v>1</v>
      </c>
      <c r="AB36" s="1261">
        <f t="shared" si="4"/>
        <v>1</v>
      </c>
      <c r="AC36" s="1261">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44"/>
      <c r="Q37" s="1260">
        <f t="shared" si="8"/>
        <v>111</v>
      </c>
      <c r="R37" s="668" t="s">
        <v>14</v>
      </c>
      <c r="S37" s="669">
        <f t="shared" si="10"/>
        <v>100</v>
      </c>
      <c r="T37" s="668" t="s">
        <v>14</v>
      </c>
      <c r="U37" s="669">
        <f t="shared" si="11"/>
        <v>100</v>
      </c>
      <c r="V37" s="668" t="s">
        <v>14</v>
      </c>
      <c r="W37" s="669">
        <f t="shared" si="12"/>
        <v>100</v>
      </c>
      <c r="X37" s="670"/>
      <c r="Y37" s="3444"/>
      <c r="Z37" s="671">
        <f t="shared" si="13"/>
        <v>111</v>
      </c>
      <c r="AA37" s="1261">
        <f t="shared" si="3"/>
        <v>1</v>
      </c>
      <c r="AB37" s="1261">
        <f t="shared" si="4"/>
        <v>1</v>
      </c>
      <c r="AC37" s="1261">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44"/>
      <c r="Q38" s="1260" t="str">
        <f>B38</f>
        <v>宗地面积</v>
      </c>
      <c r="R38" s="666" t="s">
        <v>14</v>
      </c>
      <c r="S38" s="667" t="e">
        <f t="shared" si="10"/>
        <v>#N/A</v>
      </c>
      <c r="T38" s="666" t="s">
        <v>14</v>
      </c>
      <c r="U38" s="667" t="e">
        <f t="shared" si="11"/>
        <v>#N/A</v>
      </c>
      <c r="V38" s="666" t="s">
        <v>14</v>
      </c>
      <c r="W38" s="667" t="e">
        <f t="shared" si="12"/>
        <v>#N/A</v>
      </c>
      <c r="X38" s="1262"/>
      <c r="Y38" s="3444"/>
      <c r="Z38" s="1261" t="str">
        <f t="shared" si="13"/>
        <v>宗地面积</v>
      </c>
      <c r="AA38" s="1261" t="e">
        <f t="shared" si="3"/>
        <v>#N/A</v>
      </c>
      <c r="AB38" s="1261" t="e">
        <f t="shared" si="4"/>
        <v>#N/A</v>
      </c>
      <c r="AC38" s="1261" t="e">
        <f t="shared" si="5"/>
        <v>#N/A</v>
      </c>
    </row>
    <row r="39" spans="1:29" ht="15">
      <c r="A39" s="409"/>
      <c r="B39" s="364" t="s">
        <v>1874</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5"/>
      <c r="M39" s="2480"/>
      <c r="N39" s="2480"/>
      <c r="O39" s="2535"/>
      <c r="P39" s="3444"/>
      <c r="Q39" s="1260" t="str">
        <f t="shared" ref="Q39:Q45" si="14">B39</f>
        <v>宗地形状</v>
      </c>
      <c r="R39" s="666" t="s">
        <v>14</v>
      </c>
      <c r="S39" s="667">
        <f t="shared" si="10"/>
        <v>100</v>
      </c>
      <c r="T39" s="666" t="s">
        <v>14</v>
      </c>
      <c r="U39" s="667">
        <f t="shared" si="11"/>
        <v>100</v>
      </c>
      <c r="V39" s="666" t="s">
        <v>14</v>
      </c>
      <c r="W39" s="667">
        <f t="shared" si="12"/>
        <v>100</v>
      </c>
      <c r="X39" s="1262"/>
      <c r="Y39" s="3444"/>
      <c r="Z39" s="1261" t="str">
        <f t="shared" si="13"/>
        <v>宗地形状</v>
      </c>
      <c r="AA39" s="1261">
        <f t="shared" si="3"/>
        <v>1</v>
      </c>
      <c r="AB39" s="1261">
        <f t="shared" si="4"/>
        <v>1</v>
      </c>
      <c r="AC39" s="1261">
        <f t="shared" si="5"/>
        <v>1</v>
      </c>
    </row>
    <row r="40" spans="1:29" ht="15">
      <c r="A40" s="409"/>
      <c r="B40" s="364" t="s">
        <v>1875</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444"/>
      <c r="Q40" s="1260" t="str">
        <f t="shared" si="14"/>
        <v>临街宽度及深度</v>
      </c>
      <c r="R40" s="666" t="s">
        <v>14</v>
      </c>
      <c r="S40" s="667">
        <f t="shared" si="10"/>
        <v>100</v>
      </c>
      <c r="T40" s="666" t="s">
        <v>14</v>
      </c>
      <c r="U40" s="667">
        <f t="shared" si="11"/>
        <v>100</v>
      </c>
      <c r="V40" s="666" t="s">
        <v>14</v>
      </c>
      <c r="W40" s="667">
        <f t="shared" si="12"/>
        <v>100</v>
      </c>
      <c r="X40" s="1262"/>
      <c r="Y40" s="3444"/>
      <c r="Z40" s="1261" t="str">
        <f t="shared" si="13"/>
        <v>临街宽度及深度</v>
      </c>
      <c r="AA40" s="1261">
        <f t="shared" si="3"/>
        <v>1</v>
      </c>
      <c r="AB40" s="1261">
        <f t="shared" si="4"/>
        <v>1</v>
      </c>
      <c r="AC40" s="1261">
        <f t="shared" si="5"/>
        <v>1</v>
      </c>
    </row>
    <row r="41" spans="1:29" s="102" customFormat="1" ht="15">
      <c r="A41" s="410"/>
      <c r="B41" s="364" t="s">
        <v>1876</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1"/>
      <c r="M41" s="2433"/>
      <c r="N41" s="2433"/>
      <c r="O41" s="2533"/>
      <c r="P41" s="3444"/>
      <c r="Q41" s="1260" t="str">
        <f t="shared" si="14"/>
        <v>宗地开发程度</v>
      </c>
      <c r="R41" s="663" t="s">
        <v>14</v>
      </c>
      <c r="S41" s="664">
        <f t="shared" si="10"/>
        <v>100</v>
      </c>
      <c r="T41" s="663" t="s">
        <v>14</v>
      </c>
      <c r="U41" s="664">
        <f t="shared" si="11"/>
        <v>100</v>
      </c>
      <c r="V41" s="663" t="s">
        <v>14</v>
      </c>
      <c r="W41" s="664">
        <f t="shared" si="12"/>
        <v>100</v>
      </c>
      <c r="X41" s="665"/>
      <c r="Y41" s="3444"/>
      <c r="Z41" s="50" t="str">
        <f t="shared" si="13"/>
        <v>宗地开发程度</v>
      </c>
      <c r="AA41" s="50">
        <f t="shared" si="3"/>
        <v>1</v>
      </c>
      <c r="AB41" s="50">
        <f t="shared" si="4"/>
        <v>1</v>
      </c>
      <c r="AC41" s="50">
        <f t="shared" si="5"/>
        <v>1</v>
      </c>
    </row>
    <row r="42" spans="1:29" ht="15">
      <c r="A42" s="409"/>
      <c r="B42" s="364" t="s">
        <v>1877</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5"/>
      <c r="M42" s="2480"/>
      <c r="N42" s="2480"/>
      <c r="O42" s="2535"/>
      <c r="P42" s="3444" t="s">
        <v>1695</v>
      </c>
      <c r="Q42" s="1260" t="str">
        <f t="shared" si="14"/>
        <v>工程地质条件</v>
      </c>
      <c r="R42" s="666" t="s">
        <v>14</v>
      </c>
      <c r="S42" s="667">
        <f t="shared" si="10"/>
        <v>100</v>
      </c>
      <c r="T42" s="666" t="s">
        <v>14</v>
      </c>
      <c r="U42" s="667">
        <f t="shared" si="11"/>
        <v>100</v>
      </c>
      <c r="V42" s="666" t="s">
        <v>14</v>
      </c>
      <c r="W42" s="667">
        <f t="shared" si="12"/>
        <v>100</v>
      </c>
      <c r="X42" s="1262"/>
      <c r="Y42" s="3444" t="s">
        <v>1695</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44"/>
      <c r="Q43" s="1260">
        <f t="shared" si="14"/>
        <v>111</v>
      </c>
      <c r="R43" s="666" t="s">
        <v>14</v>
      </c>
      <c r="S43" s="667">
        <f t="shared" si="10"/>
        <v>100</v>
      </c>
      <c r="T43" s="666" t="s">
        <v>14</v>
      </c>
      <c r="U43" s="667">
        <f t="shared" si="11"/>
        <v>100</v>
      </c>
      <c r="V43" s="666" t="s">
        <v>14</v>
      </c>
      <c r="W43" s="667">
        <f t="shared" si="12"/>
        <v>100</v>
      </c>
      <c r="X43" s="1262"/>
      <c r="Y43" s="3444"/>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44"/>
      <c r="Q44" s="1260">
        <f t="shared" si="14"/>
        <v>111</v>
      </c>
      <c r="R44" s="666" t="s">
        <v>14</v>
      </c>
      <c r="S44" s="667">
        <f t="shared" si="10"/>
        <v>100</v>
      </c>
      <c r="T44" s="666" t="s">
        <v>14</v>
      </c>
      <c r="U44" s="667">
        <f t="shared" si="11"/>
        <v>100</v>
      </c>
      <c r="V44" s="666" t="s">
        <v>14</v>
      </c>
      <c r="W44" s="667">
        <f t="shared" si="12"/>
        <v>100</v>
      </c>
      <c r="X44" s="1262"/>
      <c r="Y44" s="3444"/>
      <c r="Z44" s="1261">
        <f t="shared" si="13"/>
        <v>111</v>
      </c>
      <c r="AA44" s="1261">
        <f t="shared" si="3"/>
        <v>1</v>
      </c>
      <c r="AB44" s="1261">
        <f t="shared" si="4"/>
        <v>1</v>
      </c>
      <c r="AC44" s="1261">
        <f t="shared" si="5"/>
        <v>1</v>
      </c>
    </row>
    <row r="45" spans="1:29" s="408" customFormat="1" ht="15.75"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44"/>
      <c r="Q45" s="1260">
        <f t="shared" si="14"/>
        <v>111</v>
      </c>
      <c r="R45" s="668" t="s">
        <v>14</v>
      </c>
      <c r="S45" s="669">
        <f t="shared" si="10"/>
        <v>100</v>
      </c>
      <c r="T45" s="668" t="s">
        <v>14</v>
      </c>
      <c r="U45" s="669">
        <f t="shared" si="11"/>
        <v>100</v>
      </c>
      <c r="V45" s="668" t="s">
        <v>14</v>
      </c>
      <c r="W45" s="669">
        <f t="shared" si="12"/>
        <v>100</v>
      </c>
      <c r="X45" s="670"/>
      <c r="Y45" s="3444"/>
      <c r="Z45" s="671">
        <f t="shared" si="13"/>
        <v>111</v>
      </c>
      <c r="AA45" s="1261">
        <f t="shared" si="3"/>
        <v>1</v>
      </c>
      <c r="AB45" s="1261">
        <f t="shared" si="4"/>
        <v>1</v>
      </c>
      <c r="AC45" s="1261">
        <f t="shared" si="5"/>
        <v>1</v>
      </c>
    </row>
    <row r="46" spans="1:29" ht="15">
      <c r="A46" s="416" t="s">
        <v>1843</v>
      </c>
      <c r="B46" s="1827" t="s">
        <v>1878</v>
      </c>
      <c r="C46" s="602" t="s">
        <v>0</v>
      </c>
      <c r="D46" s="418"/>
      <c r="E46" s="419"/>
      <c r="F46" s="420"/>
      <c r="G46" s="421"/>
      <c r="H46" s="422"/>
      <c r="I46" s="419"/>
      <c r="J46" s="422"/>
      <c r="K46" s="673"/>
      <c r="L46" s="2487"/>
      <c r="M46" s="2480"/>
      <c r="N46" s="2480"/>
      <c r="O46" s="2480"/>
      <c r="P46" s="3438" t="str">
        <f>A46</f>
        <v>成交单价</v>
      </c>
      <c r="Q46" s="3438"/>
      <c r="R46" s="3433">
        <f>E46</f>
        <v>0</v>
      </c>
      <c r="S46" s="3433"/>
      <c r="T46" s="3433">
        <f>G46</f>
        <v>0</v>
      </c>
      <c r="U46" s="3433"/>
      <c r="V46" s="3433">
        <f>I46</f>
        <v>0</v>
      </c>
      <c r="W46" s="3433"/>
      <c r="X46" s="385"/>
      <c r="Y46" s="672"/>
      <c r="Z46" s="385"/>
      <c r="AA46" s="385"/>
      <c r="AB46" s="385"/>
      <c r="AC46" s="385"/>
    </row>
    <row r="47" spans="1:29" ht="15.75" thickBot="1">
      <c r="A47" s="423" t="s">
        <v>1792</v>
      </c>
      <c r="B47" s="603"/>
      <c r="C47" s="426" t="e">
        <f>R48</f>
        <v>#DIV/0!</v>
      </c>
      <c r="D47" s="2138" t="s">
        <v>2137</v>
      </c>
      <c r="E47" s="426" t="e">
        <f>R47</f>
        <v>#DIV/0!</v>
      </c>
      <c r="F47" s="2139"/>
      <c r="G47" s="425" t="e">
        <f>T47</f>
        <v>#DIV/0!</v>
      </c>
      <c r="H47" s="2139"/>
      <c r="I47" s="426" t="e">
        <f>V47</f>
        <v>#DIV/0!</v>
      </c>
      <c r="J47" s="2139"/>
      <c r="K47" s="2141">
        <f>F47+H47+J47</f>
        <v>0</v>
      </c>
      <c r="L47" s="2487"/>
      <c r="M47" s="2480"/>
      <c r="N47" s="2480"/>
      <c r="O47" s="2480"/>
      <c r="P47" s="3438" t="str">
        <f>A47</f>
        <v>比较价值（元/平方米）</v>
      </c>
      <c r="Q47" s="3438"/>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87"/>
      <c r="M48" s="2480"/>
      <c r="N48" s="2480"/>
      <c r="O48" s="2480"/>
      <c r="P48" s="3435" t="str">
        <f>A48</f>
        <v>估价对象XX用房的比较价值（楼面单价，元/平方米）</v>
      </c>
      <c r="Q48" s="3436"/>
      <c r="R48" s="3466" t="e">
        <f>ROUND(IF(D47="简单平均",AVERAGE(R47:W47),R47*F47+T47*H47+V47*J47),0)</f>
        <v>#DIV/0!</v>
      </c>
      <c r="S48" s="3466"/>
      <c r="T48" s="3466"/>
      <c r="U48" s="3466"/>
      <c r="V48" s="3466"/>
      <c r="W48" s="3466"/>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1880</v>
      </c>
      <c r="B55" s="605" t="s">
        <v>1881</v>
      </c>
      <c r="C55" s="1828" t="s">
        <v>1882</v>
      </c>
      <c r="D55" s="1829" t="s">
        <v>1883</v>
      </c>
      <c r="E55" s="606" t="s">
        <v>1884</v>
      </c>
      <c r="F55" s="836" t="s">
        <v>1885</v>
      </c>
      <c r="G55" s="3421" t="s">
        <v>1886</v>
      </c>
      <c r="H55" s="3467"/>
      <c r="I55" s="127" t="s">
        <v>1887</v>
      </c>
      <c r="J55" s="1830">
        <f>项目基本情况!F35</f>
        <v>0</v>
      </c>
      <c r="K55" s="1831" t="s">
        <v>1888</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1889</v>
      </c>
      <c r="B56" s="609" t="e">
        <f>C48</f>
        <v>#DIV/0!</v>
      </c>
      <c r="C56" s="610">
        <v>1</v>
      </c>
      <c r="D56" s="889">
        <v>1</v>
      </c>
      <c r="E56" s="610">
        <f>'数据-汇总表'!E8+'数据-汇总表'!E9</f>
        <v>6436.4900000000007</v>
      </c>
      <c r="F56" s="832" t="e">
        <f t="shared" ref="F56:F64" si="15">ROUND(B56*E56/10000,0)</f>
        <v>#DIV/0!</v>
      </c>
      <c r="G56" s="3420"/>
      <c r="H56" s="3438"/>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1890</v>
      </c>
      <c r="B57" s="210" t="e">
        <f>ROUND($C$48*C57*D57,0)</f>
        <v>#DIV/0!</v>
      </c>
      <c r="C57" s="163">
        <f t="shared" ref="C57:C64" si="16">IF($C$55="北京市系数",I57,J57)</f>
        <v>0</v>
      </c>
      <c r="D57" s="890">
        <v>0.25</v>
      </c>
      <c r="E57" s="614"/>
      <c r="F57" s="832" t="e">
        <f t="shared" si="15"/>
        <v>#DIV/0!</v>
      </c>
      <c r="G57" s="2743" t="s">
        <v>1891</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1892</v>
      </c>
      <c r="B58" s="210" t="e">
        <f t="shared" ref="B58:B64" si="17">ROUND($C$48*C58*D58,0)</f>
        <v>#DIV/0!</v>
      </c>
      <c r="C58" s="163">
        <f t="shared" si="16"/>
        <v>0</v>
      </c>
      <c r="D58" s="890">
        <v>0.25</v>
      </c>
      <c r="E58" s="614"/>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1893</v>
      </c>
      <c r="B59" s="210" t="e">
        <f t="shared" si="17"/>
        <v>#DIV/0!</v>
      </c>
      <c r="C59" s="163">
        <f t="shared" si="16"/>
        <v>0</v>
      </c>
      <c r="D59" s="890">
        <v>0.25</v>
      </c>
      <c r="E59" s="614"/>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1894</v>
      </c>
      <c r="B60" s="210" t="e">
        <f t="shared" si="17"/>
        <v>#DIV/0!</v>
      </c>
      <c r="C60" s="163">
        <f t="shared" si="16"/>
        <v>0</v>
      </c>
      <c r="D60" s="890">
        <v>0.25</v>
      </c>
      <c r="E60" s="209">
        <f>'数据-汇总表'!E11</f>
        <v>0</v>
      </c>
      <c r="F60" s="832" t="e">
        <f t="shared" si="15"/>
        <v>#DIV/0!</v>
      </c>
      <c r="G60" s="1832" t="s">
        <v>1895</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1900</v>
      </c>
      <c r="B63" s="210" t="e">
        <f t="shared" si="17"/>
        <v>#DIV/0!</v>
      </c>
      <c r="C63" s="163">
        <f t="shared" si="16"/>
        <v>0</v>
      </c>
      <c r="D63" s="890">
        <v>0.25</v>
      </c>
      <c r="E63" s="209">
        <f>'数据-汇总表'!E14</f>
        <v>0</v>
      </c>
      <c r="F63" s="832" t="e">
        <f t="shared" si="15"/>
        <v>#DIV/0!</v>
      </c>
      <c r="G63" s="1832" t="s">
        <v>1891</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1901</v>
      </c>
      <c r="B64" s="210" t="e">
        <f t="shared" si="17"/>
        <v>#DIV/0!</v>
      </c>
      <c r="C64" s="163">
        <f t="shared" si="16"/>
        <v>0</v>
      </c>
      <c r="D64" s="890">
        <v>0.25</v>
      </c>
      <c r="E64" s="209">
        <f>'数据-汇总表'!E15</f>
        <v>0</v>
      </c>
      <c r="F64" s="832" t="e">
        <f t="shared" si="15"/>
        <v>#DIV/0!</v>
      </c>
      <c r="G64" s="1833" t="s">
        <v>1895</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1902</v>
      </c>
      <c r="B65" s="616" t="s">
        <v>22</v>
      </c>
      <c r="C65" s="616" t="s">
        <v>23</v>
      </c>
      <c r="D65" s="616" t="s">
        <v>392</v>
      </c>
      <c r="E65" s="616">
        <f>IF(B46="楼面地价",SUM(E56:E64),'数据-汇总表'!D3)</f>
        <v>6436.4900000000007</v>
      </c>
      <c r="F65" s="617"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0"/>
      <c r="Q67" s="2480"/>
      <c r="R67" s="2480"/>
      <c r="S67" s="2480"/>
      <c r="T67" s="2480"/>
      <c r="U67" s="2480"/>
      <c r="V67" s="2480"/>
      <c r="W67" s="2480"/>
      <c r="X67" s="2480"/>
      <c r="Y67" s="2480"/>
      <c r="Z67" s="2480"/>
      <c r="AA67" s="2480"/>
      <c r="AB67" s="2480"/>
      <c r="AC67" s="2480"/>
    </row>
    <row r="68" spans="1:29" ht="21.75" thickBot="1">
      <c r="A68" s="657" t="s">
        <v>1797</v>
      </c>
      <c r="B68" s="385"/>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2" customFormat="1" ht="15">
      <c r="A69" s="1627" t="s">
        <v>1903</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3"/>
      <c r="Q69" s="2503"/>
      <c r="R69" s="2503"/>
      <c r="S69" s="2503"/>
      <c r="T69" s="2503"/>
      <c r="U69" s="2503"/>
      <c r="V69" s="2503"/>
      <c r="W69" s="2503"/>
      <c r="X69" s="2503"/>
      <c r="Y69" s="2503"/>
      <c r="Z69" s="2503"/>
      <c r="AA69" s="2503"/>
      <c r="AB69" s="2503"/>
      <c r="AC69" s="2503"/>
    </row>
    <row r="70" spans="1:29" s="102" customFormat="1" ht="30" customHeight="1">
      <c r="A70" s="1834" t="s">
        <v>1904</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5"/>
      <c r="P70" s="2501"/>
      <c r="Q70" s="2433"/>
      <c r="R70" s="2433"/>
      <c r="S70" s="2433"/>
      <c r="T70" s="2433"/>
      <c r="U70" s="2433"/>
      <c r="V70" s="2433"/>
      <c r="W70" s="2433"/>
      <c r="X70" s="2433"/>
      <c r="Y70" s="2433"/>
      <c r="Z70" s="2433"/>
      <c r="AA70" s="2433"/>
      <c r="AB70" s="2433"/>
      <c r="AC70" s="2433"/>
    </row>
    <row r="71" spans="1:29" s="102" customFormat="1" ht="15.75" thickBot="1">
      <c r="A71" s="449" t="s">
        <v>1715</v>
      </c>
      <c r="B71" s="450"/>
      <c r="C71" s="451"/>
      <c r="D71" s="452"/>
      <c r="E71" s="452"/>
      <c r="F71" s="452"/>
      <c r="G71" s="452"/>
      <c r="H71" s="452"/>
      <c r="I71" s="452"/>
      <c r="J71" s="452"/>
      <c r="K71" s="452"/>
      <c r="L71" s="452"/>
      <c r="M71" s="453"/>
      <c r="N71" s="452"/>
      <c r="O71" s="888"/>
      <c r="P71" s="2501"/>
      <c r="Q71" s="2501"/>
      <c r="R71" s="2433"/>
      <c r="S71" s="2433"/>
      <c r="T71" s="2433"/>
      <c r="U71" s="2433"/>
      <c r="V71" s="2433"/>
      <c r="W71" s="2433"/>
      <c r="X71" s="2433"/>
      <c r="Y71" s="2433"/>
      <c r="Z71" s="2433"/>
      <c r="AA71" s="2433"/>
      <c r="AB71" s="2433"/>
      <c r="AC71" s="2433"/>
    </row>
    <row r="72" spans="1:29" s="102" customFormat="1" ht="15">
      <c r="A72" s="455" t="s">
        <v>1680</v>
      </c>
      <c r="B72" s="444"/>
      <c r="C72" s="456" t="s">
        <v>1775</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c r="A74" s="379" t="s">
        <v>1718</v>
      </c>
      <c r="B74" s="460" t="s">
        <v>1684</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1687</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1689</v>
      </c>
      <c r="B87" s="460" t="s">
        <v>1719</v>
      </c>
      <c r="C87" s="504" t="s">
        <v>1720</v>
      </c>
      <c r="D87" s="504" t="s">
        <v>1721</v>
      </c>
      <c r="E87" s="504" t="s">
        <v>1722</v>
      </c>
      <c r="F87" s="504" t="s">
        <v>1723</v>
      </c>
      <c r="G87" s="504" t="s">
        <v>1724</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1905</v>
      </c>
      <c r="C89" s="509" t="s">
        <v>1720</v>
      </c>
      <c r="D89" s="509" t="s">
        <v>1721</v>
      </c>
      <c r="E89" s="509" t="s">
        <v>1722</v>
      </c>
      <c r="F89" s="509" t="s">
        <v>1723</v>
      </c>
      <c r="G89" s="509" t="s">
        <v>1724</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1820</v>
      </c>
      <c r="C91" s="509" t="s">
        <v>1720</v>
      </c>
      <c r="D91" s="509" t="s">
        <v>1721</v>
      </c>
      <c r="E91" s="509" t="s">
        <v>1722</v>
      </c>
      <c r="F91" s="509" t="s">
        <v>1723</v>
      </c>
      <c r="G91" s="509" t="s">
        <v>1724</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1725</v>
      </c>
      <c r="C93" s="509" t="s">
        <v>1720</v>
      </c>
      <c r="D93" s="509" t="s">
        <v>1721</v>
      </c>
      <c r="E93" s="509" t="s">
        <v>1722</v>
      </c>
      <c r="F93" s="509" t="s">
        <v>1723</v>
      </c>
      <c r="G93" s="509" t="s">
        <v>1724</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1814</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1872</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1913</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1914</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1915</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1916</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60" zoomScaleNormal="60" workbookViewId="0">
      <selection activeCell="D114" sqref="D11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f>F61</f>
        <v>1557</v>
      </c>
      <c r="C2" s="854"/>
      <c r="D2" s="854"/>
      <c r="E2" s="854"/>
      <c r="F2" s="855"/>
      <c r="G2" s="854"/>
      <c r="H2" s="854"/>
      <c r="I2" s="854"/>
      <c r="J2" s="854"/>
      <c r="K2" s="856"/>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1463</v>
      </c>
      <c r="B3" s="536">
        <f>ROUND(IF(D3="",B2*10000/'数据-汇总表'!E3,B2*10000/D3),0)</f>
        <v>2419</v>
      </c>
      <c r="C3" s="195" t="s">
        <v>1868</v>
      </c>
      <c r="D3" s="1108"/>
      <c r="E3" s="854"/>
      <c r="F3" s="855"/>
      <c r="G3" s="854"/>
      <c r="H3" s="854"/>
      <c r="I3" s="854"/>
      <c r="J3" s="854"/>
      <c r="K3" s="856"/>
      <c r="L3" s="2496"/>
      <c r="M3" s="2497"/>
      <c r="N3" s="2497"/>
      <c r="O3" s="2497"/>
      <c r="P3" s="341"/>
      <c r="Q3" s="341"/>
      <c r="R3" s="341"/>
      <c r="S3" s="341"/>
      <c r="T3" s="341"/>
      <c r="U3" s="341"/>
      <c r="V3" s="341"/>
      <c r="W3" s="341"/>
      <c r="X3" s="341"/>
      <c r="Y3" s="341"/>
      <c r="Z3" s="341"/>
      <c r="AA3" s="341"/>
      <c r="AB3" s="675"/>
      <c r="AC3" s="662"/>
    </row>
    <row r="4" spans="1:29" ht="15">
      <c r="A4" s="345" t="s">
        <v>1768</v>
      </c>
      <c r="B4" s="346"/>
      <c r="C4" s="3421" t="s">
        <v>1769</v>
      </c>
      <c r="D4" s="3422"/>
      <c r="E4" s="3423" t="s">
        <v>1770</v>
      </c>
      <c r="F4" s="3424"/>
      <c r="G4" s="3421" t="s">
        <v>1771</v>
      </c>
      <c r="H4" s="3422"/>
      <c r="I4" s="3421" t="s">
        <v>1772</v>
      </c>
      <c r="J4" s="3422"/>
      <c r="K4" s="537" t="s">
        <v>1773</v>
      </c>
      <c r="L4" s="2479"/>
      <c r="M4" s="2480"/>
      <c r="N4" s="2480"/>
      <c r="O4" s="2480"/>
      <c r="P4" s="3425" t="s">
        <v>1774</v>
      </c>
      <c r="Q4" s="3426"/>
      <c r="R4" s="3408" t="s">
        <v>1770</v>
      </c>
      <c r="S4" s="3409"/>
      <c r="T4" s="3408" t="s">
        <v>1771</v>
      </c>
      <c r="U4" s="3409"/>
      <c r="V4" s="3433" t="s">
        <v>1772</v>
      </c>
      <c r="W4" s="3433"/>
      <c r="X4" s="1262"/>
      <c r="Y4" s="3408" t="s">
        <v>1774</v>
      </c>
      <c r="Z4" s="3409"/>
      <c r="AA4" s="3403" t="s">
        <v>1770</v>
      </c>
      <c r="AB4" s="3404" t="s">
        <v>1771</v>
      </c>
      <c r="AC4" s="3403" t="s">
        <v>1772</v>
      </c>
    </row>
    <row r="5" spans="1:29" ht="13.9" customHeight="1">
      <c r="A5" s="348"/>
      <c r="B5" s="349"/>
      <c r="C5" s="3414" t="s">
        <v>1672</v>
      </c>
      <c r="D5" s="3415"/>
      <c r="E5" s="3412" t="str">
        <f>[2]土地案例!A5</f>
        <v>平谷新城0105街区PG00-0105-0009地块(平谷区兴谷智慧产业赋能中心项目)M1工业用地</v>
      </c>
      <c r="F5" s="3413"/>
      <c r="G5" s="3414" t="str">
        <f>[2]土地案例!A6</f>
        <v>北京市平谷新城北部产业用地D02-01地块M1工业用地国有建设用地使用权出让公告</v>
      </c>
      <c r="H5" s="3415"/>
      <c r="I5" s="3414" t="str">
        <f>[2]土地案例!A7</f>
        <v>北京市平谷新城北部产业用地F01地块M1工业用地国有建设用地使用权出让公告</v>
      </c>
      <c r="J5" s="3415"/>
      <c r="K5" s="537"/>
      <c r="L5" s="2479"/>
      <c r="M5" s="2480"/>
      <c r="N5" s="2480"/>
      <c r="O5" s="2480"/>
      <c r="P5" s="3427"/>
      <c r="Q5" s="3428"/>
      <c r="R5" s="3410"/>
      <c r="S5" s="3411"/>
      <c r="T5" s="3410"/>
      <c r="U5" s="3411"/>
      <c r="V5" s="3433"/>
      <c r="W5" s="3433"/>
      <c r="X5" s="1262"/>
      <c r="Y5" s="3410"/>
      <c r="Z5" s="3411"/>
      <c r="AA5" s="3404"/>
      <c r="AB5" s="3404"/>
      <c r="AC5" s="3404"/>
    </row>
    <row r="6" spans="1:29" ht="15.75" thickBot="1">
      <c r="A6" s="350"/>
      <c r="B6" s="351"/>
      <c r="C6" s="3468" t="s">
        <v>1918</v>
      </c>
      <c r="D6" s="3469"/>
      <c r="E6" s="3470" t="s">
        <v>1918</v>
      </c>
      <c r="F6" s="3471"/>
      <c r="G6" s="3468" t="s">
        <v>1918</v>
      </c>
      <c r="H6" s="3469"/>
      <c r="I6" s="3468" t="s">
        <v>1918</v>
      </c>
      <c r="J6" s="3469"/>
      <c r="K6" s="537" t="s">
        <v>1677</v>
      </c>
      <c r="L6" s="2479"/>
      <c r="M6" s="2480"/>
      <c r="N6" s="2480"/>
      <c r="O6" s="2480"/>
      <c r="P6" s="3429"/>
      <c r="Q6" s="3430"/>
      <c r="R6" s="3410"/>
      <c r="S6" s="3411"/>
      <c r="T6" s="3431"/>
      <c r="U6" s="3432"/>
      <c r="V6" s="3433"/>
      <c r="W6" s="3433"/>
      <c r="X6" s="1262"/>
      <c r="Y6" s="3431"/>
      <c r="Z6" s="3432"/>
      <c r="AA6" s="3405"/>
      <c r="AB6" s="3405"/>
      <c r="AC6" s="3405"/>
    </row>
    <row r="7" spans="1:29" s="102" customFormat="1" ht="15.75" thickBot="1">
      <c r="A7" s="352" t="s">
        <v>1678</v>
      </c>
      <c r="B7" s="353"/>
      <c r="C7" s="354">
        <f>'数据-取费表'!B2</f>
        <v>45547</v>
      </c>
      <c r="D7" s="355">
        <v>100</v>
      </c>
      <c r="E7" s="356">
        <f>土地案例!K5</f>
        <v>45113.0004976852</v>
      </c>
      <c r="F7" s="357">
        <f>SUMIF(65:65,YEAR(E7)&amp;"-"&amp;INT((MONTH(E7)+2)/3),66:66)</f>
        <v>99.199999999999989</v>
      </c>
      <c r="G7" s="1819">
        <f>土地案例!L6</f>
        <v>44419.0004976852</v>
      </c>
      <c r="H7" s="355">
        <f>SUMIF(65:65,YEAR(G7)&amp;"-"&amp;INT((MONTH(G7)+2)/3),66:66)</f>
        <v>97.599999999999966</v>
      </c>
      <c r="I7" s="1819">
        <f>土地案例!K7</f>
        <v>44419.0004976852</v>
      </c>
      <c r="J7" s="355">
        <f>SUMIF(65:65,YEAR(I7)&amp;"-"&amp;INT((MONTH(I7)+2)/3),66:66)</f>
        <v>97.599999999999966</v>
      </c>
      <c r="K7" s="38"/>
      <c r="L7" s="2481"/>
      <c r="M7" s="2433"/>
      <c r="N7" s="2433"/>
      <c r="O7" s="2433"/>
      <c r="P7" s="3406" t="s">
        <v>1679</v>
      </c>
      <c r="Q7" s="3434"/>
      <c r="R7" s="663" t="s">
        <v>14</v>
      </c>
      <c r="S7" s="664">
        <f t="shared" ref="S7:S15" si="0">F7</f>
        <v>99.199999999999989</v>
      </c>
      <c r="T7" s="663" t="s">
        <v>14</v>
      </c>
      <c r="U7" s="664">
        <f t="shared" ref="U7:U15" si="1">H7</f>
        <v>97.599999999999966</v>
      </c>
      <c r="V7" s="663" t="s">
        <v>14</v>
      </c>
      <c r="W7" s="664">
        <f t="shared" ref="W7:W15" si="2">J7</f>
        <v>97.599999999999966</v>
      </c>
      <c r="X7" s="665"/>
      <c r="Y7" s="3406" t="s">
        <v>1679</v>
      </c>
      <c r="Z7" s="3407"/>
      <c r="AA7" s="50">
        <f>D7/F7</f>
        <v>1.0080645161290325</v>
      </c>
      <c r="AB7" s="50">
        <f>D7/H7</f>
        <v>1.0245901639344266</v>
      </c>
      <c r="AC7" s="50">
        <f>D7/J7</f>
        <v>1.0245901639344266</v>
      </c>
    </row>
    <row r="8" spans="1:29" s="102" customFormat="1" ht="15.75" thickBot="1">
      <c r="A8" s="352" t="s">
        <v>1680</v>
      </c>
      <c r="B8" s="353"/>
      <c r="C8" s="358" t="s">
        <v>1681</v>
      </c>
      <c r="D8" s="355">
        <v>100</v>
      </c>
      <c r="E8" s="358" t="s">
        <v>3522</v>
      </c>
      <c r="F8" s="357">
        <f>SUMIF(68:68,E8,69:69)-SUMIF(68:68,C8,69:69)+100</f>
        <v>100</v>
      </c>
      <c r="G8" s="358" t="s">
        <v>3522</v>
      </c>
      <c r="H8" s="355">
        <f>SUMIF(68:68,G8,69:69)-SUMIF(68:68,C8,69:69)+100</f>
        <v>100</v>
      </c>
      <c r="I8" s="358" t="s">
        <v>3522</v>
      </c>
      <c r="J8" s="355">
        <f>SUMIF(68:68,I8,69:69)-SUMIF(68:68,C8,69:69)+100</f>
        <v>100</v>
      </c>
      <c r="K8" s="38"/>
      <c r="L8" s="2481"/>
      <c r="M8" s="2433"/>
      <c r="N8" s="2433"/>
      <c r="O8" s="2433"/>
      <c r="P8" s="3406" t="s">
        <v>1682</v>
      </c>
      <c r="Q8" s="3407"/>
      <c r="R8" s="663" t="s">
        <v>14</v>
      </c>
      <c r="S8" s="664">
        <f t="shared" si="0"/>
        <v>100</v>
      </c>
      <c r="T8" s="663" t="s">
        <v>14</v>
      </c>
      <c r="U8" s="664">
        <f t="shared" si="1"/>
        <v>100</v>
      </c>
      <c r="V8" s="663" t="s">
        <v>14</v>
      </c>
      <c r="W8" s="664">
        <f t="shared" si="2"/>
        <v>100</v>
      </c>
      <c r="X8" s="665"/>
      <c r="Y8" s="3406" t="s">
        <v>1682</v>
      </c>
      <c r="Z8" s="3407"/>
      <c r="AA8" s="50">
        <f t="shared" ref="AA8:AA40" si="3">D8/F8</f>
        <v>1</v>
      </c>
      <c r="AB8" s="50">
        <f t="shared" ref="AB8:AB40" si="4">D8/H8</f>
        <v>1</v>
      </c>
      <c r="AC8" s="50">
        <f t="shared" ref="AC8:AC40" si="5">D8/J8</f>
        <v>1</v>
      </c>
    </row>
    <row r="9" spans="1:29" s="102" customFormat="1">
      <c r="A9" s="359" t="s">
        <v>1683</v>
      </c>
      <c r="B9" s="60" t="s">
        <v>1684</v>
      </c>
      <c r="C9" s="1822" t="s">
        <v>2480</v>
      </c>
      <c r="D9" s="59">
        <v>100</v>
      </c>
      <c r="E9" s="1822" t="s">
        <v>2480</v>
      </c>
      <c r="F9" s="59">
        <f>SUMIF(70:70,E9,71:71)-SUMIF(70:70,C9,71:71)+100</f>
        <v>100</v>
      </c>
      <c r="G9" s="1822" t="s">
        <v>2480</v>
      </c>
      <c r="H9" s="59">
        <f>SUMIF(70:70,G9,71:71)-SUMIF(70:70,C9,71:71)+100</f>
        <v>100</v>
      </c>
      <c r="I9" s="1822" t="s">
        <v>2480</v>
      </c>
      <c r="J9" s="59">
        <f>SUMIF(70:70,I9,71:71)-SUMIF(70:70,C9,71:71)+100</f>
        <v>100</v>
      </c>
      <c r="K9" s="38"/>
      <c r="L9" s="2481"/>
      <c r="M9" s="2433"/>
      <c r="N9" s="2433"/>
      <c r="O9" s="2533"/>
      <c r="P9" s="3438" t="s">
        <v>1685</v>
      </c>
      <c r="Q9" s="530" t="str">
        <f t="shared" ref="Q9:Q15" si="6">B9</f>
        <v>用途</v>
      </c>
      <c r="R9" s="663" t="s">
        <v>14</v>
      </c>
      <c r="S9" s="664">
        <f t="shared" si="0"/>
        <v>100</v>
      </c>
      <c r="T9" s="663" t="s">
        <v>14</v>
      </c>
      <c r="U9" s="664">
        <f t="shared" si="1"/>
        <v>100</v>
      </c>
      <c r="V9" s="663" t="s">
        <v>14</v>
      </c>
      <c r="W9" s="664">
        <f t="shared" si="2"/>
        <v>100</v>
      </c>
      <c r="X9" s="665"/>
      <c r="Y9" s="3350"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107</v>
      </c>
      <c r="G10" s="371"/>
      <c r="H10" s="119">
        <f>ROUND(100/'数据-取费表'!G16,0)</f>
        <v>107</v>
      </c>
      <c r="I10" s="371"/>
      <c r="J10" s="119">
        <f>ROUND(100/'数据-取费表'!G16,0)</f>
        <v>107</v>
      </c>
      <c r="K10" s="592"/>
      <c r="L10" s="2482"/>
      <c r="M10" s="2483"/>
      <c r="N10" s="2483"/>
      <c r="O10" s="2534"/>
      <c r="P10" s="3438"/>
      <c r="Q10" s="530" t="str">
        <f t="shared" si="6"/>
        <v>土地使用年限（年）</v>
      </c>
      <c r="R10" s="663" t="s">
        <v>14</v>
      </c>
      <c r="S10" s="664">
        <f t="shared" si="0"/>
        <v>107</v>
      </c>
      <c r="T10" s="663" t="s">
        <v>14</v>
      </c>
      <c r="U10" s="664">
        <f t="shared" si="1"/>
        <v>107</v>
      </c>
      <c r="V10" s="663" t="s">
        <v>14</v>
      </c>
      <c r="W10" s="664">
        <f t="shared" si="2"/>
        <v>107</v>
      </c>
      <c r="X10" s="665"/>
      <c r="Y10" s="3350"/>
      <c r="Z10" s="50" t="str">
        <f t="shared" si="7"/>
        <v>土地使用年限（年）</v>
      </c>
      <c r="AA10" s="50">
        <f t="shared" si="3"/>
        <v>0.93457943925233644</v>
      </c>
      <c r="AB10" s="50">
        <f t="shared" si="4"/>
        <v>0.93457943925233644</v>
      </c>
      <c r="AC10" s="50">
        <f t="shared" si="5"/>
        <v>0.93457943925233644</v>
      </c>
    </row>
    <row r="11" spans="1:29" ht="15">
      <c r="A11" s="367"/>
      <c r="B11" s="364" t="s">
        <v>1688</v>
      </c>
      <c r="C11" s="368">
        <v>1.2</v>
      </c>
      <c r="D11" s="119">
        <v>100</v>
      </c>
      <c r="E11" s="368">
        <v>1.2</v>
      </c>
      <c r="F11" s="119">
        <f>LOOKUP(E11,75:75,76:76)-LOOKUP(C11,75:75,76:76)+100</f>
        <v>100</v>
      </c>
      <c r="G11" s="368">
        <v>1.2</v>
      </c>
      <c r="H11" s="119">
        <f>LOOKUP(G11,75:75,76:76)-LOOKUP(C11,75:75,76:76)+100</f>
        <v>100</v>
      </c>
      <c r="I11" s="368">
        <v>1.2</v>
      </c>
      <c r="J11" s="119">
        <f>LOOKUP(I11,75:75,76:76)-LOOKUP(C11,75:75,76:76)+100</f>
        <v>100</v>
      </c>
      <c r="K11" s="593"/>
      <c r="L11" s="2484"/>
      <c r="M11" s="2480"/>
      <c r="N11" s="2480"/>
      <c r="O11" s="2535"/>
      <c r="P11" s="3438"/>
      <c r="Q11" s="530" t="str">
        <f t="shared" si="6"/>
        <v>容积率</v>
      </c>
      <c r="R11" s="663" t="s">
        <v>14</v>
      </c>
      <c r="S11" s="664">
        <f t="shared" si="0"/>
        <v>100</v>
      </c>
      <c r="T11" s="663" t="s">
        <v>14</v>
      </c>
      <c r="U11" s="664">
        <f t="shared" si="1"/>
        <v>100</v>
      </c>
      <c r="V11" s="663" t="s">
        <v>14</v>
      </c>
      <c r="W11" s="664">
        <f t="shared" si="2"/>
        <v>100</v>
      </c>
      <c r="X11" s="665"/>
      <c r="Y11" s="3350"/>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438"/>
      <c r="Q12" s="530">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38"/>
      <c r="Q13" s="530">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38"/>
      <c r="Q14" s="530">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57">
      <c r="A15" s="379" t="s">
        <v>1689</v>
      </c>
      <c r="B15" s="554" t="s">
        <v>1919</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85"/>
      <c r="M15" s="2480"/>
      <c r="N15" s="2480"/>
      <c r="O15" s="2535"/>
      <c r="P15" s="3439" t="s">
        <v>1690</v>
      </c>
      <c r="Q15" s="1260" t="str">
        <f t="shared" si="6"/>
        <v>产业集聚程度</v>
      </c>
      <c r="R15" s="666" t="s">
        <v>14</v>
      </c>
      <c r="S15" s="667">
        <f t="shared" si="0"/>
        <v>100</v>
      </c>
      <c r="T15" s="666" t="s">
        <v>14</v>
      </c>
      <c r="U15" s="667">
        <f t="shared" si="1"/>
        <v>100</v>
      </c>
      <c r="V15" s="666" t="s">
        <v>14</v>
      </c>
      <c r="W15" s="667">
        <f t="shared" si="2"/>
        <v>100</v>
      </c>
      <c r="X15" s="1262"/>
      <c r="Y15" s="3439" t="s">
        <v>1690</v>
      </c>
      <c r="Z15" s="1261" t="str">
        <f t="shared" si="7"/>
        <v>产业集聚程度</v>
      </c>
      <c r="AA15" s="1261">
        <f t="shared" si="3"/>
        <v>1</v>
      </c>
      <c r="AB15" s="1261">
        <f t="shared" si="4"/>
        <v>1</v>
      </c>
      <c r="AC15" s="1261">
        <f t="shared" si="5"/>
        <v>1</v>
      </c>
    </row>
    <row r="16" spans="1:29" ht="15">
      <c r="A16" s="367"/>
      <c r="B16" s="555"/>
      <c r="C16" s="386" t="s">
        <v>3624</v>
      </c>
      <c r="D16" s="387"/>
      <c r="E16" s="1755" t="s">
        <v>3624</v>
      </c>
      <c r="F16" s="387"/>
      <c r="G16" s="1755" t="s">
        <v>3624</v>
      </c>
      <c r="H16" s="389"/>
      <c r="I16" s="1755" t="s">
        <v>3624</v>
      </c>
      <c r="J16" s="387"/>
      <c r="K16" s="592"/>
      <c r="L16" s="2485"/>
      <c r="M16" s="2480"/>
      <c r="N16" s="2480"/>
      <c r="O16" s="2535"/>
      <c r="P16" s="3440"/>
      <c r="Q16" s="1260"/>
      <c r="R16" s="666"/>
      <c r="S16" s="667"/>
      <c r="T16" s="666"/>
      <c r="U16" s="667"/>
      <c r="V16" s="666"/>
      <c r="W16" s="667"/>
      <c r="X16" s="1262"/>
      <c r="Y16" s="3440"/>
      <c r="Z16" s="1261"/>
      <c r="AA16" s="1261">
        <v>1</v>
      </c>
      <c r="AB16" s="1261">
        <v>1</v>
      </c>
      <c r="AC16" s="1261">
        <v>1</v>
      </c>
    </row>
    <row r="17" spans="1:29" ht="85.5">
      <c r="A17" s="367"/>
      <c r="B17" s="556" t="s">
        <v>1832</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v>2</v>
      </c>
      <c r="L17" s="2485"/>
      <c r="M17" s="2480"/>
      <c r="N17" s="2480"/>
      <c r="O17" s="2535"/>
      <c r="P17" s="3440"/>
      <c r="Q17" s="1260" t="str">
        <f>B17</f>
        <v>交通便捷度</v>
      </c>
      <c r="R17" s="666" t="s">
        <v>14</v>
      </c>
      <c r="S17" s="667">
        <f>F17</f>
        <v>100</v>
      </c>
      <c r="T17" s="666" t="s">
        <v>14</v>
      </c>
      <c r="U17" s="667">
        <f>H17</f>
        <v>100</v>
      </c>
      <c r="V17" s="666" t="s">
        <v>14</v>
      </c>
      <c r="W17" s="667">
        <f>J17</f>
        <v>100</v>
      </c>
      <c r="X17" s="1262"/>
      <c r="Y17" s="3440"/>
      <c r="Z17" s="1261" t="str">
        <f>Q17</f>
        <v>交通便捷度</v>
      </c>
      <c r="AA17" s="1261">
        <f t="shared" si="3"/>
        <v>1</v>
      </c>
      <c r="AB17" s="1261">
        <f t="shared" si="4"/>
        <v>1</v>
      </c>
      <c r="AC17" s="1261">
        <f t="shared" si="5"/>
        <v>1</v>
      </c>
    </row>
    <row r="18" spans="1:29" ht="15">
      <c r="A18" s="367"/>
      <c r="B18" s="401"/>
      <c r="C18" s="386" t="s">
        <v>3625</v>
      </c>
      <c r="D18" s="387"/>
      <c r="E18" s="1749" t="s">
        <v>3625</v>
      </c>
      <c r="F18" s="387"/>
      <c r="G18" s="1749" t="s">
        <v>3625</v>
      </c>
      <c r="H18" s="387"/>
      <c r="I18" s="1748" t="s">
        <v>3625</v>
      </c>
      <c r="J18" s="387"/>
      <c r="K18" s="592"/>
      <c r="L18" s="2485"/>
      <c r="M18" s="2480"/>
      <c r="N18" s="2480"/>
      <c r="O18" s="2535"/>
      <c r="P18" s="3440"/>
      <c r="Q18" s="1260"/>
      <c r="R18" s="666"/>
      <c r="S18" s="667"/>
      <c r="T18" s="666"/>
      <c r="U18" s="667"/>
      <c r="V18" s="666"/>
      <c r="W18" s="667"/>
      <c r="X18" s="1262"/>
      <c r="Y18" s="3440"/>
      <c r="Z18" s="1261"/>
      <c r="AA18" s="1261">
        <v>1</v>
      </c>
      <c r="AB18" s="1261">
        <v>1</v>
      </c>
      <c r="AC18" s="1261">
        <v>1</v>
      </c>
    </row>
    <row r="19" spans="1:29" ht="15">
      <c r="A19" s="367"/>
      <c r="B19" s="556"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5"/>
      <c r="M19" s="2480"/>
      <c r="N19" s="2480"/>
      <c r="O19" s="2535"/>
      <c r="P19" s="3440"/>
      <c r="Q19" s="1260" t="str">
        <f t="shared" ref="Q19:Q33" si="8">B19</f>
        <v>区域土地利用方向</v>
      </c>
      <c r="R19" s="666" t="s">
        <v>14</v>
      </c>
      <c r="S19" s="667">
        <f>F19</f>
        <v>100</v>
      </c>
      <c r="T19" s="666" t="s">
        <v>14</v>
      </c>
      <c r="U19" s="667">
        <f>H19</f>
        <v>100</v>
      </c>
      <c r="V19" s="666" t="s">
        <v>14</v>
      </c>
      <c r="W19" s="667">
        <f>J19</f>
        <v>100</v>
      </c>
      <c r="X19" s="1262"/>
      <c r="Y19" s="3440"/>
      <c r="Z19" s="1261" t="str">
        <f>Q19</f>
        <v>区域土地利用方向</v>
      </c>
      <c r="AA19" s="1261">
        <f t="shared" si="3"/>
        <v>1</v>
      </c>
      <c r="AB19" s="1261">
        <f t="shared" si="4"/>
        <v>1</v>
      </c>
      <c r="AC19" s="1261">
        <f t="shared" si="5"/>
        <v>1</v>
      </c>
    </row>
    <row r="20" spans="1:29" ht="15">
      <c r="A20" s="348"/>
      <c r="B20" s="401"/>
      <c r="C20" s="386" t="s">
        <v>3624</v>
      </c>
      <c r="D20" s="387"/>
      <c r="E20" s="1749" t="s">
        <v>3624</v>
      </c>
      <c r="F20" s="387"/>
      <c r="G20" s="1749" t="s">
        <v>3624</v>
      </c>
      <c r="H20" s="387"/>
      <c r="I20" s="1749" t="s">
        <v>3624</v>
      </c>
      <c r="J20" s="387"/>
      <c r="K20" s="697"/>
      <c r="L20" s="2485"/>
      <c r="M20" s="2480"/>
      <c r="N20" s="2480"/>
      <c r="O20" s="2535"/>
      <c r="P20" s="3440"/>
      <c r="Q20" s="1260"/>
      <c r="R20" s="666"/>
      <c r="S20" s="667"/>
      <c r="T20" s="666"/>
      <c r="U20" s="667"/>
      <c r="V20" s="666"/>
      <c r="W20" s="667"/>
      <c r="X20" s="1262"/>
      <c r="Y20" s="3440"/>
      <c r="Z20" s="1261"/>
      <c r="AA20" s="1261"/>
      <c r="AB20" s="1261"/>
      <c r="AC20" s="1261"/>
    </row>
    <row r="21" spans="1:29" ht="71.25">
      <c r="A21" s="348"/>
      <c r="B21" s="556" t="s">
        <v>1920</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2</v>
      </c>
      <c r="L21" s="2485"/>
      <c r="M21" s="2480"/>
      <c r="N21" s="2480"/>
      <c r="O21" s="2535"/>
      <c r="P21" s="3440"/>
      <c r="Q21" s="1260" t="str">
        <f t="shared" si="8"/>
        <v>环境状况</v>
      </c>
      <c r="R21" s="666" t="s">
        <v>14</v>
      </c>
      <c r="S21" s="667">
        <f>F21</f>
        <v>100</v>
      </c>
      <c r="T21" s="666" t="s">
        <v>14</v>
      </c>
      <c r="U21" s="667">
        <f>H21</f>
        <v>100</v>
      </c>
      <c r="V21" s="666" t="s">
        <v>14</v>
      </c>
      <c r="W21" s="667">
        <f>J21</f>
        <v>100</v>
      </c>
      <c r="X21" s="1262"/>
      <c r="Y21" s="3440"/>
      <c r="Z21" s="1261" t="str">
        <f>Q21</f>
        <v>环境状况</v>
      </c>
      <c r="AA21" s="1261">
        <f t="shared" si="3"/>
        <v>1</v>
      </c>
      <c r="AB21" s="1261">
        <f t="shared" si="4"/>
        <v>1</v>
      </c>
      <c r="AC21" s="1261">
        <f t="shared" si="5"/>
        <v>1</v>
      </c>
    </row>
    <row r="22" spans="1:29" ht="15">
      <c r="A22" s="348"/>
      <c r="B22" s="401"/>
      <c r="C22" s="386" t="s">
        <v>3624</v>
      </c>
      <c r="D22" s="387"/>
      <c r="E22" s="1755" t="s">
        <v>3624</v>
      </c>
      <c r="F22" s="387"/>
      <c r="G22" s="1755" t="s">
        <v>3624</v>
      </c>
      <c r="H22" s="387"/>
      <c r="I22" s="386" t="s">
        <v>3624</v>
      </c>
      <c r="J22" s="387"/>
      <c r="K22" s="592"/>
      <c r="L22" s="2485"/>
      <c r="M22" s="2480"/>
      <c r="N22" s="2480"/>
      <c r="O22" s="2535"/>
      <c r="P22" s="3440"/>
      <c r="Q22" s="1260"/>
      <c r="R22" s="666"/>
      <c r="S22" s="667"/>
      <c r="T22" s="666"/>
      <c r="U22" s="667"/>
      <c r="V22" s="666"/>
      <c r="W22" s="667"/>
      <c r="X22" s="1262"/>
      <c r="Y22" s="3440"/>
      <c r="Z22" s="1261"/>
      <c r="AA22" s="1261">
        <v>1</v>
      </c>
      <c r="AB22" s="1261">
        <v>1</v>
      </c>
      <c r="AC22" s="1261">
        <v>1</v>
      </c>
    </row>
    <row r="23" spans="1:29" s="102" customFormat="1" ht="42.75">
      <c r="A23" s="443"/>
      <c r="B23" s="557" t="s">
        <v>1777</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1"/>
      <c r="M23" s="2433"/>
      <c r="N23" s="2433"/>
      <c r="O23" s="2533"/>
      <c r="P23" s="3440"/>
      <c r="Q23" s="530" t="str">
        <f t="shared" si="8"/>
        <v>公共配套设施</v>
      </c>
      <c r="R23" s="663" t="s">
        <v>14</v>
      </c>
      <c r="S23" s="664">
        <f>F23</f>
        <v>100</v>
      </c>
      <c r="T23" s="663" t="s">
        <v>14</v>
      </c>
      <c r="U23" s="664">
        <f>H23</f>
        <v>100</v>
      </c>
      <c r="V23" s="663" t="s">
        <v>14</v>
      </c>
      <c r="W23" s="664">
        <f>J23</f>
        <v>100</v>
      </c>
      <c r="X23" s="665"/>
      <c r="Y23" s="3440"/>
      <c r="Z23" s="50" t="str">
        <f>Q23</f>
        <v>公共配套设施</v>
      </c>
      <c r="AA23" s="1261">
        <f>D23/F23</f>
        <v>1</v>
      </c>
      <c r="AB23" s="1261">
        <f>D23/H23</f>
        <v>1</v>
      </c>
      <c r="AC23" s="1261">
        <f>D23/J23</f>
        <v>1</v>
      </c>
    </row>
    <row r="24" spans="1:29" s="102" customFormat="1" ht="15">
      <c r="A24" s="443"/>
      <c r="B24" s="401"/>
      <c r="C24" s="1823" t="s">
        <v>3626</v>
      </c>
      <c r="D24" s="387"/>
      <c r="E24" s="1755" t="s">
        <v>3626</v>
      </c>
      <c r="F24" s="387"/>
      <c r="G24" s="1755" t="s">
        <v>3626</v>
      </c>
      <c r="H24" s="387"/>
      <c r="I24" s="386" t="s">
        <v>3626</v>
      </c>
      <c r="J24" s="387"/>
      <c r="K24" s="592"/>
      <c r="L24" s="2481"/>
      <c r="M24" s="2433"/>
      <c r="N24" s="2433"/>
      <c r="O24" s="2533"/>
      <c r="P24" s="3440"/>
      <c r="Q24" s="530"/>
      <c r="R24" s="663"/>
      <c r="S24" s="664"/>
      <c r="T24" s="663"/>
      <c r="U24" s="664"/>
      <c r="V24" s="663"/>
      <c r="W24" s="664"/>
      <c r="X24" s="665"/>
      <c r="Y24" s="3440"/>
      <c r="Z24" s="50"/>
      <c r="AA24" s="50">
        <v>1</v>
      </c>
      <c r="AB24" s="50">
        <v>1</v>
      </c>
      <c r="AC24" s="50">
        <v>1</v>
      </c>
    </row>
    <row r="25" spans="1:29" s="102" customFormat="1" ht="28.5">
      <c r="A25" s="443"/>
      <c r="B25" s="557" t="s">
        <v>1778</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1"/>
      <c r="M25" s="2433"/>
      <c r="N25" s="2433"/>
      <c r="O25" s="2533"/>
      <c r="P25" s="3440"/>
      <c r="Q25" s="530" t="str">
        <f t="shared" ref="Q25" si="9">B25</f>
        <v>基础设施水平</v>
      </c>
      <c r="R25" s="663" t="s">
        <v>14</v>
      </c>
      <c r="S25" s="664">
        <f>F25</f>
        <v>100</v>
      </c>
      <c r="T25" s="663" t="s">
        <v>14</v>
      </c>
      <c r="U25" s="664">
        <f>H25</f>
        <v>100</v>
      </c>
      <c r="V25" s="663" t="s">
        <v>14</v>
      </c>
      <c r="W25" s="664">
        <f>J25</f>
        <v>100</v>
      </c>
      <c r="X25" s="665"/>
      <c r="Y25" s="3440"/>
      <c r="Z25" s="50" t="str">
        <f>Q25</f>
        <v>基础设施水平</v>
      </c>
      <c r="AA25" s="1261">
        <f>D25/F25</f>
        <v>1</v>
      </c>
      <c r="AB25" s="1261">
        <f>D25/H25</f>
        <v>1</v>
      </c>
      <c r="AC25" s="1261">
        <f>D25/J25</f>
        <v>1</v>
      </c>
    </row>
    <row r="26" spans="1:29" s="102" customFormat="1" ht="15">
      <c r="A26" s="443"/>
      <c r="B26" s="401"/>
      <c r="C26" s="1823" t="s">
        <v>3627</v>
      </c>
      <c r="D26" s="387"/>
      <c r="E26" s="1824" t="s">
        <v>3627</v>
      </c>
      <c r="F26" s="387"/>
      <c r="G26" s="1824" t="s">
        <v>3627</v>
      </c>
      <c r="H26" s="387"/>
      <c r="I26" s="1824" t="s">
        <v>3627</v>
      </c>
      <c r="J26" s="387"/>
      <c r="K26" s="592"/>
      <c r="L26" s="2481"/>
      <c r="M26" s="2433"/>
      <c r="N26" s="2433"/>
      <c r="O26" s="2533"/>
      <c r="P26" s="3440"/>
      <c r="Q26" s="530"/>
      <c r="R26" s="663"/>
      <c r="S26" s="664"/>
      <c r="T26" s="663"/>
      <c r="U26" s="664"/>
      <c r="V26" s="663"/>
      <c r="W26" s="664"/>
      <c r="X26" s="665"/>
      <c r="Y26" s="3440"/>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40"/>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0"/>
      <c r="Z27" s="1261" t="str">
        <f t="shared" ref="Z27:Z40" si="13">Q27</f>
        <v>临街状况</v>
      </c>
      <c r="AA27" s="1261">
        <f t="shared" si="3"/>
        <v>1</v>
      </c>
      <c r="AB27" s="1261">
        <f t="shared" si="4"/>
        <v>1</v>
      </c>
      <c r="AC27" s="1261">
        <f t="shared" si="5"/>
        <v>1</v>
      </c>
    </row>
    <row r="28" spans="1:29" ht="27">
      <c r="A28" s="367"/>
      <c r="B28" s="557" t="s">
        <v>1814</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40"/>
      <c r="Q28" s="1260" t="str">
        <f t="shared" si="8"/>
        <v>毗邻道路的类型与等级</v>
      </c>
      <c r="R28" s="666" t="s">
        <v>14</v>
      </c>
      <c r="S28" s="667">
        <f t="shared" si="10"/>
        <v>100</v>
      </c>
      <c r="T28" s="666" t="s">
        <v>14</v>
      </c>
      <c r="U28" s="667">
        <f t="shared" si="11"/>
        <v>100</v>
      </c>
      <c r="V28" s="666" t="s">
        <v>14</v>
      </c>
      <c r="W28" s="667">
        <f t="shared" si="12"/>
        <v>100</v>
      </c>
      <c r="X28" s="1262"/>
      <c r="Y28" s="3440"/>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5"/>
      <c r="M29" s="2480"/>
      <c r="N29" s="2480"/>
      <c r="O29" s="2535"/>
      <c r="P29" s="3440"/>
      <c r="Q29" s="1260"/>
      <c r="R29" s="666"/>
      <c r="S29" s="667"/>
      <c r="T29" s="666"/>
      <c r="U29" s="667"/>
      <c r="V29" s="666"/>
      <c r="W29" s="667"/>
      <c r="X29" s="1262"/>
      <c r="Y29" s="3440"/>
      <c r="Z29" s="1261"/>
      <c r="AA29" s="1261">
        <v>1</v>
      </c>
      <c r="AB29" s="1261">
        <v>1</v>
      </c>
      <c r="AC29" s="1261">
        <v>1</v>
      </c>
    </row>
    <row r="30" spans="1:29" ht="15">
      <c r="A30" s="367"/>
      <c r="B30" s="119" t="s">
        <v>1872</v>
      </c>
      <c r="C30" s="1067" t="str">
        <f>估价对象房地状况!G23</f>
        <v>十级</v>
      </c>
      <c r="D30" s="374">
        <v>100</v>
      </c>
      <c r="E30" s="558" t="s">
        <v>307</v>
      </c>
      <c r="F30" s="374">
        <f>SUMIF(99:99,E30,100:100)-SUMIF(99:99,C30,100:100)+100</f>
        <v>100</v>
      </c>
      <c r="G30" s="558" t="s">
        <v>307</v>
      </c>
      <c r="H30" s="374">
        <f>SUMIF(99:99,G30,100:100)-SUMIF(99:99,C30,100:100)+100</f>
        <v>100</v>
      </c>
      <c r="I30" s="558" t="s">
        <v>307</v>
      </c>
      <c r="J30" s="374">
        <f>SUMIF(99:99,I30,100:100)-SUMIF(99:99,C30,100:100)+100</f>
        <v>100</v>
      </c>
      <c r="K30" s="538"/>
      <c r="L30" s="2485"/>
      <c r="M30" s="2480"/>
      <c r="N30" s="2480"/>
      <c r="O30" s="2535"/>
      <c r="P30" s="3440"/>
      <c r="Q30" s="1260" t="str">
        <f t="shared" si="8"/>
        <v>土地级别</v>
      </c>
      <c r="R30" s="666" t="s">
        <v>14</v>
      </c>
      <c r="S30" s="667">
        <f t="shared" si="10"/>
        <v>100</v>
      </c>
      <c r="T30" s="666" t="s">
        <v>14</v>
      </c>
      <c r="U30" s="667">
        <f t="shared" si="11"/>
        <v>100</v>
      </c>
      <c r="V30" s="666" t="s">
        <v>14</v>
      </c>
      <c r="W30" s="667">
        <f t="shared" si="12"/>
        <v>100</v>
      </c>
      <c r="X30" s="1262"/>
      <c r="Y30" s="3440"/>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40"/>
      <c r="Q31" s="1260">
        <f t="shared" si="8"/>
        <v>111</v>
      </c>
      <c r="R31" s="666" t="s">
        <v>14</v>
      </c>
      <c r="S31" s="667">
        <f t="shared" si="10"/>
        <v>100</v>
      </c>
      <c r="T31" s="666" t="s">
        <v>14</v>
      </c>
      <c r="U31" s="667">
        <f t="shared" si="11"/>
        <v>100</v>
      </c>
      <c r="V31" s="666" t="s">
        <v>14</v>
      </c>
      <c r="W31" s="667">
        <f t="shared" si="12"/>
        <v>100</v>
      </c>
      <c r="X31" s="1262"/>
      <c r="Y31" s="3440"/>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63" t="s">
        <v>1695</v>
      </c>
      <c r="Q32" s="1260">
        <f t="shared" si="8"/>
        <v>111</v>
      </c>
      <c r="R32" s="666" t="s">
        <v>14</v>
      </c>
      <c r="S32" s="667">
        <f t="shared" si="10"/>
        <v>100</v>
      </c>
      <c r="T32" s="666" t="s">
        <v>14</v>
      </c>
      <c r="U32" s="667">
        <f t="shared" si="11"/>
        <v>100</v>
      </c>
      <c r="V32" s="666" t="s">
        <v>14</v>
      </c>
      <c r="W32" s="667">
        <f t="shared" si="12"/>
        <v>100</v>
      </c>
      <c r="X32" s="1262"/>
      <c r="Y32" s="3444" t="s">
        <v>1695</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44"/>
      <c r="Q33" s="1260">
        <f t="shared" si="8"/>
        <v>111</v>
      </c>
      <c r="R33" s="668" t="s">
        <v>14</v>
      </c>
      <c r="S33" s="669">
        <f t="shared" si="10"/>
        <v>100</v>
      </c>
      <c r="T33" s="668" t="s">
        <v>14</v>
      </c>
      <c r="U33" s="669">
        <f t="shared" si="11"/>
        <v>100</v>
      </c>
      <c r="V33" s="668" t="s">
        <v>14</v>
      </c>
      <c r="W33" s="669">
        <f t="shared" si="12"/>
        <v>100</v>
      </c>
      <c r="X33" s="670"/>
      <c r="Y33" s="3444"/>
      <c r="Z33" s="671">
        <f t="shared" si="13"/>
        <v>111</v>
      </c>
      <c r="AA33" s="1261">
        <f t="shared" si="3"/>
        <v>1</v>
      </c>
      <c r="AB33" s="1261">
        <f t="shared" si="4"/>
        <v>1</v>
      </c>
      <c r="AC33" s="1261">
        <f t="shared" si="5"/>
        <v>1</v>
      </c>
    </row>
    <row r="34" spans="1:31" ht="15">
      <c r="A34" s="379" t="s">
        <v>1693</v>
      </c>
      <c r="B34" s="395" t="s">
        <v>1873</v>
      </c>
      <c r="C34" s="599">
        <f>'数据-汇总表'!D19</f>
        <v>9558.83</v>
      </c>
      <c r="D34" s="405">
        <v>100</v>
      </c>
      <c r="E34" s="599">
        <f>土地案例!E5</f>
        <v>53345.32</v>
      </c>
      <c r="F34" s="405">
        <f>LOOKUP(E34,108:108,109:109)-LOOKUP(C34,108:108,109:109)+100</f>
        <v>102</v>
      </c>
      <c r="G34" s="599">
        <f>土地案例!E6</f>
        <v>7327.55</v>
      </c>
      <c r="H34" s="405">
        <f>LOOKUP(G34,108:108,109:109)-LOOKUP(C34,108:108,109:109)+100</f>
        <v>100</v>
      </c>
      <c r="I34" s="462">
        <f>土地案例!E7</f>
        <v>99235.68</v>
      </c>
      <c r="J34" s="405">
        <f>LOOKUP(I34,108:108,109:109)-LOOKUP(C34,108:108,109:109)+100</f>
        <v>100</v>
      </c>
      <c r="K34" s="539"/>
      <c r="L34" s="2485"/>
      <c r="M34" s="2480"/>
      <c r="N34" s="2480"/>
      <c r="O34" s="2535"/>
      <c r="P34" s="3444"/>
      <c r="Q34" s="1260" t="str">
        <f>B34</f>
        <v>宗地面积</v>
      </c>
      <c r="R34" s="666" t="s">
        <v>14</v>
      </c>
      <c r="S34" s="667">
        <f t="shared" si="10"/>
        <v>102</v>
      </c>
      <c r="T34" s="666" t="s">
        <v>14</v>
      </c>
      <c r="U34" s="667">
        <f t="shared" si="11"/>
        <v>100</v>
      </c>
      <c r="V34" s="666" t="s">
        <v>14</v>
      </c>
      <c r="W34" s="667">
        <f t="shared" si="12"/>
        <v>100</v>
      </c>
      <c r="X34" s="1262"/>
      <c r="Y34" s="3444"/>
      <c r="Z34" s="1261" t="str">
        <f t="shared" si="13"/>
        <v>宗地面积</v>
      </c>
      <c r="AA34" s="1261">
        <f t="shared" si="3"/>
        <v>0.98039215686274506</v>
      </c>
      <c r="AB34" s="1261">
        <f t="shared" si="4"/>
        <v>1</v>
      </c>
      <c r="AC34" s="1261">
        <f t="shared" si="5"/>
        <v>1</v>
      </c>
    </row>
    <row r="35" spans="1:31" ht="15">
      <c r="A35" s="409"/>
      <c r="B35" s="364" t="s">
        <v>1874</v>
      </c>
      <c r="C35" s="1757" t="s">
        <v>3630</v>
      </c>
      <c r="D35" s="374">
        <v>100</v>
      </c>
      <c r="E35" s="1757" t="s">
        <v>3630</v>
      </c>
      <c r="F35" s="374">
        <f>SUMIF(110:110,E35,111:111)-SUMIF(110:110,C35,111:111)+100</f>
        <v>100</v>
      </c>
      <c r="G35" s="1757" t="s">
        <v>3630</v>
      </c>
      <c r="H35" s="374">
        <f>SUMIF(110:110,G35,111:111)-SUMIF(110:110,C35,111:111)+100</f>
        <v>100</v>
      </c>
      <c r="I35" s="1757" t="s">
        <v>3630</v>
      </c>
      <c r="J35" s="374">
        <f>SUMIF(110:110,I35,111:111)-SUMIF(110:110,C35,111:111)+100</f>
        <v>100</v>
      </c>
      <c r="K35" s="538">
        <v>2</v>
      </c>
      <c r="L35" s="2485"/>
      <c r="M35" s="2480"/>
      <c r="N35" s="2480"/>
      <c r="O35" s="2535"/>
      <c r="P35" s="3444"/>
      <c r="Q35" s="1260" t="str">
        <f t="shared" ref="Q35:Q40" si="14">B35</f>
        <v>宗地形状</v>
      </c>
      <c r="R35" s="666" t="s">
        <v>14</v>
      </c>
      <c r="S35" s="667">
        <f t="shared" si="10"/>
        <v>100</v>
      </c>
      <c r="T35" s="666" t="s">
        <v>14</v>
      </c>
      <c r="U35" s="667">
        <f t="shared" si="11"/>
        <v>100</v>
      </c>
      <c r="V35" s="666" t="s">
        <v>14</v>
      </c>
      <c r="W35" s="667">
        <f t="shared" si="12"/>
        <v>100</v>
      </c>
      <c r="X35" s="1262"/>
      <c r="Y35" s="3444"/>
      <c r="Z35" s="1261" t="str">
        <f t="shared" si="13"/>
        <v>宗地形状</v>
      </c>
      <c r="AA35" s="1261">
        <f t="shared" si="3"/>
        <v>1</v>
      </c>
      <c r="AB35" s="1261">
        <f t="shared" si="4"/>
        <v>1</v>
      </c>
      <c r="AC35" s="1261">
        <f t="shared" si="5"/>
        <v>1</v>
      </c>
    </row>
    <row r="36" spans="1:31" s="102" customFormat="1" ht="15">
      <c r="A36" s="410"/>
      <c r="B36" s="364" t="s">
        <v>1876</v>
      </c>
      <c r="C36" s="1825" t="s">
        <v>3632</v>
      </c>
      <c r="D36" s="119">
        <v>100</v>
      </c>
      <c r="E36" s="1825" t="s">
        <v>3633</v>
      </c>
      <c r="F36" s="374">
        <f>SUMIF(112:112,E36,113:113)-SUMIF(112:112,C36,113:113)+100</f>
        <v>98</v>
      </c>
      <c r="G36" s="1825" t="s">
        <v>3632</v>
      </c>
      <c r="H36" s="374">
        <f>SUMIF(112:112,G36,113:113)-SUMIF(112:112,C36,113:113)+100</f>
        <v>100</v>
      </c>
      <c r="I36" s="1825" t="s">
        <v>3632</v>
      </c>
      <c r="J36" s="374">
        <f>SUMIF(112:112,I36,113:113)-SUMIF(112:112,C36,113:113)+100</f>
        <v>100</v>
      </c>
      <c r="K36" s="538">
        <v>1</v>
      </c>
      <c r="L36" s="2481"/>
      <c r="M36" s="2433"/>
      <c r="N36" s="2433"/>
      <c r="O36" s="2533"/>
      <c r="P36" s="3444"/>
      <c r="Q36" s="1260" t="str">
        <f t="shared" si="14"/>
        <v>宗地开发程度</v>
      </c>
      <c r="R36" s="663" t="s">
        <v>14</v>
      </c>
      <c r="S36" s="664">
        <f t="shared" si="10"/>
        <v>98</v>
      </c>
      <c r="T36" s="663" t="s">
        <v>14</v>
      </c>
      <c r="U36" s="664">
        <f t="shared" si="11"/>
        <v>100</v>
      </c>
      <c r="V36" s="663" t="s">
        <v>14</v>
      </c>
      <c r="W36" s="664">
        <f t="shared" si="12"/>
        <v>100</v>
      </c>
      <c r="X36" s="665"/>
      <c r="Y36" s="3444"/>
      <c r="Z36" s="50" t="str">
        <f t="shared" si="13"/>
        <v>宗地开发程度</v>
      </c>
      <c r="AA36" s="50">
        <f t="shared" si="3"/>
        <v>1.0204081632653061</v>
      </c>
      <c r="AB36" s="50">
        <f t="shared" si="4"/>
        <v>1</v>
      </c>
      <c r="AC36" s="50">
        <f t="shared" si="5"/>
        <v>1</v>
      </c>
    </row>
    <row r="37" spans="1:31" ht="15">
      <c r="A37" s="409"/>
      <c r="B37" s="364" t="s">
        <v>1877</v>
      </c>
      <c r="C37" s="1757" t="s">
        <v>3624</v>
      </c>
      <c r="D37" s="374">
        <v>100</v>
      </c>
      <c r="E37" s="1757" t="s">
        <v>3624</v>
      </c>
      <c r="F37" s="374">
        <f>SUMIF(114:114,E37,115:115)-SUMIF(114:114,C37,115:115)+100</f>
        <v>100</v>
      </c>
      <c r="G37" s="1757" t="s">
        <v>3624</v>
      </c>
      <c r="H37" s="374">
        <f>SUMIF(114:114,G37,115:115)-SUMIF(114:114,C37,115:115)+100</f>
        <v>100</v>
      </c>
      <c r="I37" s="1757" t="s">
        <v>3624</v>
      </c>
      <c r="J37" s="374">
        <f>SUMIF(114:114,I37,115:115)-SUMIF(114:114,C37,115:115)+100</f>
        <v>100</v>
      </c>
      <c r="K37" s="538">
        <v>2</v>
      </c>
      <c r="L37" s="2485"/>
      <c r="M37" s="2480"/>
      <c r="N37" s="2480"/>
      <c r="O37" s="2535"/>
      <c r="P37" s="3444" t="s">
        <v>1695</v>
      </c>
      <c r="Q37" s="1260" t="str">
        <f t="shared" si="14"/>
        <v>工程地质条件</v>
      </c>
      <c r="R37" s="666" t="s">
        <v>14</v>
      </c>
      <c r="S37" s="667">
        <f t="shared" si="10"/>
        <v>100</v>
      </c>
      <c r="T37" s="666" t="s">
        <v>14</v>
      </c>
      <c r="U37" s="667">
        <f t="shared" si="11"/>
        <v>100</v>
      </c>
      <c r="V37" s="666" t="s">
        <v>14</v>
      </c>
      <c r="W37" s="667">
        <f t="shared" si="12"/>
        <v>100</v>
      </c>
      <c r="X37" s="1262"/>
      <c r="Y37" s="3444" t="s">
        <v>1695</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44"/>
      <c r="Q38" s="1260">
        <f t="shared" si="14"/>
        <v>111</v>
      </c>
      <c r="R38" s="666" t="s">
        <v>14</v>
      </c>
      <c r="S38" s="667">
        <f t="shared" si="10"/>
        <v>100</v>
      </c>
      <c r="T38" s="666" t="s">
        <v>14</v>
      </c>
      <c r="U38" s="667">
        <f t="shared" si="11"/>
        <v>100</v>
      </c>
      <c r="V38" s="666" t="s">
        <v>14</v>
      </c>
      <c r="W38" s="667">
        <f t="shared" si="12"/>
        <v>100</v>
      </c>
      <c r="X38" s="1262"/>
      <c r="Y38" s="3444"/>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44"/>
      <c r="Q39" s="1260">
        <f t="shared" si="14"/>
        <v>111</v>
      </c>
      <c r="R39" s="666" t="s">
        <v>14</v>
      </c>
      <c r="S39" s="667">
        <f t="shared" si="10"/>
        <v>100</v>
      </c>
      <c r="T39" s="666" t="s">
        <v>14</v>
      </c>
      <c r="U39" s="667">
        <f t="shared" si="11"/>
        <v>100</v>
      </c>
      <c r="V39" s="666" t="s">
        <v>14</v>
      </c>
      <c r="W39" s="667">
        <f t="shared" si="12"/>
        <v>100</v>
      </c>
      <c r="X39" s="1262"/>
      <c r="Y39" s="3444"/>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44"/>
      <c r="Q40" s="1260">
        <f t="shared" si="14"/>
        <v>111</v>
      </c>
      <c r="R40" s="668" t="s">
        <v>14</v>
      </c>
      <c r="S40" s="669">
        <f t="shared" si="10"/>
        <v>100</v>
      </c>
      <c r="T40" s="668" t="s">
        <v>14</v>
      </c>
      <c r="U40" s="669">
        <f t="shared" si="11"/>
        <v>100</v>
      </c>
      <c r="V40" s="668" t="s">
        <v>14</v>
      </c>
      <c r="W40" s="669">
        <f t="shared" si="12"/>
        <v>100</v>
      </c>
      <c r="X40" s="670"/>
      <c r="Y40" s="3444"/>
      <c r="Z40" s="671">
        <f t="shared" si="13"/>
        <v>111</v>
      </c>
      <c r="AA40" s="1261">
        <f t="shared" si="3"/>
        <v>1</v>
      </c>
      <c r="AB40" s="1261">
        <f t="shared" si="4"/>
        <v>1</v>
      </c>
      <c r="AC40" s="1261">
        <f t="shared" si="5"/>
        <v>1</v>
      </c>
    </row>
    <row r="41" spans="1:31" ht="15">
      <c r="A41" s="416" t="s">
        <v>1843</v>
      </c>
      <c r="B41" s="1827" t="s">
        <v>1921</v>
      </c>
      <c r="C41" s="602" t="s">
        <v>0</v>
      </c>
      <c r="D41" s="418"/>
      <c r="E41" s="419">
        <f>土地案例!Y5</f>
        <v>2000</v>
      </c>
      <c r="F41" s="420"/>
      <c r="G41" s="421">
        <f>土地案例!Y6</f>
        <v>1567</v>
      </c>
      <c r="H41" s="422"/>
      <c r="I41" s="419">
        <f>土地案例!Y7</f>
        <v>1568</v>
      </c>
      <c r="J41" s="422"/>
      <c r="K41" s="673"/>
      <c r="L41" s="2487"/>
      <c r="M41" s="2480"/>
      <c r="N41" s="2480"/>
      <c r="O41" s="2480"/>
      <c r="P41" s="3438" t="str">
        <f>A41</f>
        <v>成交单价</v>
      </c>
      <c r="Q41" s="3438"/>
      <c r="R41" s="3433">
        <f>E41</f>
        <v>2000</v>
      </c>
      <c r="S41" s="3433"/>
      <c r="T41" s="3433">
        <f>G41</f>
        <v>1567</v>
      </c>
      <c r="U41" s="3433"/>
      <c r="V41" s="3433">
        <f>I41</f>
        <v>1568</v>
      </c>
      <c r="W41" s="3433"/>
      <c r="X41" s="385"/>
      <c r="Y41" s="672"/>
      <c r="Z41" s="385"/>
      <c r="AA41" s="385"/>
      <c r="AB41" s="385"/>
      <c r="AC41" s="385"/>
    </row>
    <row r="42" spans="1:31" ht="15.75" thickBot="1">
      <c r="A42" s="423" t="s">
        <v>1792</v>
      </c>
      <c r="B42" s="603"/>
      <c r="C42" s="426">
        <f>R43</f>
        <v>1629</v>
      </c>
      <c r="D42" s="2138" t="s">
        <v>2137</v>
      </c>
      <c r="E42" s="426">
        <f>R42</f>
        <v>1885</v>
      </c>
      <c r="F42" s="2139"/>
      <c r="G42" s="425">
        <f>T42</f>
        <v>1500</v>
      </c>
      <c r="H42" s="2139"/>
      <c r="I42" s="426">
        <f>V42</f>
        <v>1501</v>
      </c>
      <c r="J42" s="2139"/>
      <c r="K42" s="2141">
        <f>F42+H42+J42</f>
        <v>0</v>
      </c>
      <c r="L42" s="2487"/>
      <c r="M42" s="2480"/>
      <c r="N42" s="2480"/>
      <c r="O42" s="2480"/>
      <c r="P42" s="3438" t="str">
        <f>A42</f>
        <v>比较价值（元/平方米）</v>
      </c>
      <c r="Q42" s="3438"/>
      <c r="R42" s="3465">
        <f>ROUND(PRODUCT(R41,AA7:AA40),0)</f>
        <v>1885</v>
      </c>
      <c r="S42" s="3465"/>
      <c r="T42" s="3465">
        <f>ROUND(PRODUCT(T41,AB7:AB40),0)</f>
        <v>1500</v>
      </c>
      <c r="U42" s="3465"/>
      <c r="V42" s="3465">
        <f>ROUND(PRODUCT(V41,AC7:AC40),0)</f>
        <v>1501</v>
      </c>
      <c r="W42" s="3465"/>
      <c r="X42" s="385"/>
      <c r="Y42" s="385"/>
      <c r="Z42" s="385"/>
      <c r="AA42" s="385"/>
      <c r="AB42" s="385"/>
      <c r="AC42" s="385"/>
    </row>
    <row r="43" spans="1:31" ht="15.75" thickBot="1">
      <c r="A43" s="427" t="s">
        <v>1793</v>
      </c>
      <c r="B43" s="428"/>
      <c r="C43" s="429">
        <f>R43</f>
        <v>1629</v>
      </c>
      <c r="D43" s="429"/>
      <c r="E43" s="429"/>
      <c r="F43" s="429"/>
      <c r="G43" s="429"/>
      <c r="H43" s="429"/>
      <c r="I43" s="429"/>
      <c r="J43" s="429"/>
      <c r="K43" s="674"/>
      <c r="L43" s="2487"/>
      <c r="M43" s="2480"/>
      <c r="N43" s="2480"/>
      <c r="O43" s="2480"/>
      <c r="P43" s="3435" t="str">
        <f>A43</f>
        <v>估价对象XX用房的比较价值（楼面单价，元/平方米）</v>
      </c>
      <c r="Q43" s="3436"/>
      <c r="R43" s="3466">
        <f>ROUND(IF(D42="简单平均",AVERAGE(R42:W42),R42*F42+T42*H42+V42*J42),0)</f>
        <v>1629</v>
      </c>
      <c r="S43" s="3466"/>
      <c r="T43" s="3466"/>
      <c r="U43" s="3466"/>
      <c r="V43" s="3466"/>
      <c r="W43" s="3466"/>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1794</v>
      </c>
      <c r="D46" s="433"/>
      <c r="E46" s="434">
        <f>IF(E41&lt;E42,E42/E41-1,E41/E42-1)</f>
        <v>6.1007957559681802E-2</v>
      </c>
      <c r="F46" s="435" t="str">
        <f>IF(OR(E46&gt;=0.3,E46&lt;=-0.3),"超过30%","")</f>
        <v/>
      </c>
      <c r="G46" s="434">
        <f>IF(G41&lt;G42,G42/G41-1,G41/G42-1)</f>
        <v>4.4666666666666632E-2</v>
      </c>
      <c r="H46" s="435" t="str">
        <f>IF(OR(G46&gt;=0.3,G46&lt;=-0.3),"超过30%","")</f>
        <v/>
      </c>
      <c r="I46" s="434">
        <f>IF(I41&lt;I42,I42/I41-1,I41/I42-1)</f>
        <v>4.4636908727514912E-2</v>
      </c>
      <c r="J46" s="435"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1795</v>
      </c>
      <c r="D47" s="436"/>
      <c r="E47" s="434">
        <f>IF(E42&lt;G42,G42/E42-1,E42/G42-1)</f>
        <v>0.2566666666666666</v>
      </c>
      <c r="F47" s="435" t="str">
        <f>IF(OR(E47&gt;=0.2,E47&lt;=-0.2),"超过20%","")</f>
        <v>超过20%</v>
      </c>
      <c r="G47" s="434">
        <f>IF(G42&lt;I42,I42/G42-1,G42/I42-1)</f>
        <v>6.6666666666659324E-4</v>
      </c>
      <c r="H47" s="435" t="str">
        <f>IF(OR(G47&gt;=0.2,G47&lt;=-0.2),"超过20%","")</f>
        <v/>
      </c>
      <c r="I47" s="434">
        <f>IF(I42&lt;E42,E42/I42-1,I42/E42-1)</f>
        <v>0.25582944703530974</v>
      </c>
      <c r="J47" s="435" t="str">
        <f>IF(OR(I47&gt;=0.2,I47&lt;=-0.2),"超过20%","")</f>
        <v>超过20%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1796</v>
      </c>
      <c r="D48" s="436"/>
      <c r="E48" s="434">
        <f>IF(E41&lt;G41,G41/E41-1,E41/G41-1)</f>
        <v>0.27632418634333122</v>
      </c>
      <c r="F48" s="435" t="str">
        <f>IF(OR(E48&gt;=0.3,E48&lt;=-0.3),"超过30%","")</f>
        <v/>
      </c>
      <c r="G48" s="434">
        <f>IF(G41&lt;I41,I41/G41-1,G41/I41-1)</f>
        <v>6.3816209317169026E-4</v>
      </c>
      <c r="H48" s="435" t="str">
        <f>IF(OR(G48&gt;=0.3,G48&lt;=-0.3),"超过30%","")</f>
        <v/>
      </c>
      <c r="I48" s="434">
        <f>IF(I41&lt;E41,E41/I41-1,I41/E41-1)</f>
        <v>0.27551020408163263</v>
      </c>
      <c r="J48" s="435"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1880</v>
      </c>
      <c r="B50" s="605" t="s">
        <v>1881</v>
      </c>
      <c r="C50" s="1828" t="s">
        <v>1882</v>
      </c>
      <c r="D50" s="1829" t="s">
        <v>1883</v>
      </c>
      <c r="E50" s="606" t="s">
        <v>1884</v>
      </c>
      <c r="F50" s="607" t="s">
        <v>1885</v>
      </c>
      <c r="G50" s="3421" t="s">
        <v>1886</v>
      </c>
      <c r="H50" s="3467"/>
      <c r="I50" s="1261" t="s">
        <v>1922</v>
      </c>
      <c r="J50" s="1261">
        <f>项目基本情况!F35</f>
        <v>0</v>
      </c>
      <c r="K50" s="1831"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1889</v>
      </c>
      <c r="B51" s="609">
        <f>C43</f>
        <v>1629</v>
      </c>
      <c r="C51" s="610">
        <v>1</v>
      </c>
      <c r="D51" s="889">
        <v>1</v>
      </c>
      <c r="E51" s="610">
        <f>'数据-汇总表'!E8+'数据-汇总表'!E9</f>
        <v>6436.4900000000007</v>
      </c>
      <c r="F51" s="611">
        <f t="shared" ref="F51:F60" si="15">ROUND(B51*E51/10000,0)</f>
        <v>1049</v>
      </c>
      <c r="G51" s="3420"/>
      <c r="H51" s="3438"/>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1890</v>
      </c>
      <c r="B52" s="210">
        <f>ROUND($C$43*C52*D52,0)</f>
        <v>0</v>
      </c>
      <c r="C52" s="163">
        <f t="shared" ref="C52:C60" si="16">IF($C$50="北京市系数",I52,J52)</f>
        <v>0</v>
      </c>
      <c r="D52" s="890">
        <v>0.25</v>
      </c>
      <c r="E52" s="614"/>
      <c r="F52" s="611">
        <f t="shared" si="15"/>
        <v>0</v>
      </c>
      <c r="G52" s="2743" t="s">
        <v>1891</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1892</v>
      </c>
      <c r="B53" s="210">
        <f t="shared" ref="B53:B60" si="17">ROUND($C$43*C53*D53,0)</f>
        <v>0</v>
      </c>
      <c r="C53" s="163">
        <f t="shared" si="16"/>
        <v>0</v>
      </c>
      <c r="D53" s="890">
        <v>0.25</v>
      </c>
      <c r="E53" s="614"/>
      <c r="F53" s="611">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1893</v>
      </c>
      <c r="B54" s="210">
        <f t="shared" si="17"/>
        <v>0</v>
      </c>
      <c r="C54" s="163">
        <f t="shared" si="16"/>
        <v>0</v>
      </c>
      <c r="D54" s="890">
        <v>0.25</v>
      </c>
      <c r="E54" s="614"/>
      <c r="F54" s="611">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90"/>
      <c r="E55" s="614"/>
      <c r="F55" s="611"/>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1894</v>
      </c>
      <c r="B56" s="210">
        <f t="shared" si="17"/>
        <v>0</v>
      </c>
      <c r="C56" s="163">
        <f t="shared" si="16"/>
        <v>0</v>
      </c>
      <c r="D56" s="890">
        <v>0.25</v>
      </c>
      <c r="E56" s="209">
        <f>'数据-汇总表'!E11</f>
        <v>0</v>
      </c>
      <c r="F56" s="611">
        <f t="shared" si="15"/>
        <v>0</v>
      </c>
      <c r="G56" s="1832" t="s">
        <v>1895</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1896</v>
      </c>
      <c r="B57" s="210">
        <f t="shared" si="17"/>
        <v>0</v>
      </c>
      <c r="C57" s="163">
        <f t="shared" si="16"/>
        <v>0</v>
      </c>
      <c r="D57" s="890">
        <v>0.25</v>
      </c>
      <c r="E57" s="209">
        <f>'数据-汇总表'!E12</f>
        <v>0</v>
      </c>
      <c r="F57" s="611">
        <f t="shared" si="15"/>
        <v>0</v>
      </c>
      <c r="G57" s="838" t="s">
        <v>1897</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1898</v>
      </c>
      <c r="B58" s="210">
        <f t="shared" si="17"/>
        <v>0</v>
      </c>
      <c r="C58" s="163">
        <f t="shared" si="16"/>
        <v>0</v>
      </c>
      <c r="D58" s="890">
        <v>0.25</v>
      </c>
      <c r="E58" s="209">
        <f>'数据-汇总表'!E13</f>
        <v>0</v>
      </c>
      <c r="F58" s="611">
        <f t="shared" si="15"/>
        <v>0</v>
      </c>
      <c r="G58" s="838" t="s">
        <v>1899</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1900</v>
      </c>
      <c r="B59" s="210">
        <f t="shared" si="17"/>
        <v>0</v>
      </c>
      <c r="C59" s="163">
        <f t="shared" si="16"/>
        <v>0</v>
      </c>
      <c r="D59" s="890">
        <v>0.25</v>
      </c>
      <c r="E59" s="209">
        <f>'数据-汇总表'!E14</f>
        <v>0</v>
      </c>
      <c r="F59" s="611">
        <f t="shared" si="15"/>
        <v>0</v>
      </c>
      <c r="G59" s="1832" t="s">
        <v>1891</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1901</v>
      </c>
      <c r="B60" s="210">
        <f t="shared" si="17"/>
        <v>0</v>
      </c>
      <c r="C60" s="163">
        <f t="shared" si="16"/>
        <v>0</v>
      </c>
      <c r="D60" s="890">
        <v>0.25</v>
      </c>
      <c r="E60" s="209">
        <f>'数据-汇总表'!E15</f>
        <v>0</v>
      </c>
      <c r="F60" s="611">
        <f t="shared" si="15"/>
        <v>0</v>
      </c>
      <c r="G60" s="1833" t="s">
        <v>1895</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1902</v>
      </c>
      <c r="B61" s="616" t="s">
        <v>22</v>
      </c>
      <c r="C61" s="616" t="s">
        <v>23</v>
      </c>
      <c r="D61" s="616" t="s">
        <v>392</v>
      </c>
      <c r="E61" s="616">
        <f>IF(B41="楼面地价",SUM(E51:E60),'数据-汇总表'!D3)</f>
        <v>9558.83</v>
      </c>
      <c r="F61" s="617">
        <f>IF(B41="楼面地价",SUM(F51:F60),ROUND(C43*E61/10000,0))</f>
        <v>1557</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0"/>
      <c r="Q63" s="2480"/>
      <c r="R63" s="2480"/>
      <c r="S63" s="2480"/>
      <c r="T63" s="2480"/>
      <c r="U63" s="2480"/>
      <c r="V63" s="2480"/>
      <c r="W63" s="2480"/>
      <c r="X63" s="2480"/>
      <c r="Y63" s="2480"/>
      <c r="Z63" s="2480"/>
      <c r="AA63" s="2480"/>
      <c r="AB63" s="2480"/>
      <c r="AC63" s="2480"/>
      <c r="AD63" s="2480"/>
      <c r="AE63" s="2480"/>
    </row>
    <row r="64" spans="1:31" ht="21.75" thickBot="1">
      <c r="A64" s="657" t="s">
        <v>1797</v>
      </c>
      <c r="B64" s="385"/>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2" customFormat="1" ht="15">
      <c r="A65" s="1627" t="s">
        <v>1903</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80" t="str">
        <f>"北京市平均增长率"&amp;TEXT(基准地价修正!P28,"0.00%")</f>
        <v>北京市平均增长率0.00%</v>
      </c>
      <c r="C66" s="530">
        <v>100</v>
      </c>
      <c r="D66" s="3175">
        <f>C66-$C$67</f>
        <v>99.8</v>
      </c>
      <c r="E66" s="3175">
        <f t="shared" ref="E66:O66" si="20">D66-$C$67</f>
        <v>99.6</v>
      </c>
      <c r="F66" s="3175">
        <f t="shared" si="20"/>
        <v>99.399999999999991</v>
      </c>
      <c r="G66" s="3175">
        <f t="shared" si="20"/>
        <v>99.199999999999989</v>
      </c>
      <c r="H66" s="3175">
        <f t="shared" si="20"/>
        <v>98.999999999999986</v>
      </c>
      <c r="I66" s="3175">
        <f t="shared" si="20"/>
        <v>98.799999999999983</v>
      </c>
      <c r="J66" s="3175">
        <f t="shared" si="20"/>
        <v>98.59999999999998</v>
      </c>
      <c r="K66" s="3175">
        <f t="shared" si="20"/>
        <v>98.399999999999977</v>
      </c>
      <c r="L66" s="3175">
        <f t="shared" si="20"/>
        <v>98.199999999999974</v>
      </c>
      <c r="M66" s="3175">
        <f t="shared" si="20"/>
        <v>97.999999999999972</v>
      </c>
      <c r="N66" s="3175">
        <f t="shared" si="20"/>
        <v>97.799999999999969</v>
      </c>
      <c r="O66" s="3175">
        <f t="shared" si="20"/>
        <v>97.599999999999966</v>
      </c>
      <c r="P66" s="2501"/>
      <c r="Q66" s="2433"/>
      <c r="R66" s="2433"/>
      <c r="S66" s="2433"/>
      <c r="T66" s="2433"/>
      <c r="U66" s="2433"/>
      <c r="V66" s="2433"/>
      <c r="W66" s="2433"/>
      <c r="X66" s="2433"/>
      <c r="Y66" s="2433"/>
      <c r="Z66" s="2433"/>
      <c r="AA66" s="2433"/>
      <c r="AB66" s="2433"/>
      <c r="AC66" s="2433"/>
      <c r="AD66" s="2433"/>
      <c r="AE66" s="2433"/>
    </row>
    <row r="67" spans="1:31" s="102" customFormat="1" ht="15.75" thickBot="1">
      <c r="A67" s="449" t="s">
        <v>1715</v>
      </c>
      <c r="B67" s="450"/>
      <c r="C67" s="451">
        <v>0.2</v>
      </c>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5">
      <c r="A68" s="455" t="s">
        <v>1680</v>
      </c>
      <c r="B68" s="444"/>
      <c r="C68" s="456" t="s">
        <v>1775</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c r="A70" s="379" t="s">
        <v>1718</v>
      </c>
      <c r="B70" s="460" t="s">
        <v>1684</v>
      </c>
      <c r="C70" s="3180" t="s">
        <v>2480</v>
      </c>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1687</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1688</v>
      </c>
      <c r="C74" s="478" t="str">
        <f>C75&amp;"（含）"&amp;"-"&amp;D75</f>
        <v>0（含）-1</v>
      </c>
      <c r="D74" s="478" t="str">
        <f t="shared" ref="D74:L74" si="21">D75&amp;"（含）"&amp;"-"&amp;E75</f>
        <v>1（含）-1.5</v>
      </c>
      <c r="E74" s="478" t="str">
        <f t="shared" si="21"/>
        <v>1.5（含）-</v>
      </c>
      <c r="F74" s="478" t="str">
        <f t="shared" si="21"/>
        <v>（含）-</v>
      </c>
      <c r="G74" s="478" t="str">
        <f t="shared" si="21"/>
        <v>（含）-</v>
      </c>
      <c r="H74" s="478" t="str">
        <f t="shared" si="21"/>
        <v>（含）-</v>
      </c>
      <c r="I74" s="478" t="str">
        <f t="shared" si="21"/>
        <v>（含）-</v>
      </c>
      <c r="J74" s="478" t="str">
        <f t="shared" si="21"/>
        <v>（含）-</v>
      </c>
      <c r="K74" s="478" t="str">
        <f t="shared" si="21"/>
        <v>（含）-</v>
      </c>
      <c r="L74" s="478" t="str">
        <f t="shared" si="21"/>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3179">
        <v>0</v>
      </c>
      <c r="D75" s="3179">
        <v>1</v>
      </c>
      <c r="E75" s="3179">
        <v>1.5</v>
      </c>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2">IF($B$41="单位面积地价",D76+$K11,D76-$K11)</f>
        <v>100</v>
      </c>
      <c r="F76" s="475">
        <f t="shared" si="22"/>
        <v>100</v>
      </c>
      <c r="G76" s="475">
        <f t="shared" si="22"/>
        <v>100</v>
      </c>
      <c r="H76" s="475">
        <f t="shared" si="22"/>
        <v>100</v>
      </c>
      <c r="I76" s="475">
        <f t="shared" si="22"/>
        <v>100</v>
      </c>
      <c r="J76" s="475">
        <f t="shared" si="22"/>
        <v>100</v>
      </c>
      <c r="K76" s="475">
        <f t="shared" si="22"/>
        <v>100</v>
      </c>
      <c r="L76" s="475">
        <f t="shared" si="22"/>
        <v>100</v>
      </c>
      <c r="M76" s="475">
        <f t="shared" si="22"/>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60" t="s">
        <v>1828</v>
      </c>
      <c r="C83" s="504" t="s">
        <v>1720</v>
      </c>
      <c r="D83" s="504" t="s">
        <v>1721</v>
      </c>
      <c r="E83" s="504" t="s">
        <v>1722</v>
      </c>
      <c r="F83" s="504" t="s">
        <v>1723</v>
      </c>
      <c r="G83" s="504" t="s">
        <v>1724</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97</v>
      </c>
      <c r="E84" s="475">
        <f>D84-$K15</f>
        <v>94</v>
      </c>
      <c r="F84" s="475">
        <f>E84-$K15</f>
        <v>91</v>
      </c>
      <c r="G84" s="475">
        <f>F84-$K15</f>
        <v>88</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1725</v>
      </c>
      <c r="C85" s="509" t="s">
        <v>1720</v>
      </c>
      <c r="D85" s="509" t="s">
        <v>1721</v>
      </c>
      <c r="E85" s="509" t="s">
        <v>1722</v>
      </c>
      <c r="F85" s="509" t="s">
        <v>1723</v>
      </c>
      <c r="G85" s="509" t="s">
        <v>1724</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98</v>
      </c>
      <c r="E86" s="475">
        <f>D86-$K17</f>
        <v>96</v>
      </c>
      <c r="F86" s="475">
        <f>E86-$K17</f>
        <v>94</v>
      </c>
      <c r="G86" s="475">
        <f>F86-$K17</f>
        <v>92</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1814</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1872</v>
      </c>
      <c r="C99" s="3174" t="s">
        <v>3628</v>
      </c>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8.5">
      <c r="A107" s="379" t="s">
        <v>1693</v>
      </c>
      <c r="B107" s="460" t="s">
        <v>1912</v>
      </c>
      <c r="C107" s="461" t="str">
        <f t="shared" ref="C107:L107" si="26">C108&amp;"(含)"&amp;"-"&amp;D108</f>
        <v>0(含)-20000</v>
      </c>
      <c r="D107" s="461" t="str">
        <f t="shared" si="26"/>
        <v>20000(含)-40000</v>
      </c>
      <c r="E107" s="461" t="str">
        <f t="shared" si="26"/>
        <v>40000(含)-60000</v>
      </c>
      <c r="F107" s="461" t="str">
        <f t="shared" si="26"/>
        <v>60000(含)-80000</v>
      </c>
      <c r="G107" s="461" t="str">
        <f t="shared" si="26"/>
        <v>80000(含)-100000</v>
      </c>
      <c r="H107" s="461" t="str">
        <f t="shared" si="26"/>
        <v>100000(含)-</v>
      </c>
      <c r="I107" s="461" t="str">
        <f t="shared" si="26"/>
        <v>(含)-</v>
      </c>
      <c r="J107" s="461" t="str">
        <f t="shared" si="26"/>
        <v>(含)-</v>
      </c>
      <c r="K107" s="1243" t="str">
        <f t="shared" si="26"/>
        <v>(含)-</v>
      </c>
      <c r="L107" s="1243" t="str">
        <f t="shared" si="26"/>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3175">
        <v>0</v>
      </c>
      <c r="D108" s="3175">
        <v>20000</v>
      </c>
      <c r="E108" s="3175">
        <v>40000</v>
      </c>
      <c r="F108" s="3175">
        <v>60000</v>
      </c>
      <c r="G108" s="3175">
        <v>80000</v>
      </c>
      <c r="H108" s="6">
        <v>100000</v>
      </c>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3176">
        <v>98</v>
      </c>
      <c r="D109" s="3177">
        <v>99</v>
      </c>
      <c r="E109" s="3177">
        <v>100</v>
      </c>
      <c r="F109" s="3177">
        <v>99</v>
      </c>
      <c r="G109" s="3177">
        <v>98</v>
      </c>
      <c r="H109" s="521">
        <v>97</v>
      </c>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1913</v>
      </c>
      <c r="C110" s="3174" t="s">
        <v>3629</v>
      </c>
      <c r="D110" s="3174" t="s">
        <v>3630</v>
      </c>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1915</v>
      </c>
      <c r="C112" s="3178" t="s">
        <v>3631</v>
      </c>
      <c r="D112" s="3178" t="s">
        <v>3632</v>
      </c>
      <c r="E112" s="3178" t="s">
        <v>3627</v>
      </c>
      <c r="F112" s="3178" t="s">
        <v>3633</v>
      </c>
      <c r="G112" s="3178" t="s">
        <v>3634</v>
      </c>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1916</v>
      </c>
      <c r="C114" s="3178" t="s">
        <v>3635</v>
      </c>
      <c r="D114" s="3178" t="s">
        <v>3624</v>
      </c>
      <c r="E114" s="3174" t="s">
        <v>3625</v>
      </c>
      <c r="F114" s="3174" t="s">
        <v>3626</v>
      </c>
      <c r="G114" s="3174" t="s">
        <v>3636</v>
      </c>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75" t="s">
        <v>2083</v>
      </c>
      <c r="D1" s="3476"/>
      <c r="E1" s="3476"/>
      <c r="F1" s="3476"/>
      <c r="G1" s="3476"/>
      <c r="H1" s="3476"/>
      <c r="I1" s="3476"/>
      <c r="J1" s="3476"/>
      <c r="K1" s="3476"/>
      <c r="L1" s="3476"/>
      <c r="M1" s="3476"/>
      <c r="N1" s="3476"/>
      <c r="O1" s="3476"/>
      <c r="P1" s="3476"/>
      <c r="Q1" s="3476"/>
      <c r="R1" s="3476"/>
      <c r="S1" s="3477"/>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7"/>
      <c r="G3" s="1217"/>
      <c r="H3" s="1217"/>
      <c r="I3" s="1217"/>
      <c r="J3" s="1217"/>
      <c r="K3" s="1217"/>
      <c r="L3" s="1218"/>
      <c r="M3" s="1219"/>
      <c r="N3" s="1219"/>
      <c r="O3" s="1217"/>
      <c r="P3" s="1217"/>
      <c r="Q3" s="1217"/>
      <c r="R3" s="1217"/>
      <c r="S3" s="1220"/>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1"/>
      <c r="G4" s="1221"/>
      <c r="H4" s="1221"/>
      <c r="I4" s="1221"/>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6" t="s">
        <v>2086</v>
      </c>
      <c r="C5" s="939"/>
      <c r="D5" s="940"/>
      <c r="E5" s="940"/>
      <c r="F5" s="1224"/>
      <c r="G5" s="1224"/>
      <c r="H5" s="1224"/>
      <c r="I5" s="1224"/>
      <c r="J5" s="1224"/>
      <c r="K5" s="1224"/>
      <c r="L5" s="1225"/>
      <c r="M5" s="1226"/>
      <c r="N5" s="1226"/>
      <c r="O5" s="1224"/>
      <c r="P5" s="1224"/>
      <c r="Q5" s="1224"/>
      <c r="R5" s="1224"/>
      <c r="S5" s="1227"/>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7" t="s">
        <v>2087</v>
      </c>
      <c r="C7" s="850"/>
      <c r="D7" s="844"/>
      <c r="E7" s="844"/>
      <c r="F7" s="1229"/>
      <c r="G7" s="1229"/>
      <c r="H7" s="1229"/>
      <c r="I7" s="1229"/>
      <c r="J7" s="1229"/>
      <c r="K7" s="1229"/>
      <c r="L7" s="1229"/>
      <c r="M7" s="1230"/>
      <c r="N7" s="1231"/>
      <c r="O7" s="1232"/>
      <c r="P7" s="1232"/>
      <c r="Q7" s="1233"/>
      <c r="R7" s="1234"/>
      <c r="S7" s="1235"/>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7" t="s">
        <v>2088</v>
      </c>
      <c r="C9" s="850"/>
      <c r="D9" s="844"/>
      <c r="E9" s="844"/>
      <c r="F9" s="1229"/>
      <c r="G9" s="1229"/>
      <c r="H9" s="1229"/>
      <c r="I9" s="1229"/>
      <c r="J9" s="1229"/>
      <c r="K9" s="1229"/>
      <c r="L9" s="1236"/>
      <c r="M9" s="1230"/>
      <c r="N9" s="1231"/>
      <c r="O9" s="1232"/>
      <c r="P9" s="1232"/>
      <c r="Q9" s="1233"/>
      <c r="R9" s="1234"/>
      <c r="S9" s="1235"/>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6"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6"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6"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5" t="s">
        <v>2094</v>
      </c>
      <c r="E19" s="1250"/>
      <c r="F19" s="1250"/>
      <c r="G19" s="1250"/>
      <c r="H19" s="994"/>
      <c r="I19" s="151"/>
      <c r="J19" s="151"/>
      <c r="K19" s="151"/>
      <c r="L19" s="151"/>
      <c r="M19" s="151"/>
      <c r="N19" s="151"/>
      <c r="O19" s="151"/>
      <c r="P19" s="151"/>
      <c r="Q19" s="151"/>
      <c r="R19" s="151"/>
      <c r="S19" s="121"/>
    </row>
    <row r="20" spans="1:45" ht="16.5" thickBot="1">
      <c r="A20" s="632" t="s">
        <v>2095</v>
      </c>
      <c r="B20" s="286" t="e">
        <f ca="1">IF(D20="——",S22,S22-F20)</f>
        <v>#REF!</v>
      </c>
      <c r="C20" s="151"/>
      <c r="D20" s="1986"/>
      <c r="E20" s="1251"/>
      <c r="F20" s="928" t="e">
        <f ca="1">SUMIF(INDIRECT("'"&amp;H20&amp;"'"&amp;"!A:A"),"承租人权益价值",INDIRECT("'"&amp;H20&amp;"'"&amp;"!c:c"))</f>
        <v>#REF!</v>
      </c>
      <c r="G20" s="928" t="s">
        <v>2096</v>
      </c>
      <c r="H20" s="1987"/>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2080</v>
      </c>
      <c r="B1" s="4"/>
      <c r="C1" s="4"/>
      <c r="D1" s="4"/>
      <c r="E1" s="4"/>
      <c r="F1" s="2537"/>
      <c r="G1" s="2537"/>
      <c r="H1" s="2537"/>
      <c r="I1" s="2537"/>
      <c r="J1" s="2537"/>
      <c r="K1" s="2537"/>
      <c r="L1" s="2537"/>
      <c r="M1" s="2537"/>
      <c r="N1" s="2537"/>
      <c r="O1" s="2537"/>
      <c r="P1" s="2537"/>
    </row>
    <row r="2" spans="1:16" ht="15.75">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75">
      <c r="A3" s="1981" t="s">
        <v>2075</v>
      </c>
      <c r="B3" s="2381" t="e">
        <f ca="1">ROUND(B2*10000/E2,0)</f>
        <v>#DIV/0!</v>
      </c>
      <c r="C3" s="1981"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2076</v>
      </c>
      <c r="B5" s="2389" t="s">
        <v>2077</v>
      </c>
      <c r="C5" s="1982"/>
      <c r="D5" s="2537"/>
      <c r="E5" s="2390" t="s">
        <v>2078</v>
      </c>
      <c r="F5" s="2537"/>
      <c r="G5" s="2537"/>
      <c r="H5" s="2537"/>
      <c r="I5" s="2537"/>
      <c r="J5" s="2537"/>
      <c r="K5" s="2537"/>
      <c r="L5" s="2537"/>
      <c r="M5" s="2537"/>
      <c r="N5" s="2537"/>
      <c r="O5" s="2537"/>
      <c r="P5" s="2537"/>
    </row>
    <row r="6" spans="1:16" ht="15.75">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75">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1925</v>
      </c>
      <c r="B1" s="189"/>
      <c r="C1" s="193" t="s">
        <v>1926</v>
      </c>
      <c r="D1" s="333">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t="e">
        <f>C30</f>
        <v>#DIV/0!</v>
      </c>
      <c r="C2" s="1843" t="s">
        <v>1934</v>
      </c>
      <c r="D2" s="162" t="s">
        <v>1935</v>
      </c>
      <c r="E2" s="3113"/>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3" t="s">
        <v>1940</v>
      </c>
      <c r="D3" s="162" t="s">
        <v>1941</v>
      </c>
      <c r="E3" s="3111"/>
      <c r="F3" s="1845"/>
      <c r="G3" s="707">
        <f>IF(F3="宗地容积率",'数据-汇总表'!I4,IF(F3="估价对象容积率",'数据-汇总表'!I6,'数据-汇总表'!I7))</f>
        <v>0</v>
      </c>
      <c r="H3" s="162"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485"/>
      <c r="B4" s="3486"/>
      <c r="C4" s="3486"/>
      <c r="D4" s="3487"/>
      <c r="E4" s="3487"/>
      <c r="F4" s="3487"/>
      <c r="G4" s="3487"/>
      <c r="H4" s="3487"/>
      <c r="I4" s="3487"/>
      <c r="J4" s="3488"/>
      <c r="K4" s="1054"/>
      <c r="L4" s="1844" t="s">
        <v>1945</v>
      </c>
      <c r="M4" s="810">
        <f>SUMPRODUCT((区片价!B55:B86=I2)*(区片价!C3:G3=E2)*(区片价!C55:G86))</f>
        <v>0</v>
      </c>
      <c r="N4" s="812">
        <f>SUMPRODUCT((因素修正幅度!B55:B86=I2)*(因素修正幅度!C3:G3=E2)*(因素修正幅度!C55:G86))</f>
        <v>0</v>
      </c>
      <c r="O4" s="1054"/>
      <c r="P4" s="1054"/>
      <c r="Q4" s="1054"/>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1946</v>
      </c>
      <c r="C5" s="708" t="e">
        <f>ROUND(IF(E2="商业",C6*C7*C17+C20,(IF(E2="住宅",C6*C13*C17+C20,IF(E2="办公",C6*C12*C17+C20,C6+C20)))),0)</f>
        <v>#DIV/0!</v>
      </c>
      <c r="D5" s="1249" t="e">
        <f>ROUND(C6*C17+C20,0)</f>
        <v>#DIV/0!</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6">
        <v>4</v>
      </c>
      <c r="S5" s="3056">
        <f>ROUND(SUMPRODUCT((B106:B110=R5)*(C105:N105=G2)*(C106:N110)),4)</f>
        <v>0</v>
      </c>
      <c r="T5" s="3056" t="e">
        <f t="shared" si="0"/>
        <v>#DIV/0!</v>
      </c>
      <c r="U5" s="1127"/>
      <c r="V5" s="3056" t="e">
        <f t="shared" si="1"/>
        <v>#DIV/0!</v>
      </c>
      <c r="W5" s="1130"/>
      <c r="X5" s="1130"/>
      <c r="Y5" s="1130"/>
      <c r="Z5" s="1130"/>
      <c r="AA5" s="1130"/>
      <c r="AB5" s="1130"/>
      <c r="AC5" s="1852"/>
      <c r="AD5" s="1853"/>
      <c r="AE5" s="1853"/>
      <c r="AF5" s="1853"/>
      <c r="AG5" s="1853"/>
      <c r="AH5" s="1853"/>
      <c r="AI5" s="1853"/>
      <c r="AJ5" s="1854"/>
    </row>
    <row r="6" spans="1:36" ht="15.75" thickBot="1">
      <c r="A6" s="1856" t="s">
        <v>1948</v>
      </c>
      <c r="B6" s="1857" t="s">
        <v>1949</v>
      </c>
      <c r="C6" s="709">
        <f>SUMIF(L1:L12,G2,M1:M12)</f>
        <v>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4"/>
      <c r="P6" s="1054"/>
      <c r="Q6" s="1054"/>
      <c r="R6" s="1126">
        <v>5</v>
      </c>
      <c r="S6" s="3056">
        <f>ROUND(SUMPRODUCT((B106:B110=R6)*(C105:N105=G2)*(C106:N110)),4)</f>
        <v>0</v>
      </c>
      <c r="T6" s="3056" t="e">
        <f t="shared" si="0"/>
        <v>#DIV/0!</v>
      </c>
      <c r="U6" s="1127"/>
      <c r="V6" s="3056" t="e">
        <f t="shared" si="1"/>
        <v>#DIV/0!</v>
      </c>
      <c r="W6" s="1130"/>
      <c r="X6" s="1130"/>
      <c r="Y6" s="1130"/>
      <c r="Z6" s="1130"/>
      <c r="AA6" s="1130"/>
      <c r="AB6" s="1130"/>
      <c r="AC6" s="1852"/>
      <c r="AD6" s="1853"/>
      <c r="AE6" s="1853"/>
      <c r="AF6" s="1853"/>
      <c r="AG6" s="1853"/>
      <c r="AH6" s="1853"/>
      <c r="AI6" s="1853"/>
      <c r="AJ6" s="1854"/>
    </row>
    <row r="7" spans="1:36" ht="24.75" thickBot="1">
      <c r="A7" s="3005" t="s">
        <v>3238</v>
      </c>
      <c r="B7" s="1862" t="s">
        <v>1951</v>
      </c>
      <c r="C7" s="710" t="e">
        <f>IF(C8="不临65条商业街",1,ROUND(1+(1.6*E8+1.2*E9+0.8*E10+0.4*E11)*C9,4))</f>
        <v>#DIV/0!</v>
      </c>
      <c r="D7" s="1863" t="s">
        <v>1952</v>
      </c>
      <c r="E7" s="729"/>
      <c r="F7" s="1864"/>
      <c r="G7" s="1865"/>
      <c r="H7" s="1865"/>
      <c r="I7" s="1865"/>
      <c r="J7" s="1866"/>
      <c r="K7" s="1289"/>
      <c r="L7" s="1844" t="s">
        <v>1953</v>
      </c>
      <c r="M7" s="810">
        <f>SUMPRODUCT((区片价!B190:B233=I2)*(区片价!C3:G3=E2)*(区片价!C190:G233))</f>
        <v>0</v>
      </c>
      <c r="N7" s="812">
        <f>SUMPRODUCT((因素修正幅度!B190:B233=I2)*(因素修正幅度!C3:G3=E2)*(因素修正幅度!C190:G233))</f>
        <v>0</v>
      </c>
      <c r="O7" s="1054"/>
      <c r="P7" s="1054"/>
      <c r="Q7" s="1054"/>
      <c r="R7" s="1126">
        <v>6</v>
      </c>
      <c r="S7" s="3110"/>
      <c r="T7" s="3056" t="e">
        <f t="shared" si="0"/>
        <v>#DIV/0!</v>
      </c>
      <c r="U7" s="1127"/>
      <c r="V7" s="3056" t="e">
        <f t="shared" si="1"/>
        <v>#DIV/0!</v>
      </c>
      <c r="W7" s="1264" t="s">
        <v>1954</v>
      </c>
      <c r="X7" s="1128">
        <f>G2</f>
        <v>0</v>
      </c>
      <c r="Y7" s="1128" t="s">
        <v>1955</v>
      </c>
      <c r="Z7" s="1129">
        <f>G3</f>
        <v>0</v>
      </c>
      <c r="AA7" s="1130"/>
      <c r="AB7" s="1130"/>
      <c r="AC7" s="1131"/>
      <c r="AD7" s="1132"/>
      <c r="AE7" s="1132"/>
      <c r="AF7" s="1132"/>
      <c r="AG7" s="1132"/>
      <c r="AH7" s="1132"/>
      <c r="AI7" s="1132"/>
      <c r="AJ7" s="1133"/>
    </row>
    <row r="8" spans="1:36" ht="15">
      <c r="A8" s="3002"/>
      <c r="B8" s="162"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6">
        <v>7</v>
      </c>
      <c r="S8" s="1127"/>
      <c r="T8" s="3056" t="e">
        <f t="shared" si="0"/>
        <v>#DIV/0!</v>
      </c>
      <c r="U8" s="1127"/>
      <c r="V8" s="3056" t="e">
        <f t="shared" si="1"/>
        <v>#DIV/0!</v>
      </c>
      <c r="W8" s="3482" t="s">
        <v>1959</v>
      </c>
      <c r="X8" s="3483"/>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2"/>
      <c r="B9" s="162" t="s">
        <v>1972</v>
      </c>
      <c r="C9" s="713">
        <f>SUMIF(修正!C71:C138,C8,修正!E71:E138)</f>
        <v>0</v>
      </c>
      <c r="D9" s="163" t="s">
        <v>113</v>
      </c>
      <c r="E9" s="163"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6">
        <v>8</v>
      </c>
      <c r="S9" s="1127"/>
      <c r="T9" s="3056" t="e">
        <f t="shared" si="0"/>
        <v>#DIV/0!</v>
      </c>
      <c r="U9" s="1127"/>
      <c r="V9" s="3056" t="e">
        <f t="shared" si="1"/>
        <v>#DIV/0!</v>
      </c>
      <c r="W9" s="3484"/>
      <c r="X9" s="3057" t="s">
        <v>3269</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1975</v>
      </c>
      <c r="C10" s="163">
        <f>SUMIF(修正!C71:C138,C8,修正!F71:F138)</f>
        <v>0</v>
      </c>
      <c r="D10" s="163" t="s">
        <v>114</v>
      </c>
      <c r="E10" s="163"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6">
        <v>9</v>
      </c>
      <c r="S10" s="1127"/>
      <c r="T10" s="3056" t="e">
        <f t="shared" si="0"/>
        <v>#DIV/0!</v>
      </c>
      <c r="U10" s="1127"/>
      <c r="V10" s="3056" t="e">
        <f t="shared" si="1"/>
        <v>#DIV/0!</v>
      </c>
      <c r="W10" s="3484"/>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3239</v>
      </c>
      <c r="B12" s="3006" t="s">
        <v>3240</v>
      </c>
      <c r="C12" s="3007"/>
      <c r="D12" s="3008" t="s">
        <v>3241</v>
      </c>
      <c r="E12" s="3009" t="s">
        <v>3242</v>
      </c>
      <c r="F12" s="3010"/>
      <c r="G12" s="3011"/>
      <c r="H12" s="3011"/>
      <c r="I12" s="3011"/>
      <c r="J12" s="3012"/>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3243</v>
      </c>
      <c r="B13" s="1875" t="s">
        <v>1981</v>
      </c>
      <c r="C13" s="710">
        <f>ROUND(C16*D16*E16*F16*G16*H16*I16*J16,4)</f>
        <v>0</v>
      </c>
      <c r="D13" s="1876" t="s">
        <v>1982</v>
      </c>
      <c r="E13" s="1877"/>
      <c r="F13" s="1877"/>
      <c r="G13" s="1878"/>
      <c r="H13" s="1878"/>
      <c r="I13" s="1878"/>
      <c r="J13" s="1879"/>
      <c r="K13" s="1054"/>
      <c r="L13" s="3"/>
      <c r="M13" s="4"/>
      <c r="N13" s="3003"/>
      <c r="O13" s="1054"/>
      <c r="P13" s="1054"/>
      <c r="Q13" s="1054"/>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80" t="s">
        <v>1984</v>
      </c>
      <c r="C14" s="1881" t="s">
        <v>1985</v>
      </c>
      <c r="D14" s="1258" t="s">
        <v>1986</v>
      </c>
      <c r="E14" s="27" t="s">
        <v>1987</v>
      </c>
      <c r="F14" s="3013" t="s">
        <v>3244</v>
      </c>
      <c r="G14" s="3013" t="s">
        <v>3244</v>
      </c>
      <c r="H14" s="3013" t="s">
        <v>3244</v>
      </c>
      <c r="I14" s="3013" t="s">
        <v>3244</v>
      </c>
      <c r="J14" s="3013" t="s">
        <v>3244</v>
      </c>
      <c r="K14" s="1054"/>
      <c r="L14" s="1054"/>
      <c r="M14" s="1054"/>
      <c r="N14" s="1054"/>
      <c r="O14" s="1054"/>
      <c r="P14" s="1054"/>
      <c r="Q14" s="1054"/>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2"/>
      <c r="C15" s="1883"/>
      <c r="D15" s="1884"/>
      <c r="E15" s="1885"/>
      <c r="F15" s="1467" t="s">
        <v>3245</v>
      </c>
      <c r="G15" s="1925"/>
      <c r="H15" s="3014"/>
      <c r="I15" s="3015"/>
      <c r="J15" s="3016"/>
      <c r="K15" s="1054"/>
      <c r="L15" s="1054"/>
      <c r="M15" s="1054"/>
      <c r="N15" s="1054"/>
      <c r="O15" s="1054"/>
      <c r="P15" s="1054"/>
      <c r="Q15" s="1054"/>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1988</v>
      </c>
      <c r="C16" s="3017"/>
      <c r="D16" s="3017"/>
      <c r="E16" s="3017"/>
      <c r="F16" s="3017">
        <v>1</v>
      </c>
      <c r="G16" s="3017">
        <v>1</v>
      </c>
      <c r="H16" s="3017">
        <v>1</v>
      </c>
      <c r="I16" s="3017">
        <v>1</v>
      </c>
      <c r="J16" s="3018">
        <v>1</v>
      </c>
      <c r="K16" s="1054"/>
      <c r="L16" s="1841"/>
      <c r="M16" s="1841"/>
      <c r="N16" s="1841"/>
      <c r="O16" s="1841"/>
      <c r="P16" s="1841"/>
      <c r="Q16" s="1054"/>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3246</v>
      </c>
      <c r="B17" s="3020" t="s">
        <v>3247</v>
      </c>
      <c r="C17" s="3029">
        <f>ROUND(IF(OR(E2="工业",E2="公共服务"),1,IF(AND(E18=0,E19=0),1,IF(AND(E18=J24,E19=G19),0.8,IF(E19=0,1+E17*(-0.2),1+E17*G17*(-0.2))))),4)</f>
        <v>1</v>
      </c>
      <c r="D17" s="3021" t="s">
        <v>3248</v>
      </c>
      <c r="E17" s="3029" t="e">
        <f>ROUND(G18/I18,2)</f>
        <v>#DIV/0!</v>
      </c>
      <c r="F17" s="3021" t="s">
        <v>3251</v>
      </c>
      <c r="G17" s="3029" t="e">
        <f>ROUND(E19/G19,2)</f>
        <v>#DIV/0!</v>
      </c>
      <c r="H17" s="3029"/>
      <c r="I17" s="3029"/>
      <c r="J17" s="3030"/>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1"/>
      <c r="B18" s="2304"/>
      <c r="C18" s="3027"/>
      <c r="D18" s="3022" t="s">
        <v>3249</v>
      </c>
      <c r="E18" s="2350"/>
      <c r="F18" s="3023" t="s">
        <v>3252</v>
      </c>
      <c r="G18" s="3027">
        <f>ROUND(1-(1/(POWER(1+G24,E18))),4)</f>
        <v>0</v>
      </c>
      <c r="H18" s="3023" t="s">
        <v>3254</v>
      </c>
      <c r="I18" s="3027">
        <f>ROUND(1-(1/(POWER(1+G24,J24))),4)</f>
        <v>0</v>
      </c>
      <c r="J18" s="3032"/>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5"/>
    </row>
    <row r="19" spans="1:37" s="1855" customFormat="1" ht="15" thickBot="1">
      <c r="A19" s="3033"/>
      <c r="B19" s="3034"/>
      <c r="C19" s="3035"/>
      <c r="D19" s="3035" t="s">
        <v>3250</v>
      </c>
      <c r="E19" s="3036"/>
      <c r="F19" s="3037" t="s">
        <v>3253</v>
      </c>
      <c r="G19" s="3036"/>
      <c r="H19" s="3035"/>
      <c r="I19" s="3035"/>
      <c r="J19" s="3038"/>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48"/>
      <c r="AH19" s="1977"/>
      <c r="AI19" s="561"/>
      <c r="AJ19" s="561"/>
      <c r="AK19" s="1896"/>
    </row>
    <row r="20" spans="1:37" s="1855" customFormat="1" ht="14.25">
      <c r="A20" s="3489" t="s">
        <v>3255</v>
      </c>
      <c r="B20" s="159" t="s">
        <v>1993</v>
      </c>
      <c r="C20" s="3024" t="e">
        <f>ROUND(IF(F21="与级别开发程度一致",0,(G21-E21)/C21),0)</f>
        <v>#DIV/0!</v>
      </c>
      <c r="D20" s="3039" t="s">
        <v>1997</v>
      </c>
      <c r="E20" s="3040"/>
      <c r="F20" s="3495" t="s">
        <v>1994</v>
      </c>
      <c r="G20" s="3496"/>
      <c r="H20" s="3025"/>
      <c r="I20" s="3025"/>
      <c r="J20" s="3026"/>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5" customFormat="1" ht="15" thickBot="1">
      <c r="A21" s="3490"/>
      <c r="B21" s="1999" t="s">
        <v>1996</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5" customFormat="1" ht="15.75" thickBot="1">
      <c r="A22" s="1993" t="s">
        <v>363</v>
      </c>
      <c r="B22" s="1994" t="s">
        <v>1999</v>
      </c>
      <c r="C22" s="1995">
        <f>SUMIF(修正!C20:C51,E3,修正!E20:E51)</f>
        <v>0</v>
      </c>
      <c r="D22" s="1996"/>
      <c r="E22" s="1997"/>
      <c r="F22" s="1997"/>
      <c r="G22" s="1997"/>
      <c r="H22" s="1997"/>
      <c r="I22" s="1997"/>
      <c r="J22" s="1998"/>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6.25" thickBot="1">
      <c r="A23" s="1889" t="s">
        <v>364</v>
      </c>
      <c r="B23" s="1890" t="s">
        <v>2000</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3" t="s">
        <v>2001</v>
      </c>
      <c r="E23" s="716">
        <v>44197</v>
      </c>
      <c r="F23" s="1893" t="s">
        <v>2002</v>
      </c>
      <c r="G23" s="717">
        <f>'数据-取费表'!B2</f>
        <v>45547</v>
      </c>
      <c r="H23" s="3041" t="s">
        <v>3257</v>
      </c>
      <c r="I23" s="3042" t="str">
        <f>IF(H23="季度增幅（自定义）",SUMIF(N25:N28,E2,O25:O28),"")</f>
        <v/>
      </c>
      <c r="J23" s="3134" t="s">
        <v>3256</v>
      </c>
      <c r="K23" s="1059"/>
      <c r="L23" s="1894" t="s">
        <v>2003</v>
      </c>
      <c r="M23" s="1238">
        <f>ROUND(SUMIF(地价!B2:G2,E2,地价!B16:G16),0)</f>
        <v>0</v>
      </c>
      <c r="N23" s="1895" t="s">
        <v>2004</v>
      </c>
      <c r="O23" s="718">
        <f>ROUNDDOWN(DATEDIF(E23,G23,"M")/3,0)</f>
        <v>14</v>
      </c>
      <c r="P23" s="1055"/>
      <c r="Q23" s="2545"/>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2005</v>
      </c>
      <c r="C24" s="719" t="e">
        <f>ROUND(POWER(1+G24,J24-I24)*(POWER(1+G24,I24)-1)/(POWER(1+G24,J24)-1),4)</f>
        <v>#DIV/0!</v>
      </c>
      <c r="D24" s="1899" t="s">
        <v>2006</v>
      </c>
      <c r="E24" s="1245">
        <f>存贷款利率!E26/100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39">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5">
      <c r="A25" s="1904" t="s">
        <v>366</v>
      </c>
      <c r="B25" s="1905" t="s">
        <v>3336</v>
      </c>
      <c r="C25" s="461">
        <f>IF(B25="容积率修正",IF(G3&lt;10,D26,J26),C27)</f>
        <v>0</v>
      </c>
      <c r="D25" s="1906"/>
      <c r="E25" s="1906"/>
      <c r="F25" s="1906"/>
      <c r="G25" s="1906"/>
      <c r="H25" s="1906"/>
      <c r="I25" s="1906"/>
      <c r="J25" s="1907"/>
      <c r="K25" s="1059"/>
      <c r="L25" s="2545"/>
      <c r="M25" s="2545"/>
      <c r="N25" s="1908" t="s">
        <v>2012</v>
      </c>
      <c r="O25" s="1090"/>
      <c r="P25" s="1091">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2013</v>
      </c>
      <c r="B26" s="1909" t="s">
        <v>2014</v>
      </c>
      <c r="C26" s="1909" t="s">
        <v>3258</v>
      </c>
      <c r="D26" s="1260">
        <f>IF(E26=G26,F26,IF(G3&lt;10,ROUND(F26+(H26-F26)*(G3-E26)/(G26-E26),4),"——"))</f>
        <v>0</v>
      </c>
      <c r="E26" s="707">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3259</v>
      </c>
      <c r="J26" s="374" t="str">
        <f>IF(G3&gt;=10,D115,"——")</f>
        <v>——</v>
      </c>
      <c r="K26" s="1059"/>
      <c r="L26" s="2545"/>
      <c r="M26" s="2545"/>
      <c r="N26" s="1908" t="s">
        <v>2015</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2019</v>
      </c>
      <c r="C28" s="715">
        <f>SUMIF(A47:A101,E2,B47:B101)</f>
        <v>0</v>
      </c>
      <c r="D28" s="1891"/>
      <c r="E28" s="1916"/>
      <c r="F28" s="1916"/>
      <c r="G28" s="1916"/>
      <c r="H28" s="1916"/>
      <c r="I28" s="1916"/>
      <c r="J28" s="1917"/>
      <c r="K28" s="1059"/>
      <c r="L28" s="2545"/>
      <c r="M28" s="2545"/>
      <c r="N28" s="1918" t="s">
        <v>2020</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2021</v>
      </c>
      <c r="C29" s="720"/>
      <c r="D29" s="1865"/>
      <c r="E29" s="1865"/>
      <c r="F29" s="1920"/>
      <c r="G29" s="1865"/>
      <c r="H29" s="1865"/>
      <c r="I29" s="1865"/>
      <c r="J29" s="1866"/>
      <c r="K29" s="1054"/>
      <c r="L29" s="1841"/>
      <c r="M29" s="1841"/>
      <c r="N29" s="2542" t="s">
        <v>2022</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2023</v>
      </c>
      <c r="C30" s="2142" t="e">
        <f>IF(B25="容积率修正",E33+SUM(E37:E42),SUM(V2:V16)+SUM(E37:E42))</f>
        <v>#DIV/0!</v>
      </c>
      <c r="D30" s="1922"/>
      <c r="E30" s="1839"/>
      <c r="F30" s="1923"/>
      <c r="G30" s="1839"/>
      <c r="H30" s="1839"/>
      <c r="I30" s="1839"/>
      <c r="J30" s="1924"/>
      <c r="K30" s="1054"/>
      <c r="L30" s="3048" t="s">
        <v>1935</v>
      </c>
      <c r="M30" s="3049" t="s">
        <v>1989</v>
      </c>
      <c r="N30" s="3049" t="s">
        <v>1990</v>
      </c>
      <c r="O30" s="3049" t="s">
        <v>1991</v>
      </c>
      <c r="P30" s="3049" t="s">
        <v>1992</v>
      </c>
      <c r="Q30" s="3052" t="s">
        <v>3263</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2024</v>
      </c>
      <c r="C31" s="721" t="e">
        <f>E34+SUM(I37:I42)</f>
        <v>#DIV/0!</v>
      </c>
      <c r="D31" s="1926"/>
      <c r="E31" s="1927"/>
      <c r="F31" s="1928"/>
      <c r="G31" s="1927"/>
      <c r="H31" s="1927"/>
      <c r="I31" s="1927"/>
      <c r="J31" s="1929"/>
      <c r="K31" s="1054"/>
      <c r="L31" s="3050" t="s">
        <v>1995</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2025</v>
      </c>
      <c r="C32" s="1932" t="s">
        <v>2026</v>
      </c>
      <c r="D32" s="1932" t="s">
        <v>2027</v>
      </c>
      <c r="E32" s="1933" t="s">
        <v>2028</v>
      </c>
      <c r="F32" s="1934"/>
      <c r="G32" s="1878"/>
      <c r="H32" s="1878"/>
      <c r="I32" s="1878"/>
      <c r="J32" s="1879"/>
      <c r="K32" s="1054"/>
      <c r="L32" s="3051" t="s">
        <v>1998</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2029</v>
      </c>
      <c r="C33" s="167" t="e">
        <f>ROUND(C5*C22*C23*C24*C25*C28,0)</f>
        <v>#DIV/0!</v>
      </c>
      <c r="D33" s="1937"/>
      <c r="E33" s="726" t="e">
        <f>ROUND(C33*D33/10000,0)</f>
        <v>#DIV/0!</v>
      </c>
      <c r="F33" s="3043" t="s">
        <v>3261</v>
      </c>
      <c r="G33" s="1938"/>
      <c r="H33" s="1938"/>
      <c r="I33" s="1938"/>
      <c r="J33" s="1939"/>
      <c r="K33" s="1054"/>
      <c r="L33" s="3046" t="s">
        <v>3264</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2030</v>
      </c>
      <c r="C34" s="179" t="e">
        <f>ROUND(IF(E2="工业",C33*M42,IF(B25="楼层修正",SUM(V2:V16)*M41*10000/D34,C33*M41)),0)</f>
        <v>#DIV/0!</v>
      </c>
      <c r="D34" s="1942"/>
      <c r="E34" s="726" t="e">
        <f>ROUND(IF(B25="楼层修正",SUM(V2:V16)*M40,C34*D34/10000),0)</f>
        <v>#DIV/0!</v>
      </c>
      <c r="F34" s="1943" t="s">
        <v>2031</v>
      </c>
      <c r="G34" s="1944"/>
      <c r="H34" s="1944"/>
      <c r="I34" s="1944"/>
      <c r="J34" s="1945"/>
      <c r="K34" s="1054"/>
      <c r="L34" s="3046" t="s">
        <v>3265</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4" t="s">
        <v>3262</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2026</v>
      </c>
      <c r="D36" s="433" t="s">
        <v>2027</v>
      </c>
      <c r="E36" s="433" t="s">
        <v>2028</v>
      </c>
      <c r="F36" s="333" t="s">
        <v>2034</v>
      </c>
      <c r="G36" s="1951" t="s">
        <v>2026</v>
      </c>
      <c r="H36" s="1951" t="s">
        <v>2027</v>
      </c>
      <c r="I36" s="1951" t="s">
        <v>2028</v>
      </c>
      <c r="J36" s="235"/>
      <c r="K36" s="1961" t="s">
        <v>3266</v>
      </c>
      <c r="L36" s="3135">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93"/>
      <c r="B37" s="1952" t="s">
        <v>2035</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47"/>
      <c r="K37" s="3054" t="s">
        <v>3267</v>
      </c>
      <c r="L37" s="1961">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94"/>
      <c r="B38" s="1881" t="s">
        <v>2036</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94"/>
      <c r="B39" s="1881" t="s">
        <v>3260</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8"/>
      <c r="L41" s="3055" t="s">
        <v>3268</v>
      </c>
      <c r="M41" s="1956">
        <v>0.25</v>
      </c>
      <c r="Z41" s="1055"/>
      <c r="AA41" s="1055"/>
      <c r="AB41" s="1055"/>
      <c r="AC41" s="1055"/>
      <c r="AD41" s="1055"/>
      <c r="AE41" s="1055"/>
      <c r="AF41" s="1055"/>
      <c r="AG41" s="1055"/>
      <c r="AH41" s="1055"/>
      <c r="AI41" s="1055"/>
      <c r="AJ41" s="1055"/>
    </row>
    <row r="42" spans="1:37" s="1054" customFormat="1" ht="13.5" thickBot="1">
      <c r="A42" s="1940"/>
      <c r="B42" s="1957" t="s">
        <v>2040</v>
      </c>
      <c r="C42" s="179" t="e">
        <f>ROUND(D5*C22*C23*C44*C28*F42,0)</f>
        <v>#DIV/0!</v>
      </c>
      <c r="D42" s="1942"/>
      <c r="E42" s="179" t="e">
        <f t="shared" si="4"/>
        <v>#DIV/0!</v>
      </c>
      <c r="F42" s="722">
        <f>SUMIF(修正!A57:A68,G2,修正!G57:G68)</f>
        <v>0</v>
      </c>
      <c r="G42" s="179" t="e">
        <f>ROUND(IF(E2="工业",C42*$M$42,C42*$M$41),0)</f>
        <v>#DIV/0!</v>
      </c>
      <c r="H42" s="179">
        <f t="shared" si="5"/>
        <v>0</v>
      </c>
      <c r="I42" s="179"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2121</v>
      </c>
      <c r="C44" s="333" t="e">
        <f>ROUND(POWER(1+E44,H44-G44)*(POWER(1+E44,G44)-1)/(POWER(1+E44,H44)-1),4)</f>
        <v>#DIV/0!</v>
      </c>
      <c r="D44" s="163" t="s">
        <v>1998</v>
      </c>
      <c r="E44" s="1988">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2041</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2042</v>
      </c>
      <c r="B48" s="1965">
        <f>1+E50</f>
        <v>1</v>
      </c>
      <c r="C48" s="1723"/>
      <c r="D48" s="698"/>
      <c r="E48" s="699"/>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2043</v>
      </c>
      <c r="B49" s="1259" t="s">
        <v>2044</v>
      </c>
      <c r="C49" s="1259" t="s">
        <v>2045</v>
      </c>
      <c r="D49" s="1259" t="s">
        <v>2046</v>
      </c>
      <c r="E49" s="700" t="s">
        <v>2047</v>
      </c>
      <c r="F49" s="1968" t="s">
        <v>2048</v>
      </c>
      <c r="G49" s="1259" t="s">
        <v>310</v>
      </c>
      <c r="H49" s="1969" t="s">
        <v>2049</v>
      </c>
      <c r="I49" s="1259" t="s">
        <v>2050</v>
      </c>
      <c r="J49" s="530" t="s">
        <v>1720</v>
      </c>
      <c r="K49" s="530" t="s">
        <v>1721</v>
      </c>
      <c r="L49" s="530" t="s">
        <v>1722</v>
      </c>
      <c r="M49" s="530" t="s">
        <v>1723</v>
      </c>
      <c r="N49" s="530" t="s">
        <v>1724</v>
      </c>
      <c r="AA49" s="1055"/>
      <c r="AB49" s="1055"/>
      <c r="AC49" s="1055"/>
      <c r="AD49" s="1055"/>
      <c r="AE49" s="1055"/>
      <c r="AF49" s="1055"/>
      <c r="AG49" s="1055"/>
      <c r="AH49" s="1055"/>
      <c r="AI49" s="1055"/>
      <c r="AJ49" s="1055"/>
      <c r="AK49" s="1055"/>
    </row>
    <row r="50" spans="1:37" s="1054" customFormat="1" ht="38.25">
      <c r="A50" s="1967" t="s">
        <v>2051</v>
      </c>
      <c r="B50" s="1970" t="str">
        <f>估价对象房地状况!C4</f>
        <v>估价对象位于XX商圈，周边商业氛围成熟，人流量大，商业繁华度好</v>
      </c>
      <c r="C50" s="1884"/>
      <c r="D50" s="1000">
        <f t="shared" ref="D50:D58" si="7">SUMIF($J$49:$N$49,C50,J50:N50)</f>
        <v>0</v>
      </c>
      <c r="E50" s="701">
        <f>ROUND(SUM(D50:D58),4)</f>
        <v>0</v>
      </c>
      <c r="F50" s="1672"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7" t="s">
        <v>2052</v>
      </c>
      <c r="B51" s="1259" t="str">
        <f>估价对象房地状况!C18</f>
        <v>估价对象周边道路状况、公共交通通达情况、停车便捷程度，综合评价交通便捷度较好</v>
      </c>
      <c r="C51" s="1884"/>
      <c r="D51" s="1000">
        <f t="shared" si="7"/>
        <v>0</v>
      </c>
      <c r="E51" s="702"/>
      <c r="F51" s="1672"/>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3" t="s">
        <v>3270</v>
      </c>
      <c r="B52" s="1259">
        <f>估价对象房地状况!C19</f>
        <v>0</v>
      </c>
      <c r="C52" s="1884"/>
      <c r="D52" s="1000">
        <f t="shared" si="7"/>
        <v>0</v>
      </c>
      <c r="E52" s="702"/>
      <c r="F52" s="1672"/>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2053</v>
      </c>
      <c r="B53" s="1971" t="s">
        <v>2054</v>
      </c>
      <c r="C53" s="1884"/>
      <c r="D53" s="1000">
        <f t="shared" si="7"/>
        <v>0</v>
      </c>
      <c r="E53" s="702"/>
      <c r="F53" s="1672"/>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2055</v>
      </c>
      <c r="B54" s="1259">
        <f>估价对象房地状况!C24</f>
        <v>0</v>
      </c>
      <c r="C54" s="1884"/>
      <c r="D54" s="1000">
        <f t="shared" si="7"/>
        <v>0</v>
      </c>
      <c r="E54" s="702"/>
      <c r="F54" s="1672"/>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2056</v>
      </c>
      <c r="B55" s="1972" t="s">
        <v>2057</v>
      </c>
      <c r="C55" s="1884"/>
      <c r="D55" s="1000">
        <f t="shared" si="7"/>
        <v>0</v>
      </c>
      <c r="E55" s="702"/>
      <c r="F55" s="1672"/>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3" t="s">
        <v>2058</v>
      </c>
      <c r="B56" s="1237" t="str">
        <f>估价对象房地状况!C21</f>
        <v>估价对象所在区域公共配套设施齐备情况</v>
      </c>
      <c r="C56" s="1884"/>
      <c r="D56" s="1000">
        <f t="shared" si="7"/>
        <v>0</v>
      </c>
      <c r="E56" s="702"/>
      <c r="F56" s="1672"/>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2059</v>
      </c>
      <c r="B57" s="1259" t="str">
        <f>估价对象房地状况!C22</f>
        <v>估价对象所在区域基础设施水平</v>
      </c>
      <c r="C57" s="1884"/>
      <c r="D57" s="1000">
        <f t="shared" si="7"/>
        <v>0</v>
      </c>
      <c r="E57" s="702"/>
      <c r="F57" s="1672"/>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4" t="s">
        <v>2060</v>
      </c>
      <c r="B58" s="1975" t="str">
        <f>估价对象房地状况!C20</f>
        <v>区域自然环境：；人文环境；综合评价环境状况一般</v>
      </c>
      <c r="C58" s="1884"/>
      <c r="D58" s="1000">
        <f t="shared" si="7"/>
        <v>0</v>
      </c>
      <c r="E58" s="703"/>
      <c r="F58" s="1672"/>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2043</v>
      </c>
      <c r="B60" s="1259"/>
      <c r="C60" s="1259" t="s">
        <v>2045</v>
      </c>
      <c r="D60" s="1259" t="s">
        <v>2046</v>
      </c>
      <c r="E60" s="700" t="s">
        <v>2047</v>
      </c>
      <c r="F60" s="1968" t="s">
        <v>2062</v>
      </c>
      <c r="G60" s="1259" t="s">
        <v>310</v>
      </c>
      <c r="H60" s="1969" t="s">
        <v>2049</v>
      </c>
      <c r="I60" s="1259" t="s">
        <v>2050</v>
      </c>
      <c r="J60" s="530" t="s">
        <v>1720</v>
      </c>
      <c r="K60" s="530" t="s">
        <v>1721</v>
      </c>
      <c r="L60" s="530" t="s">
        <v>1722</v>
      </c>
      <c r="M60" s="530" t="s">
        <v>1723</v>
      </c>
      <c r="N60" s="530" t="s">
        <v>1724</v>
      </c>
      <c r="AA60" s="1055"/>
      <c r="AB60" s="1055"/>
      <c r="AC60" s="1055"/>
      <c r="AD60" s="1055"/>
      <c r="AE60" s="1055"/>
      <c r="AF60" s="1055"/>
      <c r="AG60" s="1055"/>
      <c r="AH60" s="1055"/>
      <c r="AI60" s="1055"/>
      <c r="AJ60" s="1055"/>
      <c r="AK60" s="1055"/>
    </row>
    <row r="61" spans="1:37" s="1054" customFormat="1" ht="38.25">
      <c r="A61" s="1967" t="s">
        <v>2063</v>
      </c>
      <c r="B61" s="1970" t="str">
        <f>估价对象房地状况!C17</f>
        <v>估价对象位于XX商圈，周边办公楼项目较多，入驻率高，办公集聚程度较好</v>
      </c>
      <c r="C61" s="1884"/>
      <c r="D61" s="1000">
        <f t="shared" ref="D61:D69" si="12">SUMIF($J$60:$N$60,C61,J61:N61)</f>
        <v>0</v>
      </c>
      <c r="E61" s="701">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7" t="s">
        <v>2052</v>
      </c>
      <c r="B62" s="1259" t="str">
        <f>估价对象房地状况!C18</f>
        <v>估价对象周边道路状况、公共交通通达情况、停车便捷程度，综合评价交通便捷度较好</v>
      </c>
      <c r="C62" s="1884"/>
      <c r="D62" s="1000">
        <f t="shared" si="12"/>
        <v>0</v>
      </c>
      <c r="E62" s="702"/>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3" t="s">
        <v>3270</v>
      </c>
      <c r="B63" s="1259">
        <f>估价对象房地状况!C19</f>
        <v>0</v>
      </c>
      <c r="C63" s="1884"/>
      <c r="D63" s="1000">
        <f t="shared" si="12"/>
        <v>0</v>
      </c>
      <c r="E63" s="702"/>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2053</v>
      </c>
      <c r="B64" s="1971" t="s">
        <v>2054</v>
      </c>
      <c r="C64" s="1884"/>
      <c r="D64" s="1000">
        <f t="shared" si="12"/>
        <v>0</v>
      </c>
      <c r="E64" s="702"/>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2055</v>
      </c>
      <c r="B65" s="1259">
        <f>估价对象房地状况!C24</f>
        <v>0</v>
      </c>
      <c r="C65" s="1884"/>
      <c r="D65" s="1000">
        <f t="shared" si="12"/>
        <v>0</v>
      </c>
      <c r="E65" s="702"/>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2056</v>
      </c>
      <c r="B66" s="1972" t="s">
        <v>2057</v>
      </c>
      <c r="C66" s="1884"/>
      <c r="D66" s="1000">
        <f t="shared" si="12"/>
        <v>0</v>
      </c>
      <c r="E66" s="702"/>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7" t="s">
        <v>2058</v>
      </c>
      <c r="B67" s="1237" t="str">
        <f>估价对象房地状况!C21</f>
        <v>估价对象所在区域公共配套设施齐备情况</v>
      </c>
      <c r="C67" s="1884"/>
      <c r="D67" s="1000">
        <f t="shared" si="12"/>
        <v>0</v>
      </c>
      <c r="E67" s="702"/>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2059</v>
      </c>
      <c r="B68" s="1237" t="str">
        <f>估价对象房地状况!C22</f>
        <v>估价对象所在区域基础设施水平</v>
      </c>
      <c r="C68" s="1884"/>
      <c r="D68" s="1000">
        <f t="shared" si="12"/>
        <v>0</v>
      </c>
      <c r="E68" s="702"/>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4" t="s">
        <v>2060</v>
      </c>
      <c r="B69" s="1976" t="str">
        <f>估价对象房地状况!C20</f>
        <v>区域自然环境：；人文环境；综合评价环境状况一般</v>
      </c>
      <c r="C69" s="1884"/>
      <c r="D69" s="1000">
        <f t="shared" si="12"/>
        <v>0</v>
      </c>
      <c r="E69" s="703"/>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2043</v>
      </c>
      <c r="B71" s="1259"/>
      <c r="C71" s="1259" t="s">
        <v>2045</v>
      </c>
      <c r="D71" s="1259" t="s">
        <v>2046</v>
      </c>
      <c r="E71" s="700" t="s">
        <v>2047</v>
      </c>
      <c r="F71" s="1968" t="s">
        <v>2062</v>
      </c>
      <c r="G71" s="1259" t="s">
        <v>310</v>
      </c>
      <c r="H71" s="1969" t="s">
        <v>2049</v>
      </c>
      <c r="I71" s="1259" t="s">
        <v>2050</v>
      </c>
      <c r="J71" s="530" t="s">
        <v>1720</v>
      </c>
      <c r="K71" s="530" t="s">
        <v>1721</v>
      </c>
      <c r="L71" s="530" t="s">
        <v>1722</v>
      </c>
      <c r="M71" s="530" t="s">
        <v>1723</v>
      </c>
      <c r="N71" s="530" t="s">
        <v>1724</v>
      </c>
      <c r="AA71" s="1055"/>
      <c r="AB71" s="1055"/>
      <c r="AC71" s="1055"/>
      <c r="AD71" s="1055"/>
      <c r="AE71" s="1055"/>
      <c r="AF71" s="1055"/>
      <c r="AG71" s="1055"/>
      <c r="AH71" s="1055"/>
      <c r="AI71" s="1055"/>
      <c r="AJ71" s="1055"/>
      <c r="AK71" s="1055"/>
    </row>
    <row r="72" spans="1:37" s="1054" customFormat="1" ht="51">
      <c r="A72" s="1967" t="s">
        <v>2065</v>
      </c>
      <c r="B72" s="1970" t="str">
        <f>估价对象房地状况!C15</f>
        <v>估价对象周边居住用地比例、居住小区规模和社区发展完善程度，综合评价居住社区成熟度一般</v>
      </c>
      <c r="C72" s="1884"/>
      <c r="D72" s="1000">
        <f t="shared" ref="D72:D80" si="17">SUMIF($J$71:$N$71,C72,J72:N72)</f>
        <v>0</v>
      </c>
      <c r="E72" s="701">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7" t="s">
        <v>2052</v>
      </c>
      <c r="B73" s="1259" t="str">
        <f>估价对象房地状况!C18</f>
        <v>估价对象周边道路状况、公共交通通达情况、停车便捷程度，综合评价交通便捷度较好</v>
      </c>
      <c r="C73" s="1884"/>
      <c r="D73" s="1000">
        <f t="shared" si="17"/>
        <v>0</v>
      </c>
      <c r="E73" s="704"/>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3" t="s">
        <v>3270</v>
      </c>
      <c r="B74" s="1259">
        <f>估价对象房地状况!C19</f>
        <v>0</v>
      </c>
      <c r="C74" s="1884"/>
      <c r="D74" s="1000">
        <f t="shared" si="17"/>
        <v>0</v>
      </c>
      <c r="E74" s="704"/>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2066</v>
      </c>
      <c r="B75" s="1259">
        <f>估价对象房地状况!C24</f>
        <v>0</v>
      </c>
      <c r="C75" s="1884"/>
      <c r="D75" s="1000">
        <f t="shared" si="17"/>
        <v>0</v>
      </c>
      <c r="E75" s="704"/>
      <c r="F75" s="1672"/>
      <c r="G75" s="998"/>
      <c r="H75" s="1001" t="str">
        <f t="shared" si="18"/>
        <v>——</v>
      </c>
      <c r="I75" s="3061">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2058</v>
      </c>
      <c r="B76" s="1237" t="str">
        <f>估价对象房地状况!C21</f>
        <v>估价对象所在区域公共配套设施齐备情况</v>
      </c>
      <c r="C76" s="1884"/>
      <c r="D76" s="1000">
        <f t="shared" si="17"/>
        <v>0</v>
      </c>
      <c r="E76" s="704"/>
      <c r="F76" s="1672"/>
      <c r="G76" s="998"/>
      <c r="H76" s="1001" t="str">
        <f t="shared" si="18"/>
        <v>——</v>
      </c>
      <c r="I76" s="3061">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2059</v>
      </c>
      <c r="B77" s="1237" t="str">
        <f>估价对象房地状况!C22</f>
        <v>估价对象所在区域基础设施水平</v>
      </c>
      <c r="C77" s="1884"/>
      <c r="D77" s="1000">
        <f t="shared" si="17"/>
        <v>0</v>
      </c>
      <c r="E77" s="704"/>
      <c r="F77" s="1672"/>
      <c r="G77" s="998"/>
      <c r="H77" s="1001" t="str">
        <f t="shared" si="18"/>
        <v>——</v>
      </c>
      <c r="I77" s="3061">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2056</v>
      </c>
      <c r="B78" s="1972" t="s">
        <v>2057</v>
      </c>
      <c r="C78" s="1884"/>
      <c r="D78" s="1000">
        <f t="shared" si="17"/>
        <v>0</v>
      </c>
      <c r="E78" s="704"/>
      <c r="F78" s="1672"/>
      <c r="G78" s="998"/>
      <c r="H78" s="1001" t="str">
        <f t="shared" si="18"/>
        <v>——</v>
      </c>
      <c r="I78" s="3061">
        <v>0.05</v>
      </c>
      <c r="J78" s="999">
        <f t="shared" si="19"/>
        <v>0</v>
      </c>
      <c r="K78" s="999">
        <f t="shared" si="20"/>
        <v>0</v>
      </c>
      <c r="L78" s="999">
        <v>0</v>
      </c>
      <c r="M78" s="999">
        <f t="shared" si="21"/>
        <v>0</v>
      </c>
      <c r="N78" s="999">
        <f t="shared" si="21"/>
        <v>0</v>
      </c>
      <c r="O78" s="1841"/>
      <c r="P78" s="1841"/>
      <c r="Z78" s="1842"/>
      <c r="AA78" s="1892"/>
      <c r="AG78" s="1056"/>
      <c r="AK78" s="1892"/>
    </row>
    <row r="79" spans="1:37" ht="25.5">
      <c r="A79" s="1967" t="s">
        <v>2060</v>
      </c>
      <c r="B79" s="1970" t="str">
        <f>估价对象房地状况!C20</f>
        <v>区域自然环境：；人文环境；综合评价环境状况一般</v>
      </c>
      <c r="C79" s="1884"/>
      <c r="D79" s="1000">
        <f t="shared" si="17"/>
        <v>0</v>
      </c>
      <c r="E79" s="704"/>
      <c r="F79" s="1672"/>
      <c r="G79" s="998"/>
      <c r="H79" s="1001" t="str">
        <f t="shared" si="18"/>
        <v>——</v>
      </c>
      <c r="I79" s="3061">
        <v>0.12</v>
      </c>
      <c r="J79" s="999">
        <f t="shared" si="19"/>
        <v>0</v>
      </c>
      <c r="K79" s="999">
        <f t="shared" si="20"/>
        <v>0</v>
      </c>
      <c r="L79" s="999">
        <v>0</v>
      </c>
      <c r="M79" s="999">
        <f t="shared" si="21"/>
        <v>0</v>
      </c>
      <c r="N79" s="999">
        <f t="shared" si="21"/>
        <v>0</v>
      </c>
      <c r="Z79" s="1842"/>
      <c r="AA79" s="1892"/>
      <c r="AG79" s="1056"/>
      <c r="AK79" s="1892"/>
    </row>
    <row r="80" spans="1:37" ht="24.75" thickBot="1">
      <c r="A80" s="1974" t="s">
        <v>2067</v>
      </c>
      <c r="B80" s="1978"/>
      <c r="C80" s="1884"/>
      <c r="D80" s="1000">
        <f t="shared" si="17"/>
        <v>0</v>
      </c>
      <c r="E80" s="705"/>
      <c r="F80" s="1672"/>
      <c r="G80" s="998"/>
      <c r="H80" s="1001" t="str">
        <f t="shared" si="18"/>
        <v>——</v>
      </c>
      <c r="I80" s="3062">
        <v>0.05</v>
      </c>
      <c r="J80" s="999">
        <f t="shared" si="19"/>
        <v>0</v>
      </c>
      <c r="K80" s="999">
        <f t="shared" si="20"/>
        <v>0</v>
      </c>
      <c r="L80" s="999">
        <v>0</v>
      </c>
      <c r="M80" s="999">
        <f t="shared" si="21"/>
        <v>0</v>
      </c>
      <c r="N80" s="999">
        <f t="shared" si="21"/>
        <v>0</v>
      </c>
      <c r="Z80" s="1842"/>
      <c r="AA80" s="1892"/>
      <c r="AG80" s="1056"/>
      <c r="AK80" s="1892"/>
    </row>
    <row r="81" spans="1:37" ht="15">
      <c r="A81" s="1964" t="s">
        <v>2068</v>
      </c>
      <c r="B81" s="1965">
        <f>1+E83</f>
        <v>1</v>
      </c>
      <c r="C81" s="698"/>
      <c r="D81" s="698"/>
      <c r="E81" s="699"/>
      <c r="F81" s="1966"/>
      <c r="G81" s="3"/>
      <c r="H81" s="3"/>
      <c r="I81" s="3"/>
      <c r="J81" s="4"/>
      <c r="K81" s="4"/>
      <c r="L81" s="4"/>
      <c r="M81" s="4"/>
      <c r="N81" s="4"/>
      <c r="Z81" s="1842"/>
      <c r="AA81" s="1892"/>
      <c r="AG81" s="1056"/>
      <c r="AK81" s="1892"/>
    </row>
    <row r="82" spans="1:37" ht="24.75">
      <c r="A82" s="1967" t="s">
        <v>2043</v>
      </c>
      <c r="B82" s="1259"/>
      <c r="C82" s="1259" t="s">
        <v>2045</v>
      </c>
      <c r="D82" s="1259" t="s">
        <v>2046</v>
      </c>
      <c r="E82" s="700" t="s">
        <v>2047</v>
      </c>
      <c r="F82" s="1968" t="s">
        <v>2062</v>
      </c>
      <c r="G82" s="1259" t="s">
        <v>310</v>
      </c>
      <c r="H82" s="1969" t="s">
        <v>2049</v>
      </c>
      <c r="I82" s="1259" t="s">
        <v>2050</v>
      </c>
      <c r="J82" s="530" t="s">
        <v>1720</v>
      </c>
      <c r="K82" s="530" t="s">
        <v>1721</v>
      </c>
      <c r="L82" s="530" t="s">
        <v>1722</v>
      </c>
      <c r="M82" s="530" t="s">
        <v>1723</v>
      </c>
      <c r="N82" s="530" t="s">
        <v>1724</v>
      </c>
      <c r="Z82" s="1842"/>
      <c r="AA82" s="1892"/>
      <c r="AG82" s="1056"/>
      <c r="AK82" s="1892"/>
    </row>
    <row r="83" spans="1:37" ht="38.25">
      <c r="A83" s="1967" t="s">
        <v>2069</v>
      </c>
      <c r="B83" s="1259" t="str">
        <f>估价对象房地状况!G15</f>
        <v>估价对象位于XX开发区，园区建设成熟度XX，产业集聚程度XX</v>
      </c>
      <c r="C83" s="1884"/>
      <c r="D83" s="1000">
        <f t="shared" ref="D83:D90" si="22">SUMIF($J$82:$N$82,C83,J83:N83)</f>
        <v>0</v>
      </c>
      <c r="E83" s="701">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2052</v>
      </c>
      <c r="B84" s="1259" t="str">
        <f>估价对象房地状况!G16</f>
        <v>估价对象周边道路状况、公共交通通达情况、停车便捷程度，综合评价交通便捷度较好</v>
      </c>
      <c r="C84" s="1884"/>
      <c r="D84" s="1000">
        <f t="shared" si="22"/>
        <v>0</v>
      </c>
      <c r="E84" s="704"/>
      <c r="F84" s="1672"/>
      <c r="G84" s="998"/>
      <c r="H84" s="1001" t="str">
        <f t="shared" si="23"/>
        <v>——</v>
      </c>
      <c r="I84" s="3061">
        <v>0.3</v>
      </c>
      <c r="J84" s="999">
        <f t="shared" si="24"/>
        <v>0</v>
      </c>
      <c r="K84" s="999">
        <f t="shared" si="25"/>
        <v>0</v>
      </c>
      <c r="L84" s="999">
        <v>0</v>
      </c>
      <c r="M84" s="999">
        <f t="shared" si="26"/>
        <v>0</v>
      </c>
      <c r="N84" s="999">
        <f t="shared" si="26"/>
        <v>0</v>
      </c>
      <c r="Z84" s="1842"/>
      <c r="AA84" s="1892"/>
      <c r="AG84" s="1056"/>
      <c r="AK84" s="1892"/>
    </row>
    <row r="85" spans="1:37" ht="36">
      <c r="A85" s="3063" t="s">
        <v>3271</v>
      </c>
      <c r="B85" s="1259">
        <f>估价对象房地状况!G17</f>
        <v>0</v>
      </c>
      <c r="C85" s="1884"/>
      <c r="D85" s="1000">
        <f t="shared" si="22"/>
        <v>0</v>
      </c>
      <c r="E85" s="704"/>
      <c r="F85" s="1672"/>
      <c r="G85" s="998"/>
      <c r="H85" s="1001" t="str">
        <f t="shared" si="23"/>
        <v>——</v>
      </c>
      <c r="I85" s="3061">
        <v>0.1</v>
      </c>
      <c r="J85" s="999">
        <f t="shared" si="24"/>
        <v>0</v>
      </c>
      <c r="K85" s="999">
        <f t="shared" si="25"/>
        <v>0</v>
      </c>
      <c r="L85" s="999">
        <v>0</v>
      </c>
      <c r="M85" s="999">
        <f t="shared" si="26"/>
        <v>0</v>
      </c>
      <c r="N85" s="999">
        <f t="shared" si="26"/>
        <v>0</v>
      </c>
      <c r="Z85" s="1842"/>
      <c r="AA85" s="1892"/>
      <c r="AG85" s="1056"/>
      <c r="AK85" s="1892"/>
    </row>
    <row r="86" spans="1:37" ht="14.25">
      <c r="A86" s="1967" t="s">
        <v>2066</v>
      </c>
      <c r="B86" s="1259">
        <f>估价对象房地状况!G22</f>
        <v>0</v>
      </c>
      <c r="C86" s="1884"/>
      <c r="D86" s="1000">
        <f t="shared" si="22"/>
        <v>0</v>
      </c>
      <c r="E86" s="704"/>
      <c r="F86" s="1672"/>
      <c r="G86" s="998"/>
      <c r="H86" s="1001" t="str">
        <f t="shared" si="23"/>
        <v>——</v>
      </c>
      <c r="I86" s="3061">
        <v>0.05</v>
      </c>
      <c r="J86" s="999">
        <f t="shared" si="24"/>
        <v>0</v>
      </c>
      <c r="K86" s="999">
        <f t="shared" si="25"/>
        <v>0</v>
      </c>
      <c r="L86" s="999">
        <v>0</v>
      </c>
      <c r="M86" s="999">
        <f t="shared" si="26"/>
        <v>0</v>
      </c>
      <c r="N86" s="999">
        <f t="shared" si="26"/>
        <v>0</v>
      </c>
      <c r="Z86" s="1842"/>
      <c r="AA86" s="1892"/>
      <c r="AG86" s="1056"/>
      <c r="AK86" s="1892"/>
    </row>
    <row r="87" spans="1:37" ht="25.5">
      <c r="A87" s="1967" t="s">
        <v>2058</v>
      </c>
      <c r="B87" s="1237" t="str">
        <f>估价对象房地状况!G19</f>
        <v>估价对象所在区域公共配套设施齐备情况</v>
      </c>
      <c r="C87" s="1884"/>
      <c r="D87" s="1000">
        <f t="shared" si="22"/>
        <v>0</v>
      </c>
      <c r="E87" s="704"/>
      <c r="F87" s="1672"/>
      <c r="G87" s="998"/>
      <c r="H87" s="1001" t="str">
        <f t="shared" si="23"/>
        <v>——</v>
      </c>
      <c r="I87" s="3061">
        <v>0.06</v>
      </c>
      <c r="J87" s="999">
        <f t="shared" si="24"/>
        <v>0</v>
      </c>
      <c r="K87" s="999">
        <f t="shared" si="25"/>
        <v>0</v>
      </c>
      <c r="L87" s="999">
        <v>0</v>
      </c>
      <c r="M87" s="999">
        <f t="shared" si="26"/>
        <v>0</v>
      </c>
      <c r="N87" s="999">
        <f t="shared" si="26"/>
        <v>0</v>
      </c>
    </row>
    <row r="88" spans="1:37" ht="25.5">
      <c r="A88" s="1967" t="s">
        <v>2059</v>
      </c>
      <c r="B88" s="1237" t="str">
        <f>估价对象房地状况!G20</f>
        <v>估价对象所在区域基础设施水平</v>
      </c>
      <c r="C88" s="1884"/>
      <c r="D88" s="1000">
        <f t="shared" si="22"/>
        <v>0</v>
      </c>
      <c r="E88" s="704"/>
      <c r="F88" s="1672"/>
      <c r="G88" s="998"/>
      <c r="H88" s="1001" t="str">
        <f t="shared" si="23"/>
        <v>——</v>
      </c>
      <c r="I88" s="3061">
        <v>0.12</v>
      </c>
      <c r="J88" s="999">
        <f t="shared" si="24"/>
        <v>0</v>
      </c>
      <c r="K88" s="999">
        <f t="shared" si="25"/>
        <v>0</v>
      </c>
      <c r="L88" s="999">
        <v>0</v>
      </c>
      <c r="M88" s="999">
        <f t="shared" si="26"/>
        <v>0</v>
      </c>
      <c r="N88" s="999">
        <f t="shared" si="26"/>
        <v>0</v>
      </c>
    </row>
    <row r="89" spans="1:37" ht="24">
      <c r="A89" s="1967" t="s">
        <v>2056</v>
      </c>
      <c r="B89" s="1972" t="s">
        <v>2070</v>
      </c>
      <c r="C89" s="1884"/>
      <c r="D89" s="1000">
        <f t="shared" si="22"/>
        <v>0</v>
      </c>
      <c r="E89" s="704"/>
      <c r="F89" s="1672"/>
      <c r="G89" s="998"/>
      <c r="H89" s="1001" t="str">
        <f t="shared" si="23"/>
        <v>——</v>
      </c>
      <c r="I89" s="3061">
        <v>0.06</v>
      </c>
      <c r="J89" s="999">
        <f t="shared" si="24"/>
        <v>0</v>
      </c>
      <c r="K89" s="999">
        <f t="shared" si="25"/>
        <v>0</v>
      </c>
      <c r="L89" s="999">
        <v>0</v>
      </c>
      <c r="M89" s="999">
        <f t="shared" si="26"/>
        <v>0</v>
      </c>
      <c r="N89" s="999">
        <f t="shared" si="26"/>
        <v>0</v>
      </c>
    </row>
    <row r="90" spans="1:37" ht="39" thickBot="1">
      <c r="A90" s="1974" t="s">
        <v>2071</v>
      </c>
      <c r="B90" s="1979" t="str">
        <f>估价对象房地状况!G18</f>
        <v>该园区内是否有污染型企业，绿化情况，卫生条件，整体环境状况判断</v>
      </c>
      <c r="C90" s="1884"/>
      <c r="D90" s="1000">
        <f t="shared" si="22"/>
        <v>0</v>
      </c>
      <c r="E90" s="705"/>
      <c r="F90" s="1672"/>
      <c r="G90" s="998"/>
      <c r="H90" s="1001" t="str">
        <f t="shared" si="23"/>
        <v>——</v>
      </c>
      <c r="I90" s="3062">
        <v>0.05</v>
      </c>
      <c r="J90" s="999">
        <f t="shared" si="24"/>
        <v>0</v>
      </c>
      <c r="K90" s="999">
        <f t="shared" si="25"/>
        <v>0</v>
      </c>
      <c r="L90" s="999">
        <v>0</v>
      </c>
      <c r="M90" s="999">
        <f t="shared" si="26"/>
        <v>0</v>
      </c>
      <c r="N90" s="999">
        <f t="shared" si="26"/>
        <v>0</v>
      </c>
    </row>
    <row r="91" spans="1:37" ht="15">
      <c r="A91" s="3071" t="s">
        <v>2613</v>
      </c>
      <c r="B91" s="3072">
        <f>1+E93</f>
        <v>1</v>
      </c>
      <c r="C91" s="3065"/>
      <c r="D91" s="3066"/>
      <c r="E91" s="1672"/>
      <c r="F91" s="1672"/>
      <c r="G91" s="3067"/>
      <c r="H91" s="3068"/>
      <c r="I91" s="3069"/>
      <c r="J91" s="3070"/>
      <c r="K91" s="3070"/>
      <c r="L91" s="3070"/>
      <c r="M91" s="3070"/>
      <c r="N91" s="3070"/>
    </row>
    <row r="92" spans="1:37" ht="24.75">
      <c r="A92" s="3073" t="s">
        <v>3272</v>
      </c>
      <c r="B92" s="2304"/>
      <c r="C92" s="2304" t="s">
        <v>3281</v>
      </c>
      <c r="D92" s="2304" t="s">
        <v>3282</v>
      </c>
      <c r="E92" s="3045" t="s">
        <v>3283</v>
      </c>
      <c r="F92" s="3075" t="s">
        <v>3284</v>
      </c>
      <c r="G92" s="2304" t="s">
        <v>3285</v>
      </c>
      <c r="H92" s="3082" t="s">
        <v>3288</v>
      </c>
      <c r="I92" s="2304" t="s">
        <v>3289</v>
      </c>
      <c r="J92" s="2147" t="s">
        <v>3290</v>
      </c>
      <c r="K92" s="2147" t="s">
        <v>3291</v>
      </c>
      <c r="L92" s="2147" t="s">
        <v>3292</v>
      </c>
      <c r="M92" s="2147" t="s">
        <v>3293</v>
      </c>
      <c r="N92" s="2147" t="s">
        <v>3294</v>
      </c>
    </row>
    <row r="93" spans="1:37" ht="24">
      <c r="A93" s="3063" t="s">
        <v>3273</v>
      </c>
      <c r="B93" s="1218"/>
      <c r="C93" s="1884"/>
      <c r="D93" s="2304">
        <f>SUMIF($J$92:$N$92,C93,J93:N93)</f>
        <v>0</v>
      </c>
      <c r="E93" s="3076">
        <f>ROUND(SUM(D93:D101),4)</f>
        <v>0</v>
      </c>
      <c r="F93" s="1672"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38.25">
      <c r="A94" s="3073" t="s">
        <v>3274</v>
      </c>
      <c r="B94" s="3064" t="str">
        <f>估价对象房地状况!C18</f>
        <v>估价对象周边道路状况、公共交通通达情况、停车便捷程度，综合评价交通便捷度较好</v>
      </c>
      <c r="C94" s="1884"/>
      <c r="D94" s="2304">
        <f t="shared" ref="D94:D101" si="30">SUMIF($J$60:$N$60,C94,J94:N94)</f>
        <v>0</v>
      </c>
      <c r="E94" s="3077"/>
      <c r="F94" s="1672"/>
      <c r="G94" s="3067"/>
      <c r="H94" s="3112" t="str">
        <f>IFERROR(ROUNDDOWN($F$93*I94/2,4),"——")</f>
        <v>——</v>
      </c>
      <c r="I94" s="3061">
        <v>0.26</v>
      </c>
      <c r="J94" s="1909">
        <f t="shared" si="27"/>
        <v>0</v>
      </c>
      <c r="K94" s="1909">
        <f t="shared" si="28"/>
        <v>0</v>
      </c>
      <c r="L94" s="1909">
        <v>0</v>
      </c>
      <c r="M94" s="1909">
        <f t="shared" si="29"/>
        <v>0</v>
      </c>
      <c r="N94" s="1909">
        <f t="shared" si="29"/>
        <v>0</v>
      </c>
    </row>
    <row r="95" spans="1:37" ht="36">
      <c r="A95" s="3063" t="s">
        <v>3270</v>
      </c>
      <c r="B95" s="3064">
        <f>估价对象房地状况!C19</f>
        <v>0</v>
      </c>
      <c r="C95" s="1884"/>
      <c r="D95" s="2304">
        <f t="shared" si="30"/>
        <v>0</v>
      </c>
      <c r="E95" s="3077"/>
      <c r="F95" s="1672"/>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6.75">
      <c r="A96" s="3073" t="s">
        <v>3275</v>
      </c>
      <c r="B96" s="3079" t="s">
        <v>3286</v>
      </c>
      <c r="C96" s="1884"/>
      <c r="D96" s="2304">
        <f t="shared" si="30"/>
        <v>0</v>
      </c>
      <c r="E96" s="3077"/>
      <c r="F96" s="1672"/>
      <c r="G96" s="3067"/>
      <c r="H96" s="3112" t="str">
        <f t="shared" si="31"/>
        <v>——</v>
      </c>
      <c r="I96" s="3061">
        <v>0.05</v>
      </c>
      <c r="J96" s="1909">
        <f t="shared" si="27"/>
        <v>0</v>
      </c>
      <c r="K96" s="1909">
        <f t="shared" si="28"/>
        <v>0</v>
      </c>
      <c r="L96" s="1909">
        <v>0</v>
      </c>
      <c r="M96" s="1909">
        <f t="shared" si="29"/>
        <v>0</v>
      </c>
      <c r="N96" s="1909">
        <f t="shared" si="29"/>
        <v>0</v>
      </c>
    </row>
    <row r="97" spans="1:14" ht="24">
      <c r="A97" s="3073" t="s">
        <v>3276</v>
      </c>
      <c r="B97" s="3064">
        <f>估价对象房地状况!C24</f>
        <v>0</v>
      </c>
      <c r="C97" s="1884"/>
      <c r="D97" s="2304">
        <f t="shared" si="30"/>
        <v>0</v>
      </c>
      <c r="E97" s="3077"/>
      <c r="F97" s="1672"/>
      <c r="G97" s="3067"/>
      <c r="H97" s="3112" t="str">
        <f t="shared" si="31"/>
        <v>——</v>
      </c>
      <c r="I97" s="3061">
        <v>0.05</v>
      </c>
      <c r="J97" s="1909">
        <f t="shared" si="27"/>
        <v>0</v>
      </c>
      <c r="K97" s="1909">
        <f t="shared" si="28"/>
        <v>0</v>
      </c>
      <c r="L97" s="1909">
        <v>0</v>
      </c>
      <c r="M97" s="1909">
        <f t="shared" si="29"/>
        <v>0</v>
      </c>
      <c r="N97" s="1909">
        <f t="shared" si="29"/>
        <v>0</v>
      </c>
    </row>
    <row r="98" spans="1:14" ht="24">
      <c r="A98" s="3073" t="s">
        <v>3277</v>
      </c>
      <c r="B98" s="3080" t="s">
        <v>3287</v>
      </c>
      <c r="C98" s="1884"/>
      <c r="D98" s="2304">
        <f t="shared" si="30"/>
        <v>0</v>
      </c>
      <c r="E98" s="3077"/>
      <c r="F98" s="1672"/>
      <c r="G98" s="3067"/>
      <c r="H98" s="3112" t="str">
        <f t="shared" si="31"/>
        <v>——</v>
      </c>
      <c r="I98" s="3061">
        <v>0.06</v>
      </c>
      <c r="J98" s="1909">
        <f t="shared" si="27"/>
        <v>0</v>
      </c>
      <c r="K98" s="1909">
        <f t="shared" si="28"/>
        <v>0</v>
      </c>
      <c r="L98" s="1909">
        <v>0</v>
      </c>
      <c r="M98" s="1909">
        <f t="shared" si="29"/>
        <v>0</v>
      </c>
      <c r="N98" s="1909">
        <f t="shared" si="29"/>
        <v>0</v>
      </c>
    </row>
    <row r="99" spans="1:14" ht="25.5">
      <c r="A99" s="3073" t="s">
        <v>3278</v>
      </c>
      <c r="B99" s="3064" t="str">
        <f>估价对象房地状况!C21</f>
        <v>估价对象所在区域公共配套设施齐备情况</v>
      </c>
      <c r="C99" s="1884"/>
      <c r="D99" s="2304">
        <f t="shared" si="30"/>
        <v>0</v>
      </c>
      <c r="E99" s="3077"/>
      <c r="F99" s="1672"/>
      <c r="G99" s="3067"/>
      <c r="H99" s="3112" t="str">
        <f t="shared" si="31"/>
        <v>——</v>
      </c>
      <c r="I99" s="3061">
        <v>0.06</v>
      </c>
      <c r="J99" s="1909">
        <f t="shared" si="27"/>
        <v>0</v>
      </c>
      <c r="K99" s="1909">
        <f t="shared" si="28"/>
        <v>0</v>
      </c>
      <c r="L99" s="1909">
        <v>0</v>
      </c>
      <c r="M99" s="1909">
        <f t="shared" si="29"/>
        <v>0</v>
      </c>
      <c r="N99" s="1909">
        <f t="shared" si="29"/>
        <v>0</v>
      </c>
    </row>
    <row r="100" spans="1:14" ht="25.5">
      <c r="A100" s="3073" t="s">
        <v>3279</v>
      </c>
      <c r="B100" s="3064" t="str">
        <f>估价对象房地状况!C22</f>
        <v>估价对象所在区域基础设施水平</v>
      </c>
      <c r="C100" s="1884"/>
      <c r="D100" s="2304">
        <f t="shared" si="30"/>
        <v>0</v>
      </c>
      <c r="E100" s="3077"/>
      <c r="F100" s="1672"/>
      <c r="G100" s="3067"/>
      <c r="H100" s="3112" t="str">
        <f t="shared" si="31"/>
        <v>——</v>
      </c>
      <c r="I100" s="3061">
        <v>0.09</v>
      </c>
      <c r="J100" s="1909">
        <f t="shared" si="27"/>
        <v>0</v>
      </c>
      <c r="K100" s="1909">
        <f t="shared" si="28"/>
        <v>0</v>
      </c>
      <c r="L100" s="1909">
        <v>0</v>
      </c>
      <c r="M100" s="1909">
        <f t="shared" si="29"/>
        <v>0</v>
      </c>
      <c r="N100" s="1909">
        <f t="shared" si="29"/>
        <v>0</v>
      </c>
    </row>
    <row r="101" spans="1:14" ht="26.25" thickBot="1">
      <c r="A101" s="3074" t="s">
        <v>3280</v>
      </c>
      <c r="B101" s="3081" t="str">
        <f>估价对象房地状况!C20</f>
        <v>区域自然环境：；人文环境；综合评价环境状况一般</v>
      </c>
      <c r="C101" s="1884"/>
      <c r="D101" s="2304">
        <f t="shared" si="30"/>
        <v>0</v>
      </c>
      <c r="E101" s="3078"/>
      <c r="F101" s="1672"/>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91" t="s">
        <v>3295</v>
      </c>
      <c r="B103" s="3491"/>
      <c r="C103" s="3491"/>
      <c r="D103" s="3491"/>
      <c r="E103" s="3491"/>
      <c r="F103" s="3491"/>
      <c r="G103" s="3491"/>
      <c r="H103" s="3491"/>
      <c r="I103" s="3491"/>
      <c r="J103" s="3491"/>
      <c r="K103" s="1664"/>
      <c r="L103" s="1664"/>
      <c r="M103" s="1664"/>
      <c r="N103" s="1664"/>
    </row>
    <row r="104" spans="1:14">
      <c r="A104" s="3492" t="s">
        <v>3296</v>
      </c>
      <c r="B104" s="3492" t="s">
        <v>3297</v>
      </c>
      <c r="C104" s="3083" t="s">
        <v>3298</v>
      </c>
      <c r="D104" s="3084"/>
      <c r="E104" s="3084"/>
      <c r="F104" s="3084"/>
      <c r="G104" s="3084"/>
      <c r="H104" s="3084"/>
      <c r="I104" s="3084"/>
      <c r="J104" s="3085"/>
      <c r="K104" s="3086"/>
      <c r="L104" s="3086"/>
      <c r="M104" s="3086"/>
      <c r="N104" s="3086"/>
    </row>
    <row r="105" spans="1:14">
      <c r="A105" s="3492"/>
      <c r="B105" s="3492"/>
      <c r="C105" s="3087" t="s">
        <v>3299</v>
      </c>
      <c r="D105" s="3087" t="s">
        <v>3300</v>
      </c>
      <c r="E105" s="3087" t="s">
        <v>3301</v>
      </c>
      <c r="F105" s="3087" t="s">
        <v>3302</v>
      </c>
      <c r="G105" s="3087" t="s">
        <v>3303</v>
      </c>
      <c r="H105" s="3087" t="s">
        <v>3304</v>
      </c>
      <c r="I105" s="3087" t="s">
        <v>3305</v>
      </c>
      <c r="J105" s="3087" t="s">
        <v>3306</v>
      </c>
      <c r="K105" s="3087" t="s">
        <v>3307</v>
      </c>
      <c r="L105" s="3087" t="s">
        <v>3308</v>
      </c>
      <c r="M105" s="3087" t="s">
        <v>3309</v>
      </c>
      <c r="N105" s="3087" t="s">
        <v>3310</v>
      </c>
    </row>
    <row r="106" spans="1:14">
      <c r="A106" s="3478" t="s">
        <v>3311</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9"/>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9"/>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9"/>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9"/>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9"/>
      <c r="B111" s="3087" t="s">
        <v>3269</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80"/>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81" t="s">
        <v>3312</v>
      </c>
      <c r="B113" s="3481"/>
      <c r="C113" s="3481"/>
      <c r="D113" s="3481"/>
      <c r="E113" s="3481"/>
      <c r="F113" s="3481"/>
      <c r="G113" s="3481"/>
      <c r="H113" s="3481"/>
      <c r="I113" s="3481"/>
      <c r="J113" s="3481"/>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5" thickBot="1">
      <c r="A115" s="3090"/>
      <c r="B115" s="3090"/>
      <c r="C115" s="3090"/>
      <c r="D115" s="3090"/>
      <c r="E115" s="3090"/>
      <c r="F115" s="3090"/>
      <c r="G115" s="3090"/>
      <c r="H115" s="3090"/>
      <c r="I115" s="3090"/>
      <c r="J115" s="3090"/>
      <c r="K115" s="1961"/>
      <c r="L115" s="3090"/>
      <c r="M115" s="3090"/>
      <c r="N115" s="3090"/>
    </row>
    <row r="116" spans="1:14" ht="25.5" thickBot="1">
      <c r="A116" s="3091" t="s">
        <v>3313</v>
      </c>
      <c r="B116" s="3107">
        <f>G3</f>
        <v>0</v>
      </c>
      <c r="C116" s="3092" t="s">
        <v>3314</v>
      </c>
      <c r="D116" s="3093">
        <f>SUMPRODUCT((A118:A122=F116)*(B117:M117=H116)*B118:M122)</f>
        <v>0</v>
      </c>
      <c r="E116" s="162" t="s">
        <v>3315</v>
      </c>
      <c r="F116" s="3094">
        <f>E2</f>
        <v>0</v>
      </c>
      <c r="G116" s="162" t="s">
        <v>3316</v>
      </c>
      <c r="H116" s="3094">
        <f>G2</f>
        <v>0</v>
      </c>
      <c r="I116" s="162"/>
      <c r="J116" s="3095"/>
      <c r="K116" s="3095"/>
      <c r="L116" s="3095"/>
      <c r="M116" s="3095"/>
      <c r="N116" s="3090"/>
    </row>
    <row r="117" spans="1:14">
      <c r="A117" s="3096"/>
      <c r="B117" s="3097" t="s">
        <v>3317</v>
      </c>
      <c r="C117" s="3097" t="s">
        <v>3318</v>
      </c>
      <c r="D117" s="3097" t="s">
        <v>3319</v>
      </c>
      <c r="E117" s="3098" t="s">
        <v>3320</v>
      </c>
      <c r="F117" s="3098" t="s">
        <v>3321</v>
      </c>
      <c r="G117" s="3098" t="s">
        <v>3322</v>
      </c>
      <c r="H117" s="3099" t="s">
        <v>3323</v>
      </c>
      <c r="I117" s="3099" t="s">
        <v>3324</v>
      </c>
      <c r="J117" s="3100" t="s">
        <v>3325</v>
      </c>
      <c r="K117" s="3100" t="s">
        <v>3326</v>
      </c>
      <c r="L117" s="3100" t="s">
        <v>3327</v>
      </c>
      <c r="M117" s="3101" t="s">
        <v>3328</v>
      </c>
      <c r="N117" s="3090"/>
    </row>
    <row r="118" spans="1:14">
      <c r="A118" s="3050" t="s">
        <v>3329</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3330</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3331</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3332</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2613</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2595</v>
      </c>
      <c r="B1" s="2804" t="s">
        <v>2596</v>
      </c>
      <c r="C1" s="2804" t="s">
        <v>2597</v>
      </c>
      <c r="D1" s="2804" t="s">
        <v>2598</v>
      </c>
      <c r="E1" s="2804" t="s">
        <v>2599</v>
      </c>
      <c r="F1" s="2804" t="s">
        <v>2600</v>
      </c>
      <c r="G1" s="2804" t="s">
        <v>2601</v>
      </c>
      <c r="H1" s="2804" t="s">
        <v>2602</v>
      </c>
      <c r="I1" s="2804" t="s">
        <v>2603</v>
      </c>
      <c r="J1" s="2804" t="s">
        <v>2604</v>
      </c>
      <c r="K1" s="2804" t="s">
        <v>2605</v>
      </c>
      <c r="L1" s="2804" t="s">
        <v>2606</v>
      </c>
      <c r="M1" s="2805" t="s">
        <v>2607</v>
      </c>
    </row>
    <row r="2" spans="1:13" ht="19.5" customHeight="1">
      <c r="A2" s="2807" t="s">
        <v>2608</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2609</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2610</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2611</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2612</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2613</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2614</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2615</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2616</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2617</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2618</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2619</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2620</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2621</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2622</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2623</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2624</v>
      </c>
      <c r="B18" s="2829"/>
      <c r="C18" s="2830"/>
      <c r="D18" s="2830"/>
      <c r="E18" s="2829"/>
      <c r="F18" s="2830"/>
      <c r="G18" s="2830"/>
    </row>
    <row r="19" spans="1:13" ht="19.5" customHeight="1" thickBot="1">
      <c r="A19" s="2827" t="s">
        <v>2625</v>
      </c>
      <c r="B19" s="2832" t="s">
        <v>2626</v>
      </c>
      <c r="C19" s="2832" t="s">
        <v>2627</v>
      </c>
      <c r="D19" s="2833"/>
      <c r="E19" s="2827" t="s">
        <v>2628</v>
      </c>
      <c r="F19" s="2834"/>
      <c r="G19" s="2834"/>
    </row>
    <row r="20" spans="1:13" ht="19.5" customHeight="1">
      <c r="A20" s="3504" t="s">
        <v>2608</v>
      </c>
      <c r="B20" s="3497" t="s">
        <v>2629</v>
      </c>
      <c r="C20" s="2835" t="s">
        <v>2440</v>
      </c>
      <c r="D20" s="2836"/>
      <c r="E20" s="2837">
        <v>1</v>
      </c>
      <c r="F20" s="2838" t="s">
        <v>2441</v>
      </c>
      <c r="G20" s="2838"/>
    </row>
    <row r="21" spans="1:13" ht="19.5" customHeight="1">
      <c r="A21" s="3505"/>
      <c r="B21" s="3498"/>
      <c r="C21" s="2839" t="s">
        <v>2442</v>
      </c>
      <c r="D21" s="2840"/>
      <c r="E21" s="2841">
        <v>1</v>
      </c>
      <c r="F21" s="2838" t="s">
        <v>2443</v>
      </c>
      <c r="G21" s="2838"/>
    </row>
    <row r="22" spans="1:13" ht="19.5" customHeight="1">
      <c r="A22" s="3505"/>
      <c r="B22" s="3498"/>
      <c r="C22" s="2839" t="s">
        <v>2444</v>
      </c>
      <c r="D22" s="2840"/>
      <c r="E22" s="2841">
        <v>0.9</v>
      </c>
      <c r="F22" s="2838" t="s">
        <v>2445</v>
      </c>
      <c r="G22" s="2838"/>
    </row>
    <row r="23" spans="1:13" ht="19.5" customHeight="1">
      <c r="A23" s="3505"/>
      <c r="B23" s="3498"/>
      <c r="C23" s="2839" t="s">
        <v>2446</v>
      </c>
      <c r="D23" s="2840"/>
      <c r="E23" s="2841">
        <v>0.9</v>
      </c>
      <c r="F23" s="2838" t="s">
        <v>2447</v>
      </c>
      <c r="G23" s="2838"/>
    </row>
    <row r="24" spans="1:13" ht="19.5" customHeight="1">
      <c r="A24" s="3505"/>
      <c r="B24" s="3498"/>
      <c r="C24" s="2839" t="s">
        <v>2448</v>
      </c>
      <c r="D24" s="2840"/>
      <c r="E24" s="2841">
        <v>0.8</v>
      </c>
      <c r="F24" s="2838" t="s">
        <v>2449</v>
      </c>
      <c r="G24" s="2838"/>
    </row>
    <row r="25" spans="1:13" ht="19.5" customHeight="1" thickBot="1">
      <c r="A25" s="3506"/>
      <c r="B25" s="3499"/>
      <c r="C25" s="2842" t="s">
        <v>2450</v>
      </c>
      <c r="D25" s="2843"/>
      <c r="E25" s="2844">
        <v>0.8</v>
      </c>
      <c r="F25" s="2838" t="s">
        <v>2451</v>
      </c>
      <c r="G25" s="2838"/>
    </row>
    <row r="26" spans="1:13" ht="19.5" customHeight="1" thickBot="1">
      <c r="A26" s="2845" t="s">
        <v>2630</v>
      </c>
      <c r="B26" s="2846" t="s">
        <v>2629</v>
      </c>
      <c r="C26" s="2847" t="s">
        <v>2631</v>
      </c>
      <c r="D26" s="2848"/>
      <c r="E26" s="2849">
        <v>1</v>
      </c>
      <c r="F26" s="2838" t="s">
        <v>2452</v>
      </c>
      <c r="G26" s="2838"/>
    </row>
    <row r="27" spans="1:13" ht="19.5" customHeight="1">
      <c r="A27" s="3500" t="s">
        <v>2632</v>
      </c>
      <c r="B27" s="3497" t="s">
        <v>2613</v>
      </c>
      <c r="C27" s="2835" t="s">
        <v>2453</v>
      </c>
      <c r="D27" s="2836"/>
      <c r="E27" s="2837">
        <v>1</v>
      </c>
      <c r="F27" s="2838" t="s">
        <v>2454</v>
      </c>
      <c r="G27" s="2838"/>
    </row>
    <row r="28" spans="1:13" ht="19.5" customHeight="1">
      <c r="A28" s="3501"/>
      <c r="B28" s="3498"/>
      <c r="C28" s="2839" t="s">
        <v>2455</v>
      </c>
      <c r="D28" s="2840"/>
      <c r="E28" s="2841">
        <v>1</v>
      </c>
      <c r="F28" s="2838" t="s">
        <v>2456</v>
      </c>
      <c r="G28" s="2838"/>
    </row>
    <row r="29" spans="1:13" ht="19.5" customHeight="1">
      <c r="A29" s="3501"/>
      <c r="B29" s="3498"/>
      <c r="C29" s="2839" t="s">
        <v>2457</v>
      </c>
      <c r="D29" s="2840"/>
      <c r="E29" s="2841">
        <v>0.8</v>
      </c>
      <c r="F29" s="2838" t="s">
        <v>2458</v>
      </c>
      <c r="G29" s="2838"/>
    </row>
    <row r="30" spans="1:13" ht="19.5" customHeight="1">
      <c r="A30" s="3501"/>
      <c r="B30" s="3498"/>
      <c r="C30" s="2839" t="s">
        <v>2459</v>
      </c>
      <c r="D30" s="2840"/>
      <c r="E30" s="2841">
        <v>0.8</v>
      </c>
      <c r="F30" s="2838" t="s">
        <v>2460</v>
      </c>
      <c r="G30" s="2838"/>
    </row>
    <row r="31" spans="1:13" ht="19.5" customHeight="1">
      <c r="A31" s="3501"/>
      <c r="B31" s="3498"/>
      <c r="C31" s="2839" t="s">
        <v>2461</v>
      </c>
      <c r="D31" s="2840"/>
      <c r="E31" s="2841">
        <v>0.8</v>
      </c>
      <c r="F31" s="2838" t="s">
        <v>2462</v>
      </c>
      <c r="G31" s="2838"/>
    </row>
    <row r="32" spans="1:13" ht="19.5" customHeight="1">
      <c r="A32" s="3501"/>
      <c r="B32" s="3498"/>
      <c r="C32" s="2839" t="s">
        <v>2463</v>
      </c>
      <c r="D32" s="2840"/>
      <c r="E32" s="2841">
        <v>0.7</v>
      </c>
      <c r="F32" s="2838" t="s">
        <v>2464</v>
      </c>
      <c r="G32" s="2838"/>
    </row>
    <row r="33" spans="1:7" ht="19.5" customHeight="1">
      <c r="A33" s="3501"/>
      <c r="B33" s="3498"/>
      <c r="C33" s="2839" t="s">
        <v>2465</v>
      </c>
      <c r="D33" s="2840"/>
      <c r="E33" s="2841">
        <v>0.8</v>
      </c>
      <c r="F33" s="2838" t="s">
        <v>2466</v>
      </c>
      <c r="G33" s="2838"/>
    </row>
    <row r="34" spans="1:7" ht="19.5" customHeight="1">
      <c r="A34" s="3501"/>
      <c r="B34" s="3498"/>
      <c r="C34" s="2839" t="s">
        <v>2467</v>
      </c>
      <c r="D34" s="2840"/>
      <c r="E34" s="2841">
        <v>0.6</v>
      </c>
      <c r="F34" s="2838" t="s">
        <v>2468</v>
      </c>
      <c r="G34" s="2838"/>
    </row>
    <row r="35" spans="1:7" ht="19.5" customHeight="1">
      <c r="A35" s="3501"/>
      <c r="B35" s="3498"/>
      <c r="C35" s="2839" t="s">
        <v>2469</v>
      </c>
      <c r="D35" s="2840"/>
      <c r="E35" s="2841">
        <v>0.2</v>
      </c>
      <c r="F35" s="2838" t="s">
        <v>2470</v>
      </c>
      <c r="G35" s="2838"/>
    </row>
    <row r="36" spans="1:7" ht="19.5" customHeight="1">
      <c r="A36" s="3501"/>
      <c r="B36" s="3498"/>
      <c r="C36" s="2839" t="s">
        <v>2471</v>
      </c>
      <c r="D36" s="2840"/>
      <c r="E36" s="2841">
        <v>0.2</v>
      </c>
      <c r="F36" s="2838" t="s">
        <v>2472</v>
      </c>
      <c r="G36" s="2838"/>
    </row>
    <row r="37" spans="1:7" ht="19.5" customHeight="1">
      <c r="A37" s="3501"/>
      <c r="B37" s="3503" t="s">
        <v>2633</v>
      </c>
      <c r="C37" s="2839" t="s">
        <v>2473</v>
      </c>
      <c r="D37" s="2840"/>
      <c r="E37" s="2841">
        <v>0.6</v>
      </c>
      <c r="F37" s="2838" t="s">
        <v>2474</v>
      </c>
      <c r="G37" s="2838"/>
    </row>
    <row r="38" spans="1:7" ht="19.5" customHeight="1">
      <c r="A38" s="3501"/>
      <c r="B38" s="3498"/>
      <c r="C38" s="2839" t="s">
        <v>2475</v>
      </c>
      <c r="D38" s="2840"/>
      <c r="E38" s="2841">
        <v>0.6</v>
      </c>
      <c r="F38" s="2838" t="s">
        <v>2476</v>
      </c>
      <c r="G38" s="2838"/>
    </row>
    <row r="39" spans="1:7" ht="19.5" customHeight="1" thickBot="1">
      <c r="A39" s="3502"/>
      <c r="B39" s="3499"/>
      <c r="C39" s="2842" t="s">
        <v>2477</v>
      </c>
      <c r="D39" s="2843"/>
      <c r="E39" s="2844">
        <v>0.6</v>
      </c>
      <c r="F39" s="2838" t="s">
        <v>2478</v>
      </c>
      <c r="G39" s="2838"/>
    </row>
    <row r="40" spans="1:7" ht="19.5" customHeight="1" thickBot="1">
      <c r="A40" s="2845" t="s">
        <v>2610</v>
      </c>
      <c r="B40" s="2846" t="s">
        <v>2610</v>
      </c>
      <c r="C40" s="2847" t="s">
        <v>2634</v>
      </c>
      <c r="D40" s="2848"/>
      <c r="E40" s="2849">
        <v>1</v>
      </c>
      <c r="F40" s="2838" t="s">
        <v>2479</v>
      </c>
      <c r="G40" s="2838"/>
    </row>
    <row r="41" spans="1:7" ht="19.5" customHeight="1">
      <c r="A41" s="3504" t="s">
        <v>2611</v>
      </c>
      <c r="B41" s="3497" t="s">
        <v>2635</v>
      </c>
      <c r="C41" s="2835" t="s">
        <v>2480</v>
      </c>
      <c r="D41" s="2836"/>
      <c r="E41" s="2837">
        <v>1</v>
      </c>
      <c r="F41" s="2838" t="s">
        <v>2481</v>
      </c>
      <c r="G41" s="2838"/>
    </row>
    <row r="42" spans="1:7" ht="19.5" customHeight="1">
      <c r="A42" s="3505"/>
      <c r="B42" s="3498"/>
      <c r="C42" s="2839" t="s">
        <v>2482</v>
      </c>
      <c r="D42" s="2840"/>
      <c r="E42" s="2841">
        <v>1</v>
      </c>
      <c r="F42" s="2838" t="s">
        <v>2483</v>
      </c>
      <c r="G42" s="2838"/>
    </row>
    <row r="43" spans="1:7" ht="19.5" customHeight="1">
      <c r="A43" s="3505"/>
      <c r="B43" s="3507"/>
      <c r="C43" s="2839" t="s">
        <v>2484</v>
      </c>
      <c r="D43" s="2840"/>
      <c r="E43" s="2841">
        <v>1.5</v>
      </c>
      <c r="F43" s="2838" t="s">
        <v>2485</v>
      </c>
      <c r="G43" s="2838"/>
    </row>
    <row r="44" spans="1:7" ht="19.5" customHeight="1">
      <c r="A44" s="3505"/>
      <c r="B44" s="2850" t="s">
        <v>2636</v>
      </c>
      <c r="C44" s="2839" t="s">
        <v>2637</v>
      </c>
      <c r="D44" s="2840"/>
      <c r="E44" s="2841">
        <v>2</v>
      </c>
      <c r="F44" s="2838" t="s">
        <v>2486</v>
      </c>
      <c r="G44" s="2838"/>
    </row>
    <row r="45" spans="1:7" ht="19.5" customHeight="1">
      <c r="A45" s="3505"/>
      <c r="B45" s="3503" t="s">
        <v>2638</v>
      </c>
      <c r="C45" s="2839" t="s">
        <v>2487</v>
      </c>
      <c r="D45" s="2840"/>
      <c r="E45" s="2841">
        <v>1</v>
      </c>
      <c r="F45" s="2838" t="s">
        <v>2488</v>
      </c>
      <c r="G45" s="2838"/>
    </row>
    <row r="46" spans="1:7" ht="19.5" customHeight="1">
      <c r="A46" s="3505"/>
      <c r="B46" s="3498"/>
      <c r="C46" s="2839" t="s">
        <v>2489</v>
      </c>
      <c r="D46" s="2840"/>
      <c r="E46" s="2841">
        <v>1</v>
      </c>
      <c r="F46" s="2838" t="s">
        <v>2490</v>
      </c>
      <c r="G46" s="2838"/>
    </row>
    <row r="47" spans="1:7" ht="19.5" customHeight="1">
      <c r="A47" s="3505"/>
      <c r="B47" s="3498"/>
      <c r="C47" s="2839" t="s">
        <v>2491</v>
      </c>
      <c r="D47" s="2840"/>
      <c r="E47" s="2841">
        <v>1</v>
      </c>
      <c r="F47" s="2838" t="s">
        <v>2492</v>
      </c>
      <c r="G47" s="2838"/>
    </row>
    <row r="48" spans="1:7" ht="19.5" customHeight="1">
      <c r="A48" s="3505"/>
      <c r="B48" s="3498"/>
      <c r="C48" s="2839" t="s">
        <v>2493</v>
      </c>
      <c r="D48" s="2840"/>
      <c r="E48" s="2841">
        <v>1</v>
      </c>
      <c r="F48" s="2838" t="s">
        <v>2494</v>
      </c>
      <c r="G48" s="2838"/>
    </row>
    <row r="49" spans="1:7" ht="19.5" customHeight="1">
      <c r="A49" s="3505"/>
      <c r="B49" s="3498"/>
      <c r="C49" s="2839" t="s">
        <v>2495</v>
      </c>
      <c r="D49" s="2840"/>
      <c r="E49" s="2841">
        <v>1</v>
      </c>
      <c r="F49" s="2838" t="s">
        <v>2496</v>
      </c>
      <c r="G49" s="2838"/>
    </row>
    <row r="50" spans="1:7" ht="19.5" customHeight="1">
      <c r="A50" s="3505"/>
      <c r="B50" s="3498"/>
      <c r="C50" s="2839" t="s">
        <v>2497</v>
      </c>
      <c r="D50" s="2840"/>
      <c r="E50" s="2841">
        <v>1</v>
      </c>
      <c r="F50" s="2838" t="s">
        <v>2498</v>
      </c>
      <c r="G50" s="2838"/>
    </row>
    <row r="51" spans="1:7" ht="19.5" customHeight="1" thickBot="1">
      <c r="A51" s="3506"/>
      <c r="B51" s="3499"/>
      <c r="C51" s="2842" t="s">
        <v>2499</v>
      </c>
      <c r="D51" s="2843"/>
      <c r="E51" s="2844">
        <v>1</v>
      </c>
      <c r="F51" s="2838" t="s">
        <v>2500</v>
      </c>
      <c r="G51" s="2838"/>
    </row>
    <row r="52" spans="1:7" ht="19.5" customHeight="1">
      <c r="A52" s="2851"/>
      <c r="B52" s="2851"/>
      <c r="C52" s="2851"/>
      <c r="D52" s="2851"/>
      <c r="E52" s="2851"/>
      <c r="F52" s="2851"/>
      <c r="G52" s="2851"/>
    </row>
    <row r="54" spans="1:7" ht="19.5" customHeight="1">
      <c r="A54" s="2852"/>
      <c r="B54" s="2824" t="s">
        <v>2639</v>
      </c>
      <c r="C54" s="2824" t="s">
        <v>2639</v>
      </c>
      <c r="D54" s="2824" t="s">
        <v>2639</v>
      </c>
      <c r="E54" s="2827" t="s">
        <v>2639</v>
      </c>
      <c r="F54" s="2827" t="s">
        <v>2640</v>
      </c>
      <c r="G54" s="2827" t="s">
        <v>2641</v>
      </c>
    </row>
    <row r="55" spans="1:7" ht="19.5" customHeight="1">
      <c r="A55" s="2853"/>
      <c r="B55" s="2827" t="s">
        <v>2608</v>
      </c>
      <c r="C55" s="2827" t="s">
        <v>2608</v>
      </c>
      <c r="D55" s="2827" t="s">
        <v>2608</v>
      </c>
      <c r="E55" s="2824" t="s">
        <v>2609</v>
      </c>
      <c r="F55" s="2824" t="s">
        <v>2611</v>
      </c>
      <c r="G55" s="2824" t="s">
        <v>2642</v>
      </c>
    </row>
    <row r="56" spans="1:7" ht="19.5" customHeight="1">
      <c r="A56" s="2854"/>
      <c r="B56" s="2824">
        <v>1</v>
      </c>
      <c r="C56" s="2824">
        <v>2</v>
      </c>
      <c r="D56" s="2824">
        <v>3</v>
      </c>
      <c r="E56" s="2855" t="s">
        <v>2643</v>
      </c>
      <c r="F56" s="2855" t="s">
        <v>2643</v>
      </c>
      <c r="G56" s="2855" t="s">
        <v>2643</v>
      </c>
    </row>
    <row r="57" spans="1:7" ht="19.5" customHeight="1">
      <c r="A57" s="2856" t="s">
        <v>2596</v>
      </c>
      <c r="B57" s="2824">
        <v>0.7</v>
      </c>
      <c r="C57" s="2824">
        <v>0.4</v>
      </c>
      <c r="D57" s="2824">
        <v>0.3</v>
      </c>
      <c r="E57" s="2855">
        <v>0.3</v>
      </c>
      <c r="F57" s="2824">
        <v>0.3</v>
      </c>
      <c r="G57" s="2824">
        <v>0.2</v>
      </c>
    </row>
    <row r="58" spans="1:7" ht="19.5" customHeight="1">
      <c r="A58" s="2856" t="s">
        <v>2597</v>
      </c>
      <c r="B58" s="2824">
        <v>0.7</v>
      </c>
      <c r="C58" s="2824">
        <v>0.4</v>
      </c>
      <c r="D58" s="2824">
        <v>0.3</v>
      </c>
      <c r="E58" s="2824">
        <v>0.3</v>
      </c>
      <c r="F58" s="2824">
        <v>0.3</v>
      </c>
      <c r="G58" s="2824">
        <v>0.2</v>
      </c>
    </row>
    <row r="59" spans="1:7" ht="19.5" customHeight="1">
      <c r="A59" s="2856" t="s">
        <v>2598</v>
      </c>
      <c r="B59" s="2824">
        <v>0.6</v>
      </c>
      <c r="C59" s="2824">
        <v>0.3</v>
      </c>
      <c r="D59" s="2824">
        <v>0.25</v>
      </c>
      <c r="E59" s="2824">
        <v>0.25</v>
      </c>
      <c r="F59" s="2824">
        <v>0.25</v>
      </c>
      <c r="G59" s="2824">
        <v>0.15</v>
      </c>
    </row>
    <row r="60" spans="1:7" ht="19.5" customHeight="1">
      <c r="A60" s="2856" t="s">
        <v>2599</v>
      </c>
      <c r="B60" s="2824">
        <v>0.6</v>
      </c>
      <c r="C60" s="2824">
        <v>0.3</v>
      </c>
      <c r="D60" s="2824">
        <v>0.25</v>
      </c>
      <c r="E60" s="2824">
        <v>0.25</v>
      </c>
      <c r="F60" s="2824">
        <v>0.25</v>
      </c>
      <c r="G60" s="2824">
        <v>0.15</v>
      </c>
    </row>
    <row r="61" spans="1:7" ht="19.5" customHeight="1">
      <c r="A61" s="2856" t="s">
        <v>2600</v>
      </c>
      <c r="B61" s="2824">
        <v>0.6</v>
      </c>
      <c r="C61" s="2824">
        <v>0.3</v>
      </c>
      <c r="D61" s="2824">
        <v>0.25</v>
      </c>
      <c r="E61" s="2824">
        <v>0.25</v>
      </c>
      <c r="F61" s="2824">
        <v>0.25</v>
      </c>
      <c r="G61" s="2824">
        <v>0.15</v>
      </c>
    </row>
    <row r="62" spans="1:7" ht="19.5" customHeight="1">
      <c r="A62" s="2856" t="s">
        <v>2601</v>
      </c>
      <c r="B62" s="2824">
        <v>0.6</v>
      </c>
      <c r="C62" s="2824">
        <v>0.3</v>
      </c>
      <c r="D62" s="2824">
        <v>0.25</v>
      </c>
      <c r="E62" s="2824">
        <v>0.25</v>
      </c>
      <c r="F62" s="2824">
        <v>0.25</v>
      </c>
      <c r="G62" s="2824">
        <v>0.15</v>
      </c>
    </row>
    <row r="63" spans="1:7" ht="19.5" customHeight="1">
      <c r="A63" s="2856" t="s">
        <v>2602</v>
      </c>
      <c r="B63" s="2824">
        <v>0.6</v>
      </c>
      <c r="C63" s="2824">
        <v>0.3</v>
      </c>
      <c r="D63" s="2824">
        <v>0.25</v>
      </c>
      <c r="E63" s="2824">
        <v>0.25</v>
      </c>
      <c r="F63" s="2824">
        <v>0.25</v>
      </c>
      <c r="G63" s="2824">
        <v>0.15</v>
      </c>
    </row>
    <row r="64" spans="1:7" ht="19.5" customHeight="1">
      <c r="A64" s="2856" t="s">
        <v>2603</v>
      </c>
      <c r="B64" s="2824">
        <v>0.5</v>
      </c>
      <c r="C64" s="2824">
        <v>0.2</v>
      </c>
      <c r="D64" s="2824">
        <v>0.2</v>
      </c>
      <c r="E64" s="2824">
        <v>0.2</v>
      </c>
      <c r="F64" s="2824">
        <v>0.2</v>
      </c>
      <c r="G64" s="2824">
        <v>0.1</v>
      </c>
    </row>
    <row r="65" spans="1:7" ht="19.5" customHeight="1">
      <c r="A65" s="2856" t="s">
        <v>2604</v>
      </c>
      <c r="B65" s="2824">
        <v>0.5</v>
      </c>
      <c r="C65" s="2824">
        <v>0.2</v>
      </c>
      <c r="D65" s="2824">
        <v>0.2</v>
      </c>
      <c r="E65" s="2824">
        <v>0.2</v>
      </c>
      <c r="F65" s="2824">
        <v>0.2</v>
      </c>
      <c r="G65" s="2824">
        <v>0.1</v>
      </c>
    </row>
    <row r="66" spans="1:7" ht="19.5" customHeight="1">
      <c r="A66" s="2856" t="s">
        <v>2605</v>
      </c>
      <c r="B66" s="2824">
        <v>0.5</v>
      </c>
      <c r="C66" s="2824">
        <v>0.2</v>
      </c>
      <c r="D66" s="2824">
        <v>0.2</v>
      </c>
      <c r="E66" s="2824">
        <v>0.2</v>
      </c>
      <c r="F66" s="2824">
        <v>0.2</v>
      </c>
      <c r="G66" s="2824">
        <v>0.1</v>
      </c>
    </row>
    <row r="67" spans="1:7" ht="19.5" customHeight="1">
      <c r="A67" s="2856" t="s">
        <v>2606</v>
      </c>
      <c r="B67" s="2824">
        <v>0.5</v>
      </c>
      <c r="C67" s="2824">
        <v>0.2</v>
      </c>
      <c r="D67" s="2824">
        <v>0.2</v>
      </c>
      <c r="E67" s="2824">
        <v>0.2</v>
      </c>
      <c r="F67" s="2824">
        <v>0.2</v>
      </c>
      <c r="G67" s="2824">
        <v>0.1</v>
      </c>
    </row>
    <row r="68" spans="1:7" ht="19.5" customHeight="1">
      <c r="A68" s="2856" t="s">
        <v>2607</v>
      </c>
      <c r="B68" s="2824">
        <v>0.5</v>
      </c>
      <c r="C68" s="2824">
        <v>0.2</v>
      </c>
      <c r="D68" s="2824">
        <v>0.2</v>
      </c>
      <c r="E68" s="2824">
        <v>0.2</v>
      </c>
      <c r="F68" s="2824">
        <v>0.2</v>
      </c>
      <c r="G68" s="2824">
        <v>0.1</v>
      </c>
    </row>
    <row r="70" spans="1:7" ht="19.5" customHeight="1">
      <c r="A70" s="2838"/>
      <c r="B70" s="2857"/>
      <c r="C70" s="2857"/>
      <c r="D70" s="2857" t="s">
        <v>2644</v>
      </c>
      <c r="E70" s="2857"/>
      <c r="F70" s="2857"/>
    </row>
    <row r="71" spans="1:7" ht="19.5" customHeight="1">
      <c r="A71" s="2850" t="s">
        <v>2645</v>
      </c>
      <c r="B71" s="2850" t="s">
        <v>2646</v>
      </c>
      <c r="C71" s="2850" t="s">
        <v>2647</v>
      </c>
      <c r="D71" s="2850" t="s">
        <v>2648</v>
      </c>
      <c r="E71" s="2850" t="s">
        <v>2649</v>
      </c>
      <c r="F71" s="2850" t="s">
        <v>2650</v>
      </c>
    </row>
    <row r="72" spans="1:7" ht="13.5">
      <c r="A72" s="2850"/>
      <c r="B72" s="2850"/>
      <c r="C72" s="2850" t="s">
        <v>2651</v>
      </c>
      <c r="D72" s="2850"/>
      <c r="E72" s="2850" t="s">
        <v>2622</v>
      </c>
      <c r="F72" s="2850" t="s">
        <v>2622</v>
      </c>
    </row>
    <row r="73" spans="1:7" ht="13.5">
      <c r="A73" s="2850">
        <v>1</v>
      </c>
      <c r="B73" s="3503" t="s">
        <v>2652</v>
      </c>
      <c r="C73" s="2824" t="s">
        <v>2653</v>
      </c>
      <c r="D73" s="2824" t="s">
        <v>2654</v>
      </c>
      <c r="E73" s="2850">
        <v>0.2</v>
      </c>
      <c r="F73" s="2850">
        <v>25</v>
      </c>
    </row>
    <row r="74" spans="1:7" ht="24">
      <c r="A74" s="2850">
        <v>2</v>
      </c>
      <c r="B74" s="3498"/>
      <c r="C74" s="2824" t="s">
        <v>2655</v>
      </c>
      <c r="D74" s="2824" t="s">
        <v>2656</v>
      </c>
      <c r="E74" s="2850">
        <v>0.2</v>
      </c>
      <c r="F74" s="2850">
        <v>25</v>
      </c>
    </row>
    <row r="75" spans="1:7" ht="24">
      <c r="A75" s="2850">
        <v>3</v>
      </c>
      <c r="B75" s="3498"/>
      <c r="C75" s="2824" t="s">
        <v>2657</v>
      </c>
      <c r="D75" s="2824" t="s">
        <v>2658</v>
      </c>
      <c r="E75" s="2850">
        <v>0.2</v>
      </c>
      <c r="F75" s="2850">
        <v>25</v>
      </c>
    </row>
    <row r="76" spans="1:7" ht="13.5">
      <c r="A76" s="2850">
        <v>4</v>
      </c>
      <c r="B76" s="3498"/>
      <c r="C76" s="2824" t="s">
        <v>2659</v>
      </c>
      <c r="D76" s="2824" t="s">
        <v>2660</v>
      </c>
      <c r="E76" s="2850">
        <v>0.15</v>
      </c>
      <c r="F76" s="2850">
        <v>20</v>
      </c>
    </row>
    <row r="77" spans="1:7" ht="24">
      <c r="A77" s="2850">
        <v>5</v>
      </c>
      <c r="B77" s="3498"/>
      <c r="C77" s="2824" t="s">
        <v>2661</v>
      </c>
      <c r="D77" s="2824" t="s">
        <v>2662</v>
      </c>
      <c r="E77" s="2850">
        <v>0.15</v>
      </c>
      <c r="F77" s="2850">
        <v>20</v>
      </c>
    </row>
    <row r="78" spans="1:7" ht="24">
      <c r="A78" s="2850">
        <v>6</v>
      </c>
      <c r="B78" s="3498"/>
      <c r="C78" s="2824" t="s">
        <v>2663</v>
      </c>
      <c r="D78" s="2824" t="s">
        <v>2664</v>
      </c>
      <c r="E78" s="2850">
        <v>0.15</v>
      </c>
      <c r="F78" s="2850">
        <v>20</v>
      </c>
    </row>
    <row r="79" spans="1:7" ht="24">
      <c r="A79" s="2850">
        <v>7</v>
      </c>
      <c r="B79" s="3498"/>
      <c r="C79" s="2824" t="s">
        <v>2665</v>
      </c>
      <c r="D79" s="2824" t="s">
        <v>2666</v>
      </c>
      <c r="E79" s="2850">
        <v>0.15</v>
      </c>
      <c r="F79" s="2850">
        <v>20</v>
      </c>
    </row>
    <row r="80" spans="1:7" ht="24">
      <c r="A80" s="2850">
        <v>8</v>
      </c>
      <c r="B80" s="3498"/>
      <c r="C80" s="2824" t="s">
        <v>2667</v>
      </c>
      <c r="D80" s="2824" t="s">
        <v>2668</v>
      </c>
      <c r="E80" s="2850">
        <v>0.1</v>
      </c>
      <c r="F80" s="2850">
        <v>15</v>
      </c>
    </row>
    <row r="81" spans="1:6" ht="24">
      <c r="A81" s="2850">
        <v>9</v>
      </c>
      <c r="B81" s="3498"/>
      <c r="C81" s="2824" t="s">
        <v>2669</v>
      </c>
      <c r="D81" s="2824" t="s">
        <v>2670</v>
      </c>
      <c r="E81" s="2850">
        <v>0.1</v>
      </c>
      <c r="F81" s="2850">
        <v>15</v>
      </c>
    </row>
    <row r="82" spans="1:6" ht="24">
      <c r="A82" s="2850">
        <v>10</v>
      </c>
      <c r="B82" s="3498"/>
      <c r="C82" s="2824" t="s">
        <v>2671</v>
      </c>
      <c r="D82" s="2824" t="s">
        <v>2672</v>
      </c>
      <c r="E82" s="2850">
        <v>0.1</v>
      </c>
      <c r="F82" s="2850">
        <v>15</v>
      </c>
    </row>
    <row r="83" spans="1:6" ht="24">
      <c r="A83" s="2850">
        <v>11</v>
      </c>
      <c r="B83" s="3498"/>
      <c r="C83" s="2824" t="s">
        <v>2673</v>
      </c>
      <c r="D83" s="2824" t="s">
        <v>2674</v>
      </c>
      <c r="E83" s="2850">
        <v>0.1</v>
      </c>
      <c r="F83" s="2850">
        <v>15</v>
      </c>
    </row>
    <row r="84" spans="1:6" ht="24">
      <c r="A84" s="2850">
        <v>12</v>
      </c>
      <c r="B84" s="3498"/>
      <c r="C84" s="2824" t="s">
        <v>2675</v>
      </c>
      <c r="D84" s="2824" t="s">
        <v>2676</v>
      </c>
      <c r="E84" s="2850">
        <v>0.1</v>
      </c>
      <c r="F84" s="2850">
        <v>15</v>
      </c>
    </row>
    <row r="85" spans="1:6" ht="13.5">
      <c r="A85" s="2850">
        <v>13</v>
      </c>
      <c r="B85" s="3498"/>
      <c r="C85" s="2824" t="s">
        <v>2677</v>
      </c>
      <c r="D85" s="2824" t="s">
        <v>2678</v>
      </c>
      <c r="E85" s="2850">
        <v>0.1</v>
      </c>
      <c r="F85" s="2850">
        <v>15</v>
      </c>
    </row>
    <row r="86" spans="1:6" ht="13.5">
      <c r="A86" s="2850">
        <v>14</v>
      </c>
      <c r="B86" s="3498"/>
      <c r="C86" s="2824" t="s">
        <v>2679</v>
      </c>
      <c r="D86" s="2824" t="s">
        <v>2680</v>
      </c>
      <c r="E86" s="2850">
        <v>0.1</v>
      </c>
      <c r="F86" s="2850">
        <v>15</v>
      </c>
    </row>
    <row r="87" spans="1:6" ht="13.5">
      <c r="A87" s="2850">
        <v>15</v>
      </c>
      <c r="B87" s="3498"/>
      <c r="C87" s="2824" t="s">
        <v>2681</v>
      </c>
      <c r="D87" s="2824" t="s">
        <v>2682</v>
      </c>
      <c r="E87" s="2850">
        <v>0.1</v>
      </c>
      <c r="F87" s="2850">
        <v>15</v>
      </c>
    </row>
    <row r="88" spans="1:6" ht="24">
      <c r="A88" s="2850">
        <v>16</v>
      </c>
      <c r="B88" s="3498"/>
      <c r="C88" s="2824" t="s">
        <v>2683</v>
      </c>
      <c r="D88" s="2824" t="s">
        <v>2684</v>
      </c>
      <c r="E88" s="2850">
        <v>0.1</v>
      </c>
      <c r="F88" s="2850">
        <v>15</v>
      </c>
    </row>
    <row r="89" spans="1:6" ht="24">
      <c r="A89" s="2850">
        <v>17</v>
      </c>
      <c r="B89" s="3507"/>
      <c r="C89" s="2824" t="s">
        <v>2685</v>
      </c>
      <c r="D89" s="2824" t="s">
        <v>2686</v>
      </c>
      <c r="E89" s="2850">
        <v>0.1</v>
      </c>
      <c r="F89" s="2850">
        <v>15</v>
      </c>
    </row>
    <row r="90" spans="1:6" ht="13.5">
      <c r="A90" s="2850">
        <v>18</v>
      </c>
      <c r="B90" s="3503" t="s">
        <v>2687</v>
      </c>
      <c r="C90" s="2824" t="s">
        <v>2688</v>
      </c>
      <c r="D90" s="2824" t="s">
        <v>2689</v>
      </c>
      <c r="E90" s="2850">
        <v>0.2</v>
      </c>
      <c r="F90" s="2850">
        <v>25</v>
      </c>
    </row>
    <row r="91" spans="1:6" ht="24">
      <c r="A91" s="2850">
        <v>19</v>
      </c>
      <c r="B91" s="3498"/>
      <c r="C91" s="2824" t="s">
        <v>2690</v>
      </c>
      <c r="D91" s="2824" t="s">
        <v>2691</v>
      </c>
      <c r="E91" s="2850">
        <v>0.2</v>
      </c>
      <c r="F91" s="2850">
        <v>25</v>
      </c>
    </row>
    <row r="92" spans="1:6" ht="13.5">
      <c r="A92" s="2850">
        <v>20</v>
      </c>
      <c r="B92" s="3498"/>
      <c r="C92" s="2824" t="s">
        <v>2692</v>
      </c>
      <c r="D92" s="2824" t="s">
        <v>2693</v>
      </c>
      <c r="E92" s="2850">
        <v>0.15</v>
      </c>
      <c r="F92" s="2850">
        <v>20</v>
      </c>
    </row>
    <row r="93" spans="1:6" ht="13.5">
      <c r="A93" s="2850">
        <v>21</v>
      </c>
      <c r="B93" s="3498"/>
      <c r="C93" s="2824" t="s">
        <v>2694</v>
      </c>
      <c r="D93" s="2824" t="s">
        <v>2695</v>
      </c>
      <c r="E93" s="2850">
        <v>0.15</v>
      </c>
      <c r="F93" s="2850">
        <v>20</v>
      </c>
    </row>
    <row r="94" spans="1:6" ht="13.5">
      <c r="A94" s="2850">
        <v>22</v>
      </c>
      <c r="B94" s="3498"/>
      <c r="C94" s="2824" t="s">
        <v>2696</v>
      </c>
      <c r="D94" s="2824" t="s">
        <v>2697</v>
      </c>
      <c r="E94" s="2850">
        <v>0.15</v>
      </c>
      <c r="F94" s="2850">
        <v>20</v>
      </c>
    </row>
    <row r="95" spans="1:6" ht="36">
      <c r="A95" s="2850">
        <v>23</v>
      </c>
      <c r="B95" s="3498"/>
      <c r="C95" s="2824" t="s">
        <v>2698</v>
      </c>
      <c r="D95" s="2824" t="s">
        <v>2699</v>
      </c>
      <c r="E95" s="2850">
        <v>0.15</v>
      </c>
      <c r="F95" s="2850">
        <v>20</v>
      </c>
    </row>
    <row r="96" spans="1:6" ht="13.5">
      <c r="A96" s="2850">
        <v>24</v>
      </c>
      <c r="B96" s="3498"/>
      <c r="C96" s="2824" t="s">
        <v>2700</v>
      </c>
      <c r="D96" s="2824" t="s">
        <v>2701</v>
      </c>
      <c r="E96" s="2850">
        <v>0.1</v>
      </c>
      <c r="F96" s="2850">
        <v>15</v>
      </c>
    </row>
    <row r="97" spans="1:6" ht="13.5">
      <c r="A97" s="2850">
        <v>25</v>
      </c>
      <c r="B97" s="3498"/>
      <c r="C97" s="2824" t="s">
        <v>2702</v>
      </c>
      <c r="D97" s="2824" t="s">
        <v>2703</v>
      </c>
      <c r="E97" s="2850">
        <v>0.1</v>
      </c>
      <c r="F97" s="2850">
        <v>15</v>
      </c>
    </row>
    <row r="98" spans="1:6" ht="24">
      <c r="A98" s="2850">
        <v>26</v>
      </c>
      <c r="B98" s="3498"/>
      <c r="C98" s="2824" t="s">
        <v>2704</v>
      </c>
      <c r="D98" s="2824" t="s">
        <v>2705</v>
      </c>
      <c r="E98" s="2850">
        <v>0.1</v>
      </c>
      <c r="F98" s="2850">
        <v>15</v>
      </c>
    </row>
    <row r="99" spans="1:6" ht="24">
      <c r="A99" s="2850">
        <v>27</v>
      </c>
      <c r="B99" s="3498"/>
      <c r="C99" s="2824" t="s">
        <v>2706</v>
      </c>
      <c r="D99" s="2824" t="s">
        <v>2707</v>
      </c>
      <c r="E99" s="2850">
        <v>0.1</v>
      </c>
      <c r="F99" s="2850">
        <v>15</v>
      </c>
    </row>
    <row r="100" spans="1:6" ht="13.5">
      <c r="A100" s="2850">
        <v>28</v>
      </c>
      <c r="B100" s="3498"/>
      <c r="C100" s="2824" t="s">
        <v>2708</v>
      </c>
      <c r="D100" s="2824" t="s">
        <v>2709</v>
      </c>
      <c r="E100" s="2850">
        <v>0.1</v>
      </c>
      <c r="F100" s="2850">
        <v>15</v>
      </c>
    </row>
    <row r="101" spans="1:6" ht="13.5">
      <c r="A101" s="2850">
        <v>29</v>
      </c>
      <c r="B101" s="3498"/>
      <c r="C101" s="2824" t="s">
        <v>2710</v>
      </c>
      <c r="D101" s="2824" t="s">
        <v>2711</v>
      </c>
      <c r="E101" s="2850">
        <v>0.1</v>
      </c>
      <c r="F101" s="2850">
        <v>15</v>
      </c>
    </row>
    <row r="102" spans="1:6" ht="13.5">
      <c r="A102" s="2850">
        <v>30</v>
      </c>
      <c r="B102" s="3498"/>
      <c r="C102" s="2824" t="s">
        <v>2712</v>
      </c>
      <c r="D102" s="2824" t="s">
        <v>2713</v>
      </c>
      <c r="E102" s="2850">
        <v>0.1</v>
      </c>
      <c r="F102" s="2850">
        <v>15</v>
      </c>
    </row>
    <row r="103" spans="1:6" ht="24">
      <c r="A103" s="2850">
        <v>31</v>
      </c>
      <c r="B103" s="3498"/>
      <c r="C103" s="2824" t="s">
        <v>2714</v>
      </c>
      <c r="D103" s="2824" t="s">
        <v>2715</v>
      </c>
      <c r="E103" s="2850">
        <v>0.1</v>
      </c>
      <c r="F103" s="2850">
        <v>15</v>
      </c>
    </row>
    <row r="104" spans="1:6" ht="24">
      <c r="A104" s="2850">
        <v>32</v>
      </c>
      <c r="B104" s="3498"/>
      <c r="C104" s="2824" t="s">
        <v>2716</v>
      </c>
      <c r="D104" s="2824" t="s">
        <v>2717</v>
      </c>
      <c r="E104" s="2850">
        <v>0.1</v>
      </c>
      <c r="F104" s="2850">
        <v>15</v>
      </c>
    </row>
    <row r="105" spans="1:6" ht="24">
      <c r="A105" s="2850">
        <v>33</v>
      </c>
      <c r="B105" s="3498"/>
      <c r="C105" s="2824" t="s">
        <v>2718</v>
      </c>
      <c r="D105" s="2824" t="s">
        <v>2719</v>
      </c>
      <c r="E105" s="2850">
        <v>0.1</v>
      </c>
      <c r="F105" s="2850">
        <v>15</v>
      </c>
    </row>
    <row r="106" spans="1:6" ht="24">
      <c r="A106" s="2850">
        <v>34</v>
      </c>
      <c r="B106" s="3507"/>
      <c r="C106" s="2824" t="s">
        <v>2720</v>
      </c>
      <c r="D106" s="2824" t="s">
        <v>2721</v>
      </c>
      <c r="E106" s="2850">
        <v>0.1</v>
      </c>
      <c r="F106" s="2850">
        <v>15</v>
      </c>
    </row>
    <row r="107" spans="1:6" ht="24">
      <c r="A107" s="2850">
        <v>35</v>
      </c>
      <c r="B107" s="3503" t="s">
        <v>2722</v>
      </c>
      <c r="C107" s="2850" t="s">
        <v>2723</v>
      </c>
      <c r="D107" s="2824" t="s">
        <v>2724</v>
      </c>
      <c r="E107" s="2850">
        <v>0.15</v>
      </c>
      <c r="F107" s="2850">
        <v>20</v>
      </c>
    </row>
    <row r="108" spans="1:6" ht="13.5">
      <c r="A108" s="2850">
        <v>36</v>
      </c>
      <c r="B108" s="3498"/>
      <c r="C108" s="2850" t="s">
        <v>2725</v>
      </c>
      <c r="D108" s="2824" t="s">
        <v>2726</v>
      </c>
      <c r="E108" s="2850">
        <v>0.15</v>
      </c>
      <c r="F108" s="2850">
        <v>20</v>
      </c>
    </row>
    <row r="109" spans="1:6" ht="13.5">
      <c r="A109" s="2850">
        <v>37</v>
      </c>
      <c r="B109" s="3498"/>
      <c r="C109" s="2850" t="s">
        <v>2727</v>
      </c>
      <c r="D109" s="2824" t="s">
        <v>2728</v>
      </c>
      <c r="E109" s="2850">
        <v>0.15</v>
      </c>
      <c r="F109" s="2850">
        <v>20</v>
      </c>
    </row>
    <row r="110" spans="1:6" ht="13.5">
      <c r="A110" s="2850">
        <v>38</v>
      </c>
      <c r="B110" s="3498"/>
      <c r="C110" s="2850" t="s">
        <v>2729</v>
      </c>
      <c r="D110" s="2824" t="s">
        <v>2730</v>
      </c>
      <c r="E110" s="2850">
        <v>0.1</v>
      </c>
      <c r="F110" s="2850">
        <v>15</v>
      </c>
    </row>
    <row r="111" spans="1:6" ht="24">
      <c r="A111" s="2850">
        <v>39</v>
      </c>
      <c r="B111" s="3498"/>
      <c r="C111" s="2850" t="s">
        <v>2731</v>
      </c>
      <c r="D111" s="2824" t="s">
        <v>2732</v>
      </c>
      <c r="E111" s="2850">
        <v>0.1</v>
      </c>
      <c r="F111" s="2850">
        <v>15</v>
      </c>
    </row>
    <row r="112" spans="1:6" ht="24">
      <c r="A112" s="2850">
        <v>40</v>
      </c>
      <c r="B112" s="3507"/>
      <c r="C112" s="2850" t="s">
        <v>2733</v>
      </c>
      <c r="D112" s="2824" t="s">
        <v>2734</v>
      </c>
      <c r="E112" s="2850">
        <v>0.1</v>
      </c>
      <c r="F112" s="2850">
        <v>15</v>
      </c>
    </row>
    <row r="113" spans="1:6" ht="13.5">
      <c r="A113" s="2850">
        <v>41</v>
      </c>
      <c r="B113" s="3508" t="s">
        <v>2735</v>
      </c>
      <c r="C113" s="2850" t="s">
        <v>2736</v>
      </c>
      <c r="D113" s="2824" t="s">
        <v>2737</v>
      </c>
      <c r="E113" s="2850">
        <v>0.1</v>
      </c>
      <c r="F113" s="2850">
        <v>15</v>
      </c>
    </row>
    <row r="114" spans="1:6" ht="13.5">
      <c r="A114" s="2850">
        <v>42</v>
      </c>
      <c r="B114" s="3508"/>
      <c r="C114" s="2850" t="s">
        <v>2738</v>
      </c>
      <c r="D114" s="2824" t="s">
        <v>2739</v>
      </c>
      <c r="E114" s="2850">
        <v>0.1</v>
      </c>
      <c r="F114" s="2850">
        <v>15</v>
      </c>
    </row>
    <row r="115" spans="1:6" ht="24">
      <c r="A115" s="2850">
        <v>43</v>
      </c>
      <c r="B115" s="3508"/>
      <c r="C115" s="2850" t="s">
        <v>2740</v>
      </c>
      <c r="D115" s="2824" t="s">
        <v>2741</v>
      </c>
      <c r="E115" s="2850">
        <v>0.1</v>
      </c>
      <c r="F115" s="2850">
        <v>15</v>
      </c>
    </row>
    <row r="116" spans="1:6" ht="13.5">
      <c r="A116" s="2850">
        <v>44</v>
      </c>
      <c r="B116" s="3503" t="s">
        <v>2742</v>
      </c>
      <c r="C116" s="2850" t="s">
        <v>2743</v>
      </c>
      <c r="D116" s="2824" t="s">
        <v>2744</v>
      </c>
      <c r="E116" s="2850">
        <v>0.1</v>
      </c>
      <c r="F116" s="2850">
        <v>15</v>
      </c>
    </row>
    <row r="117" spans="1:6" ht="24">
      <c r="A117" s="2850">
        <v>45</v>
      </c>
      <c r="B117" s="3507"/>
      <c r="C117" s="2824" t="s">
        <v>2745</v>
      </c>
      <c r="D117" s="2824" t="s">
        <v>2746</v>
      </c>
      <c r="E117" s="2850">
        <v>0.1</v>
      </c>
      <c r="F117" s="2850">
        <v>15</v>
      </c>
    </row>
    <row r="118" spans="1:6" ht="24">
      <c r="A118" s="2850">
        <v>46</v>
      </c>
      <c r="B118" s="3503" t="s">
        <v>2747</v>
      </c>
      <c r="C118" s="2850" t="s">
        <v>2748</v>
      </c>
      <c r="D118" s="2824" t="s">
        <v>2749</v>
      </c>
      <c r="E118" s="2850">
        <v>0.1</v>
      </c>
      <c r="F118" s="2850">
        <v>15</v>
      </c>
    </row>
    <row r="119" spans="1:6" ht="24">
      <c r="A119" s="2850">
        <v>47</v>
      </c>
      <c r="B119" s="3507"/>
      <c r="C119" s="2850" t="s">
        <v>2750</v>
      </c>
      <c r="D119" s="2824" t="s">
        <v>2751</v>
      </c>
      <c r="E119" s="2850">
        <v>0.1</v>
      </c>
      <c r="F119" s="2850">
        <v>15</v>
      </c>
    </row>
    <row r="120" spans="1:6" ht="13.5">
      <c r="A120" s="2850">
        <v>48</v>
      </c>
      <c r="B120" s="3503" t="s">
        <v>2752</v>
      </c>
      <c r="C120" s="2850" t="s">
        <v>2753</v>
      </c>
      <c r="D120" s="2824" t="s">
        <v>2754</v>
      </c>
      <c r="E120" s="2850">
        <v>0.1</v>
      </c>
      <c r="F120" s="2850">
        <v>15</v>
      </c>
    </row>
    <row r="121" spans="1:6" ht="13.5">
      <c r="A121" s="2850">
        <v>49</v>
      </c>
      <c r="B121" s="3507"/>
      <c r="C121" s="2850" t="s">
        <v>2755</v>
      </c>
      <c r="D121" s="2824" t="s">
        <v>2756</v>
      </c>
      <c r="E121" s="2850">
        <v>0.1</v>
      </c>
      <c r="F121" s="2850">
        <v>15</v>
      </c>
    </row>
    <row r="122" spans="1:6" ht="24">
      <c r="A122" s="2850">
        <v>50</v>
      </c>
      <c r="B122" s="3508" t="s">
        <v>2757</v>
      </c>
      <c r="C122" s="2850" t="s">
        <v>2758</v>
      </c>
      <c r="D122" s="2824" t="s">
        <v>2759</v>
      </c>
      <c r="E122" s="2850">
        <v>0.1</v>
      </c>
      <c r="F122" s="2850">
        <v>15</v>
      </c>
    </row>
    <row r="123" spans="1:6" ht="24">
      <c r="A123" s="2850">
        <v>51</v>
      </c>
      <c r="B123" s="3508"/>
      <c r="C123" s="2850" t="s">
        <v>2760</v>
      </c>
      <c r="D123" s="2824" t="s">
        <v>2761</v>
      </c>
      <c r="E123" s="2850">
        <v>0.1</v>
      </c>
      <c r="F123" s="2850">
        <v>15</v>
      </c>
    </row>
    <row r="124" spans="1:6" ht="24">
      <c r="A124" s="2850">
        <v>52</v>
      </c>
      <c r="B124" s="3508" t="s">
        <v>2762</v>
      </c>
      <c r="C124" s="2850" t="s">
        <v>2763</v>
      </c>
      <c r="D124" s="2824" t="s">
        <v>2764</v>
      </c>
      <c r="E124" s="2850">
        <v>0.1</v>
      </c>
      <c r="F124" s="2850">
        <v>15</v>
      </c>
    </row>
    <row r="125" spans="1:6" ht="24">
      <c r="A125" s="2850">
        <v>53</v>
      </c>
      <c r="B125" s="3508"/>
      <c r="C125" s="2850" t="s">
        <v>2765</v>
      </c>
      <c r="D125" s="2824" t="s">
        <v>2766</v>
      </c>
      <c r="E125" s="2850">
        <v>0.1</v>
      </c>
      <c r="F125" s="2850">
        <v>15</v>
      </c>
    </row>
    <row r="126" spans="1:6" ht="13.5">
      <c r="A126" s="2850">
        <v>54</v>
      </c>
      <c r="B126" s="2850" t="s">
        <v>2767</v>
      </c>
      <c r="C126" s="2850" t="s">
        <v>2768</v>
      </c>
      <c r="D126" s="2824" t="s">
        <v>2769</v>
      </c>
      <c r="E126" s="2850">
        <v>0.1</v>
      </c>
      <c r="F126" s="2850">
        <v>15</v>
      </c>
    </row>
    <row r="127" spans="1:6" ht="13.5">
      <c r="A127" s="2850">
        <v>55</v>
      </c>
      <c r="B127" s="3508" t="s">
        <v>2770</v>
      </c>
      <c r="C127" s="2850" t="s">
        <v>2771</v>
      </c>
      <c r="D127" s="2824" t="s">
        <v>2772</v>
      </c>
      <c r="E127" s="2850">
        <v>0.1</v>
      </c>
      <c r="F127" s="2850">
        <v>15</v>
      </c>
    </row>
    <row r="128" spans="1:6" ht="13.5">
      <c r="A128" s="2850">
        <v>56</v>
      </c>
      <c r="B128" s="3508"/>
      <c r="C128" s="2850" t="s">
        <v>2773</v>
      </c>
      <c r="D128" s="2824" t="s">
        <v>2774</v>
      </c>
      <c r="E128" s="2850">
        <v>0.1</v>
      </c>
      <c r="F128" s="2850">
        <v>15</v>
      </c>
    </row>
    <row r="129" spans="1:6" ht="24">
      <c r="A129" s="2850">
        <v>57</v>
      </c>
      <c r="B129" s="3508"/>
      <c r="C129" s="2850" t="s">
        <v>2775</v>
      </c>
      <c r="D129" s="2824" t="s">
        <v>2776</v>
      </c>
      <c r="E129" s="2850">
        <v>0.1</v>
      </c>
      <c r="F129" s="2850">
        <v>15</v>
      </c>
    </row>
    <row r="130" spans="1:6" ht="24">
      <c r="A130" s="2850">
        <v>58</v>
      </c>
      <c r="B130" s="3508" t="s">
        <v>2777</v>
      </c>
      <c r="C130" s="2850" t="s">
        <v>2778</v>
      </c>
      <c r="D130" s="2824" t="s">
        <v>2779</v>
      </c>
      <c r="E130" s="2850">
        <v>0.1</v>
      </c>
      <c r="F130" s="2850">
        <v>15</v>
      </c>
    </row>
    <row r="131" spans="1:6" ht="13.5">
      <c r="A131" s="2850">
        <v>59</v>
      </c>
      <c r="B131" s="3508"/>
      <c r="C131" s="2850" t="s">
        <v>2780</v>
      </c>
      <c r="D131" s="2824" t="s">
        <v>2781</v>
      </c>
      <c r="E131" s="2850">
        <v>0.1</v>
      </c>
      <c r="F131" s="2850">
        <v>15</v>
      </c>
    </row>
    <row r="132" spans="1:6" ht="13.5">
      <c r="A132" s="2850">
        <v>60</v>
      </c>
      <c r="B132" s="3503" t="s">
        <v>2782</v>
      </c>
      <c r="C132" s="2850" t="s">
        <v>2783</v>
      </c>
      <c r="D132" s="2824" t="s">
        <v>2784</v>
      </c>
      <c r="E132" s="2850">
        <v>0.1</v>
      </c>
      <c r="F132" s="2850">
        <v>15</v>
      </c>
    </row>
    <row r="133" spans="1:6" ht="13.5">
      <c r="A133" s="2850">
        <v>61</v>
      </c>
      <c r="B133" s="3507"/>
      <c r="C133" s="2850" t="s">
        <v>2785</v>
      </c>
      <c r="D133" s="2824" t="s">
        <v>2786</v>
      </c>
      <c r="E133" s="2850">
        <v>0.1</v>
      </c>
      <c r="F133" s="2850">
        <v>15</v>
      </c>
    </row>
    <row r="134" spans="1:6" ht="24">
      <c r="A134" s="2850">
        <v>62</v>
      </c>
      <c r="B134" s="2850" t="s">
        <v>2787</v>
      </c>
      <c r="C134" s="2850" t="s">
        <v>2788</v>
      </c>
      <c r="D134" s="2824" t="s">
        <v>2789</v>
      </c>
      <c r="E134" s="2850">
        <v>0.1</v>
      </c>
      <c r="F134" s="2850">
        <v>15</v>
      </c>
    </row>
    <row r="135" spans="1:6" ht="13.5">
      <c r="A135" s="2850">
        <v>63</v>
      </c>
      <c r="B135" s="3508" t="s">
        <v>2790</v>
      </c>
      <c r="C135" s="2850" t="s">
        <v>2791</v>
      </c>
      <c r="D135" s="2824" t="s">
        <v>2792</v>
      </c>
      <c r="E135" s="2850">
        <v>0.1</v>
      </c>
      <c r="F135" s="2850">
        <v>15</v>
      </c>
    </row>
    <row r="136" spans="1:6" ht="13.5">
      <c r="A136" s="2850">
        <v>64</v>
      </c>
      <c r="B136" s="3508"/>
      <c r="C136" s="2850" t="s">
        <v>2793</v>
      </c>
      <c r="D136" s="2824" t="s">
        <v>2794</v>
      </c>
      <c r="E136" s="2850">
        <v>0.1</v>
      </c>
      <c r="F136" s="2850">
        <v>15</v>
      </c>
    </row>
    <row r="137" spans="1:6" ht="13.5">
      <c r="A137" s="2850">
        <v>65</v>
      </c>
      <c r="B137" s="2850" t="s">
        <v>2795</v>
      </c>
      <c r="C137" s="2850" t="s">
        <v>2796</v>
      </c>
      <c r="D137" s="2824" t="s">
        <v>2797</v>
      </c>
      <c r="E137" s="2850">
        <v>0.1</v>
      </c>
      <c r="F137" s="2850">
        <v>15</v>
      </c>
    </row>
    <row r="138" spans="1:6" ht="13.5">
      <c r="A138" s="2850"/>
      <c r="B138" s="2850"/>
      <c r="C138" s="2850"/>
      <c r="D138" s="2850"/>
      <c r="E138" s="2850" t="s">
        <v>2798</v>
      </c>
      <c r="F138" s="2850"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8"/>
      <c r="B4" s="3194" t="s">
        <v>917</v>
      </c>
      <c r="C4" s="3194"/>
      <c r="D4" s="3194"/>
      <c r="E4" s="1388"/>
    </row>
    <row r="5" spans="1:5" ht="16.5" thickTop="1">
      <c r="B5" s="3192" t="s">
        <v>909</v>
      </c>
      <c r="C5" s="1389" t="s">
        <v>910</v>
      </c>
      <c r="D5" s="796">
        <f ca="1">结果表!H101</f>
        <v>3730</v>
      </c>
    </row>
    <row r="6" spans="1:5" ht="15.75">
      <c r="B6" s="3192"/>
      <c r="C6" s="1389" t="s">
        <v>911</v>
      </c>
      <c r="D6" s="796" t="str">
        <f ca="1">NUMBERSTRING(INT(D5*10000),2)&amp;"元整"</f>
        <v>叁仟柒佰叁拾万元整</v>
      </c>
    </row>
    <row r="7" spans="1:5" ht="15.75">
      <c r="B7" s="3197"/>
      <c r="C7" s="1390" t="s">
        <v>912</v>
      </c>
      <c r="D7" s="797">
        <f ca="1">结果表!H102</f>
        <v>5795</v>
      </c>
    </row>
    <row r="8" spans="1:5" ht="15.75">
      <c r="B8" s="3198" t="str">
        <f>结果表!E103</f>
        <v>2.估价师知悉的法定优先受偿款</v>
      </c>
      <c r="C8" s="1391" t="s">
        <v>913</v>
      </c>
      <c r="D8" s="797">
        <f>结果表!H103</f>
        <v>0</v>
      </c>
    </row>
    <row r="9" spans="1:5" ht="15.75">
      <c r="B9" s="3200"/>
      <c r="C9" s="1389" t="s">
        <v>911</v>
      </c>
      <c r="D9" s="796" t="str">
        <f>NUMBERSTRING(INT(D8*10000),2)&amp;"元整"</f>
        <v>零元整</v>
      </c>
    </row>
    <row r="10" spans="1:5" ht="15">
      <c r="B10" s="1392" t="s">
        <v>916</v>
      </c>
      <c r="C10" s="1393" t="s">
        <v>914</v>
      </c>
      <c r="D10" s="798">
        <f>结果表!H104</f>
        <v>0</v>
      </c>
    </row>
    <row r="11" spans="1:5" ht="15">
      <c r="B11" s="1392" t="s">
        <v>918</v>
      </c>
      <c r="C11" s="1393" t="s">
        <v>919</v>
      </c>
      <c r="D11" s="798">
        <f>结果表!H105</f>
        <v>0</v>
      </c>
    </row>
    <row r="12" spans="1:5" ht="15">
      <c r="B12" s="1392" t="s">
        <v>920</v>
      </c>
      <c r="C12" s="1393" t="s">
        <v>919</v>
      </c>
      <c r="D12" s="798">
        <f>结果表!H106</f>
        <v>0</v>
      </c>
    </row>
    <row r="13" spans="1:5" ht="15.75">
      <c r="B13" s="3191" t="str">
        <f>结果表!E107</f>
        <v>3.房地产抵押价值</v>
      </c>
      <c r="C13" s="1394" t="s">
        <v>910</v>
      </c>
      <c r="D13" s="799">
        <f ca="1">结果表!H107</f>
        <v>3730</v>
      </c>
    </row>
    <row r="14" spans="1:5" ht="15.75">
      <c r="B14" s="3192"/>
      <c r="C14" s="1389" t="s">
        <v>911</v>
      </c>
      <c r="D14" s="796" t="str">
        <f ca="1">NUMBERSTRING(INT(D13*10000),2)&amp;"元整"</f>
        <v>叁仟柒佰叁拾万元整</v>
      </c>
    </row>
    <row r="15" spans="1:5" ht="15">
      <c r="B15" s="3197"/>
      <c r="C15" s="1390" t="s">
        <v>921</v>
      </c>
      <c r="D15" s="805">
        <f ca="1">结果表!H108</f>
        <v>5795</v>
      </c>
    </row>
    <row r="16" spans="1:5" ht="15">
      <c r="B16" s="3198" t="str">
        <f>结果表!E109</f>
        <v>——</v>
      </c>
      <c r="C16" s="1394" t="s">
        <v>922</v>
      </c>
      <c r="D16" s="1395" t="str">
        <f>结果表!H109</f>
        <v>——</v>
      </c>
    </row>
    <row r="17" spans="1:5" ht="15.75">
      <c r="B17" s="3199"/>
      <c r="C17" s="1389" t="s">
        <v>923</v>
      </c>
      <c r="D17" s="796" t="e">
        <f>NUMBERSTRING(INT(D16*10000),2)&amp;"元整"</f>
        <v>#VALUE!</v>
      </c>
    </row>
    <row r="18" spans="1:5" ht="15">
      <c r="B18" s="3200"/>
      <c r="C18" s="1390" t="s">
        <v>912</v>
      </c>
      <c r="D18" s="805" t="str">
        <f>结果表!H110</f>
        <v>——</v>
      </c>
    </row>
    <row r="19" spans="1:5" ht="15.75">
      <c r="B19" s="3191" t="str">
        <f>结果表!E111</f>
        <v>4.抵押净值</v>
      </c>
      <c r="C19" s="1394" t="s">
        <v>910</v>
      </c>
      <c r="D19" s="797">
        <f ca="1">结果表!H111</f>
        <v>3311</v>
      </c>
    </row>
    <row r="20" spans="1:5" ht="15.75">
      <c r="B20" s="3192"/>
      <c r="C20" s="1389" t="s">
        <v>923</v>
      </c>
      <c r="D20" s="796" t="str">
        <f ca="1">NUMBERSTRING(INT(D19*10000),2)&amp;"元整"</f>
        <v>叁仟叁佰壹拾壹万元整</v>
      </c>
    </row>
    <row r="21" spans="1:5" ht="15.75" thickBot="1">
      <c r="B21" s="3193"/>
      <c r="C21" s="1396" t="s">
        <v>921</v>
      </c>
      <c r="D21" s="806">
        <f ca="1">结果表!H112</f>
        <v>5144</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0" zoomScale="70" zoomScaleNormal="70" workbookViewId="0">
      <selection activeCell="O279" sqref="O279"/>
    </sheetView>
  </sheetViews>
  <sheetFormatPr defaultColWidth="9" defaultRowHeight="13.5"/>
  <cols>
    <col min="1" max="10" width="9" style="2872"/>
    <col min="11" max="11" width="18.25" style="2872" customWidth="1"/>
    <col min="12" max="13" width="9" style="2872"/>
  </cols>
  <sheetData>
    <row r="1" spans="1:20" ht="15" thickBot="1">
      <c r="A1" s="2858" t="s">
        <v>2799</v>
      </c>
      <c r="B1" s="2858"/>
      <c r="C1" s="2858"/>
      <c r="D1" s="2858"/>
      <c r="E1" s="2858"/>
      <c r="F1" s="2858"/>
      <c r="G1" s="2858"/>
      <c r="H1" s="2858"/>
      <c r="I1" s="2858"/>
      <c r="J1" s="2858"/>
      <c r="K1" s="2858"/>
      <c r="L1" s="2858"/>
      <c r="M1" s="2858"/>
      <c r="N1" s="706"/>
    </row>
    <row r="2" spans="1:20">
      <c r="A2" s="2859" t="s">
        <v>2800</v>
      </c>
      <c r="B2" s="2860" t="s">
        <v>2596</v>
      </c>
      <c r="C2" s="2860" t="s">
        <v>2597</v>
      </c>
      <c r="D2" s="2860" t="s">
        <v>2598</v>
      </c>
      <c r="E2" s="2860" t="s">
        <v>2599</v>
      </c>
      <c r="F2" s="2860" t="s">
        <v>2600</v>
      </c>
      <c r="G2" s="2860" t="s">
        <v>2601</v>
      </c>
      <c r="H2" s="2861" t="s">
        <v>2602</v>
      </c>
      <c r="I2" s="2861" t="s">
        <v>2603</v>
      </c>
      <c r="J2" s="2862" t="s">
        <v>2604</v>
      </c>
      <c r="K2" s="2862" t="s">
        <v>2605</v>
      </c>
      <c r="L2" s="2862" t="s">
        <v>2606</v>
      </c>
      <c r="M2" s="2863" t="s">
        <v>2607</v>
      </c>
      <c r="Q2" s="2873" t="s">
        <v>2805</v>
      </c>
      <c r="R2" s="2873" t="s">
        <v>2806</v>
      </c>
      <c r="S2" s="2873" t="s">
        <v>2807</v>
      </c>
      <c r="T2" s="2873" t="s">
        <v>2808</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2801</v>
      </c>
      <c r="B93" s="2858"/>
      <c r="C93" s="2858"/>
      <c r="D93" s="2858"/>
      <c r="E93" s="2858"/>
      <c r="F93" s="2858"/>
      <c r="G93" s="2858"/>
      <c r="H93" s="2858"/>
      <c r="I93" s="2858"/>
      <c r="J93" s="2858"/>
      <c r="K93" s="2858"/>
      <c r="L93" s="2858"/>
      <c r="M93" s="2858"/>
    </row>
    <row r="94" spans="1:20">
      <c r="A94" s="2859" t="s">
        <v>2800</v>
      </c>
      <c r="B94" s="2860" t="s">
        <v>2596</v>
      </c>
      <c r="C94" s="2860" t="s">
        <v>2597</v>
      </c>
      <c r="D94" s="2860" t="s">
        <v>2598</v>
      </c>
      <c r="E94" s="2860" t="s">
        <v>2599</v>
      </c>
      <c r="F94" s="2860" t="s">
        <v>2600</v>
      </c>
      <c r="G94" s="2860" t="s">
        <v>2601</v>
      </c>
      <c r="H94" s="2861" t="s">
        <v>2602</v>
      </c>
      <c r="I94" s="2861" t="s">
        <v>2603</v>
      </c>
      <c r="J94" s="2862" t="s">
        <v>2604</v>
      </c>
      <c r="K94" s="2862" t="s">
        <v>2605</v>
      </c>
      <c r="L94" s="2862" t="s">
        <v>2606</v>
      </c>
      <c r="M94" s="2863" t="s">
        <v>2607</v>
      </c>
      <c r="N94">
        <f>SUMPRODUCT((A95:A184=ROUNDDOWN(基准地价修正!G3,1))*(B94:M94=基准地价修正!G2)*(B95:M184))</f>
        <v>0</v>
      </c>
      <c r="Q94" s="2873" t="s">
        <v>2805</v>
      </c>
      <c r="R94" s="2873" t="s">
        <v>2806</v>
      </c>
      <c r="S94" s="2873" t="s">
        <v>2807</v>
      </c>
      <c r="T94" s="2873" t="s">
        <v>2808</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2802</v>
      </c>
      <c r="B185" s="2858"/>
      <c r="C185" s="2858"/>
      <c r="D185" s="2858"/>
      <c r="E185" s="2858"/>
      <c r="F185" s="2858"/>
      <c r="G185" s="2858"/>
      <c r="H185" s="2858"/>
      <c r="I185" s="2858"/>
      <c r="J185" s="2858"/>
      <c r="K185" s="2858"/>
      <c r="L185" s="2858"/>
      <c r="M185" s="2858"/>
    </row>
    <row r="186" spans="1:20">
      <c r="A186" s="2859" t="s">
        <v>2800</v>
      </c>
      <c r="B186" s="2860" t="s">
        <v>2596</v>
      </c>
      <c r="C186" s="2860" t="s">
        <v>2597</v>
      </c>
      <c r="D186" s="2860" t="s">
        <v>2598</v>
      </c>
      <c r="E186" s="2860" t="s">
        <v>2599</v>
      </c>
      <c r="F186" s="2860" t="s">
        <v>2600</v>
      </c>
      <c r="G186" s="2860" t="s">
        <v>2601</v>
      </c>
      <c r="H186" s="2861" t="s">
        <v>2602</v>
      </c>
      <c r="I186" s="2861" t="s">
        <v>2603</v>
      </c>
      <c r="J186" s="2862" t="s">
        <v>2604</v>
      </c>
      <c r="K186" s="2862" t="s">
        <v>2605</v>
      </c>
      <c r="L186" s="2862" t="s">
        <v>2606</v>
      </c>
      <c r="M186" s="2863" t="s">
        <v>2607</v>
      </c>
      <c r="Q186" s="2873" t="s">
        <v>2805</v>
      </c>
      <c r="R186" s="2873" t="s">
        <v>2806</v>
      </c>
      <c r="S186" s="2873" t="s">
        <v>2807</v>
      </c>
      <c r="T186" s="2873" t="s">
        <v>2808</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2803</v>
      </c>
      <c r="B277" s="2858"/>
      <c r="C277" s="2858"/>
      <c r="D277" s="2858"/>
      <c r="E277" s="2858"/>
      <c r="F277" s="2858"/>
      <c r="G277" s="2858"/>
      <c r="H277" s="2858"/>
      <c r="I277" s="2858"/>
      <c r="J277" s="2858"/>
      <c r="K277" s="2858"/>
      <c r="L277" s="2858"/>
      <c r="M277" s="2858"/>
    </row>
    <row r="278" spans="1:21">
      <c r="A278" s="2859" t="s">
        <v>2800</v>
      </c>
      <c r="B278" s="2860" t="s">
        <v>2596</v>
      </c>
      <c r="C278" s="2860" t="s">
        <v>2597</v>
      </c>
      <c r="D278" s="2860" t="s">
        <v>2598</v>
      </c>
      <c r="E278" s="2860" t="s">
        <v>2599</v>
      </c>
      <c r="F278" s="2860" t="s">
        <v>2600</v>
      </c>
      <c r="G278" s="2860" t="s">
        <v>2601</v>
      </c>
      <c r="H278" s="2861" t="s">
        <v>2602</v>
      </c>
      <c r="I278" s="2861" t="s">
        <v>2603</v>
      </c>
      <c r="J278" s="2862" t="s">
        <v>2604</v>
      </c>
      <c r="K278" s="2862" t="s">
        <v>2605</v>
      </c>
      <c r="L278" s="2862" t="s">
        <v>2606</v>
      </c>
      <c r="M278" s="2863" t="s">
        <v>2607</v>
      </c>
      <c r="Q278" s="2873" t="s">
        <v>2805</v>
      </c>
      <c r="R278" s="2873" t="s">
        <v>2806</v>
      </c>
      <c r="S278" s="2873" t="s">
        <v>2809</v>
      </c>
      <c r="T278" s="2873" t="s">
        <v>2810</v>
      </c>
      <c r="U278" s="2873" t="s">
        <v>2808</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3182">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3182">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3182">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3182">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3182">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3182">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3182">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3182">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3182">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3182">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3182">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3182">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3182">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3182">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3182">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3182">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3182">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3182">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3182">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3182">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3182">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3182">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3182">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3182">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3182">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3182">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3182">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3182">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3182">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3182">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3182">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3182">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3182">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3182">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3182">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3182">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3182">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3182">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3182">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3182">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3182">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3182">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3182">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3182">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3182">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3182">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3182">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3182">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3182">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3182">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3182">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3182">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3182">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3182">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3182">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3182">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3182">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3182">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3182">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3182">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3182">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3182">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3182">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3182">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3182">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3182">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3182">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3182">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3182">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3182">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3182">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3182">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3182">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3182">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3182">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3182">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3182">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3182">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3182">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3182">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3182">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3182">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3182">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3182">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3182">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3182">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3182">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3182">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3182">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3183">
        <v>0.40239999999999998</v>
      </c>
      <c r="L368" s="2869">
        <v>0.40239999999999998</v>
      </c>
      <c r="M368" s="2870">
        <v>0.40239999999999998</v>
      </c>
    </row>
    <row r="369" spans="1:20" ht="15" thickBot="1">
      <c r="A369" s="2858" t="s">
        <v>2804</v>
      </c>
      <c r="B369" s="2871"/>
      <c r="C369" s="2871"/>
      <c r="D369" s="2871"/>
      <c r="E369" s="2871"/>
      <c r="F369" s="2871"/>
      <c r="G369" s="2871"/>
      <c r="H369" s="2871"/>
      <c r="I369" s="2871"/>
      <c r="J369" s="2871"/>
      <c r="K369" s="2871"/>
      <c r="L369" s="2871"/>
      <c r="M369" s="2871"/>
    </row>
    <row r="370" spans="1:20">
      <c r="A370" s="2859" t="s">
        <v>2800</v>
      </c>
      <c r="B370" s="2860" t="s">
        <v>2596</v>
      </c>
      <c r="C370" s="2860" t="s">
        <v>2597</v>
      </c>
      <c r="D370" s="2860" t="s">
        <v>2598</v>
      </c>
      <c r="E370" s="2860" t="s">
        <v>2599</v>
      </c>
      <c r="F370" s="2860" t="s">
        <v>2600</v>
      </c>
      <c r="G370" s="2860" t="s">
        <v>2601</v>
      </c>
      <c r="H370" s="2861" t="s">
        <v>2602</v>
      </c>
      <c r="I370" s="2861" t="s">
        <v>2603</v>
      </c>
      <c r="J370" s="2862" t="s">
        <v>2604</v>
      </c>
      <c r="K370" s="2862" t="s">
        <v>2605</v>
      </c>
      <c r="L370" s="2862" t="s">
        <v>2606</v>
      </c>
      <c r="M370" s="2863" t="s">
        <v>2607</v>
      </c>
      <c r="N370">
        <f>SUMPRODUCT((A371:A460=ROUNDDOWN(基准地价修正!G3,1))*(B370:M370=基准地价修正!G2)*(B371:M460))</f>
        <v>0</v>
      </c>
      <c r="Q370" s="2873" t="s">
        <v>2805</v>
      </c>
      <c r="R370" s="2873" t="s">
        <v>2806</v>
      </c>
      <c r="S370" s="2873" t="s">
        <v>2807</v>
      </c>
      <c r="T370" s="2873" t="s">
        <v>2808</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26711</v>
      </c>
      <c r="C2" s="2" t="s">
        <v>106</v>
      </c>
      <c r="D2" s="191"/>
      <c r="E2" s="191"/>
      <c r="F2" s="191"/>
      <c r="G2" s="191"/>
    </row>
    <row r="3" spans="1:7" s="192" customFormat="1" ht="18" customHeight="1" thickBot="1">
      <c r="A3" s="195" t="s">
        <v>58</v>
      </c>
      <c r="B3" s="196">
        <f ca="1">ROUND(B2*10000/'数据-汇总表'!E3,0)</f>
        <v>41499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51</v>
      </c>
      <c r="D10" s="794">
        <f>'数据-汇总表'!E6</f>
        <v>6436.4900000000007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129</v>
      </c>
      <c r="D19" s="204">
        <f>'数据-汇总表'!E3</f>
        <v>6436.4900000000007</v>
      </c>
      <c r="E19" s="203">
        <f>'数据-取费表'!B31</f>
        <v>200</v>
      </c>
      <c r="F19" s="223"/>
      <c r="G19" s="1" t="s">
        <v>436</v>
      </c>
    </row>
    <row r="20" spans="1:7" s="206" customFormat="1" ht="13.5" customHeight="1">
      <c r="A20" s="730" t="s">
        <v>419</v>
      </c>
      <c r="B20" s="202" t="s">
        <v>77</v>
      </c>
      <c r="C20" s="224">
        <f>ROUND((C5+C19)*F20,0)</f>
        <v>415</v>
      </c>
      <c r="D20" s="224"/>
      <c r="E20" s="224"/>
      <c r="F20" s="225">
        <f>'数据-取费表'!B37</f>
        <v>0.02</v>
      </c>
      <c r="G20" s="1002"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9">
        <f ca="1">ROUND(SUM(C23:C25),0)</f>
        <v>701</v>
      </c>
      <c r="D22" s="227">
        <f ca="1">C26</f>
        <v>2.9999999999999997E-4</v>
      </c>
      <c r="E22" s="228" t="s">
        <v>99</v>
      </c>
      <c r="F22" s="229">
        <f ca="1">'数据-取费表'!B40</f>
        <v>3.3500000000000002E-2</v>
      </c>
      <c r="G22" s="1002" t="str">
        <f>IF('数据-取费表'!B22&lt;=1,"单利计息","复利计息")</f>
        <v>单利计息</v>
      </c>
    </row>
    <row r="23" spans="1:7" s="206" customFormat="1" ht="13.5" customHeight="1">
      <c r="A23" s="733" t="s">
        <v>349</v>
      </c>
      <c r="B23" s="207" t="s">
        <v>423</v>
      </c>
      <c r="C23" s="1040">
        <f ca="1">ROUND(IF('数据-取费表'!B22&lt;=1,C5*F22*'数据-取费表'!B23,C5*(POWER((1+F22),'数据-取费表'!B23)-1)),0)</f>
        <v>690</v>
      </c>
      <c r="D23" s="230"/>
      <c r="E23" s="230"/>
      <c r="F23" s="231"/>
      <c r="G23" s="232" t="s">
        <v>81</v>
      </c>
    </row>
    <row r="24" spans="1:7" s="206" customFormat="1" ht="13.5" customHeight="1">
      <c r="A24" s="733" t="s">
        <v>347</v>
      </c>
      <c r="B24" s="207" t="s">
        <v>418</v>
      </c>
      <c r="C24" s="1040">
        <f ca="1">ROUND(IF('数据-取费表'!B22&lt;=1,C19*F22*('数据-取费表'!B19/2+'数据-取费表'!B21),C19*(POWER((1+F22),('数据-取费表'!B19/2+'数据-取费表'!B21))-1)),0)</f>
        <v>4</v>
      </c>
      <c r="D24" s="230"/>
      <c r="E24" s="230"/>
      <c r="F24" s="231"/>
      <c r="G24" s="232" t="s">
        <v>82</v>
      </c>
    </row>
    <row r="25" spans="1:7" s="206" customFormat="1" ht="24">
      <c r="A25" s="733" t="s">
        <v>348</v>
      </c>
      <c r="B25" s="207" t="s">
        <v>420</v>
      </c>
      <c r="C25" s="1040">
        <f ca="1">ROUND(IF('数据-取费表'!B22&lt;=1,C20*F22*'数据-取费表'!B23/2,C20*(POWER((1+F22),'数据-取费表'!B23/2)-1)),0)</f>
        <v>7</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1058</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1058</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24736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1932</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1717</v>
      </c>
      <c r="D34" s="209"/>
      <c r="E34" s="212"/>
      <c r="F34" s="249">
        <f>IF('数据-取费表'!B24=0,1,'数据-取费表'!N16)</f>
        <v>1</v>
      </c>
      <c r="G34" s="211" t="s">
        <v>89</v>
      </c>
    </row>
    <row r="35" spans="1:7" ht="13.5" customHeight="1">
      <c r="A35" s="733" t="s">
        <v>351</v>
      </c>
      <c r="B35" s="207" t="s">
        <v>33</v>
      </c>
      <c r="C35" s="212">
        <f>ROUND(C34*F35,0)</f>
        <v>52</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129</v>
      </c>
      <c r="D37" s="209">
        <f>'数据-汇总表'!E3</f>
        <v>6436.4900000000007</v>
      </c>
      <c r="E37" s="241">
        <f>'数据-取费表'!B35</f>
        <v>200</v>
      </c>
      <c r="F37" s="251"/>
      <c r="G37" s="253" t="s">
        <v>92</v>
      </c>
    </row>
    <row r="38" spans="1:7" ht="13.5" customHeight="1">
      <c r="A38" s="733" t="s">
        <v>354</v>
      </c>
      <c r="B38" s="207" t="s">
        <v>36</v>
      </c>
      <c r="C38" s="212">
        <f>ROUND(C34*F38,0)</f>
        <v>34</v>
      </c>
      <c r="D38" s="212"/>
      <c r="E38" s="212"/>
      <c r="F38" s="251">
        <f>'数据-取费表'!B36</f>
        <v>0.02</v>
      </c>
      <c r="G38" s="211" t="s">
        <v>90</v>
      </c>
    </row>
    <row r="39" spans="1:7" s="206" customFormat="1" ht="13.5" customHeight="1">
      <c r="A39" s="730" t="s">
        <v>338</v>
      </c>
      <c r="B39" s="202" t="s">
        <v>77</v>
      </c>
      <c r="C39" s="224">
        <f>ROUND(C33*F20,0)</f>
        <v>39</v>
      </c>
      <c r="D39" s="224"/>
      <c r="E39" s="224"/>
      <c r="F39" s="225"/>
      <c r="G39" s="1002"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33</v>
      </c>
      <c r="D41" s="227">
        <f ca="1">C44</f>
        <v>2.9999999999999997E-4</v>
      </c>
      <c r="E41" s="228" t="s">
        <v>102</v>
      </c>
      <c r="F41" s="229"/>
      <c r="G41" s="1002" t="str">
        <f>IF('数据-取费表'!B22&lt;=1,"单利计息","复利计息")</f>
        <v>单利计息</v>
      </c>
    </row>
    <row r="42" spans="1:7" ht="13.5" customHeight="1">
      <c r="A42" s="733" t="s">
        <v>349</v>
      </c>
      <c r="B42" s="207" t="s">
        <v>423</v>
      </c>
      <c r="C42" s="230">
        <f ca="1">ROUND(IF('数据-取费表'!B22&lt;=1,C33*F22*'数据-取费表'!B21/2,C33*(POWER((1+F22),'数据-取费表'!B21/2)-1)),0)</f>
        <v>32</v>
      </c>
      <c r="D42" s="230"/>
      <c r="E42" s="230"/>
      <c r="F42" s="231"/>
      <c r="G42" s="3374" t="s">
        <v>94</v>
      </c>
    </row>
    <row r="43" spans="1:7" ht="13.5" customHeight="1">
      <c r="A43" s="733" t="s">
        <v>347</v>
      </c>
      <c r="B43" s="207" t="s">
        <v>426</v>
      </c>
      <c r="C43" s="230">
        <f ca="1">ROUND(IF('数据-取费表'!B22&lt;=1,C39*F22*'数据-取费表'!B21/2,C39*(POWER((1+F22),'数据-取费表'!B21/2)-1)),0)</f>
        <v>1</v>
      </c>
      <c r="D43" s="230"/>
      <c r="E43" s="230"/>
      <c r="F43" s="231"/>
      <c r="G43" s="3375"/>
    </row>
    <row r="44" spans="1:7" ht="13.5" customHeight="1">
      <c r="A44" s="733" t="s">
        <v>348</v>
      </c>
      <c r="B44" s="207" t="s">
        <v>428</v>
      </c>
      <c r="C44" s="230">
        <f ca="1">ROUND(IF('数据-取费表'!B22&lt;=1,C40*F22*'数据-取费表'!B21/2,C40*(POWER((1+F22),'数据-取费表'!B21/2)-1)),4)</f>
        <v>2.9999999999999997E-4</v>
      </c>
      <c r="D44" s="230"/>
      <c r="E44" s="230"/>
      <c r="F44" s="231"/>
      <c r="G44" s="3376"/>
    </row>
    <row r="45" spans="1:7" s="206" customFormat="1" ht="13.5" customHeight="1">
      <c r="A45" s="730" t="s">
        <v>341</v>
      </c>
      <c r="B45" s="236" t="s">
        <v>85</v>
      </c>
      <c r="C45" s="237">
        <f>C46</f>
        <v>99</v>
      </c>
      <c r="D45" s="227">
        <f>C47</f>
        <v>1E-3</v>
      </c>
      <c r="E45" s="228" t="s">
        <v>102</v>
      </c>
      <c r="F45" s="238"/>
      <c r="G45" s="239" t="s">
        <v>434</v>
      </c>
    </row>
    <row r="46" spans="1:7" s="206" customFormat="1" ht="13.5" customHeight="1">
      <c r="A46" s="733" t="s">
        <v>349</v>
      </c>
      <c r="B46" s="240" t="s">
        <v>427</v>
      </c>
      <c r="C46" s="241">
        <f>ROUND((C33+C39)*F27,0)</f>
        <v>99</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2270</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1975</v>
      </c>
      <c r="D51" s="224"/>
      <c r="E51" s="224"/>
      <c r="F51" s="256"/>
      <c r="G51" s="226" t="s">
        <v>37</v>
      </c>
    </row>
    <row r="52" spans="1:7" s="200" customFormat="1" ht="16.5" thickBot="1">
      <c r="A52" s="257" t="s">
        <v>38</v>
      </c>
      <c r="B52" s="258"/>
      <c r="C52" s="259">
        <f ca="1">C31+C51</f>
        <v>26711</v>
      </c>
      <c r="D52" s="258"/>
      <c r="E52" s="258"/>
      <c r="F52" s="258"/>
      <c r="G52" s="260"/>
    </row>
    <row r="55" spans="1:7" ht="15">
      <c r="B55" s="262" t="s">
        <v>39</v>
      </c>
      <c r="C55" s="263"/>
    </row>
    <row r="56" spans="1:7">
      <c r="B56" s="265" t="s">
        <v>40</v>
      </c>
      <c r="C56" s="266">
        <f ca="1">ROUND(C51/C52,3)</f>
        <v>7.3999999999999996E-2</v>
      </c>
    </row>
    <row r="57" spans="1:7">
      <c r="B57" s="265" t="s">
        <v>41</v>
      </c>
      <c r="C57" s="267">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11" t="s">
        <v>2840</v>
      </c>
      <c r="B1" s="3511"/>
      <c r="C1" s="3511"/>
      <c r="D1" s="3511"/>
      <c r="E1" s="3511"/>
      <c r="F1" s="3511"/>
      <c r="G1" s="3512"/>
      <c r="I1" s="2931" t="s">
        <v>2841</v>
      </c>
      <c r="J1" s="2932" t="s">
        <v>2842</v>
      </c>
      <c r="K1" s="2932" t="s">
        <v>2843</v>
      </c>
      <c r="L1" s="2932" t="s">
        <v>2844</v>
      </c>
      <c r="M1" s="2932" t="s">
        <v>2845</v>
      </c>
      <c r="N1" s="2932" t="s">
        <v>2846</v>
      </c>
      <c r="O1" s="2932" t="s">
        <v>2847</v>
      </c>
      <c r="P1" s="2932" t="s">
        <v>2848</v>
      </c>
      <c r="Q1" s="2932" t="s">
        <v>2849</v>
      </c>
      <c r="R1" s="2932" t="s">
        <v>2850</v>
      </c>
      <c r="S1" s="2932" t="s">
        <v>2851</v>
      </c>
      <c r="T1" s="2933" t="s">
        <v>2852</v>
      </c>
    </row>
    <row r="2" spans="1:20" ht="12" thickBot="1">
      <c r="A2" s="2934" t="s">
        <v>2853</v>
      </c>
      <c r="B2" s="2934"/>
      <c r="C2" s="2934"/>
      <c r="D2" s="2934"/>
      <c r="E2" s="2934"/>
      <c r="F2" s="2934"/>
      <c r="G2" s="2935" t="s">
        <v>2854</v>
      </c>
      <c r="I2" s="2936" t="s">
        <v>2855</v>
      </c>
      <c r="J2" s="2936" t="s">
        <v>2856</v>
      </c>
      <c r="K2" s="2936" t="s">
        <v>2857</v>
      </c>
      <c r="L2" s="2936" t="s">
        <v>2858</v>
      </c>
      <c r="M2" s="2936" t="s">
        <v>2859</v>
      </c>
      <c r="N2" s="2936" t="s">
        <v>2860</v>
      </c>
      <c r="O2" s="2936" t="s">
        <v>2861</v>
      </c>
      <c r="P2" s="2936" t="s">
        <v>2862</v>
      </c>
      <c r="Q2" s="2936" t="s">
        <v>2863</v>
      </c>
      <c r="R2" s="2936" t="s">
        <v>2864</v>
      </c>
      <c r="S2" s="2936" t="s">
        <v>2865</v>
      </c>
      <c r="T2" s="2936" t="s">
        <v>2866</v>
      </c>
    </row>
    <row r="3" spans="1:20" s="2942" customFormat="1">
      <c r="A3" s="3509" t="s">
        <v>2867</v>
      </c>
      <c r="B3" s="2937"/>
      <c r="C3" s="2938" t="s">
        <v>2812</v>
      </c>
      <c r="D3" s="2938" t="s">
        <v>2868</v>
      </c>
      <c r="E3" s="2938" t="s">
        <v>2814</v>
      </c>
      <c r="F3" s="2938" t="s">
        <v>2869</v>
      </c>
      <c r="G3" s="2938" t="s">
        <v>2632</v>
      </c>
      <c r="H3" s="2939"/>
      <c r="I3" s="2940" t="s">
        <v>2870</v>
      </c>
      <c r="J3" s="2941" t="s">
        <v>128</v>
      </c>
      <c r="K3" s="2941" t="s">
        <v>129</v>
      </c>
      <c r="L3" s="2940" t="s">
        <v>130</v>
      </c>
      <c r="M3" s="2940" t="s">
        <v>131</v>
      </c>
      <c r="N3" s="2940" t="s">
        <v>132</v>
      </c>
      <c r="O3" s="2940" t="s">
        <v>133</v>
      </c>
      <c r="P3" s="2940" t="s">
        <v>134</v>
      </c>
      <c r="Q3" s="2940" t="s">
        <v>135</v>
      </c>
      <c r="R3" s="2940" t="s">
        <v>136</v>
      </c>
      <c r="S3" s="2940" t="s">
        <v>2871</v>
      </c>
      <c r="T3" s="2940" t="s">
        <v>2872</v>
      </c>
    </row>
    <row r="4" spans="1:20" s="2942" customFormat="1" ht="12" thickBot="1">
      <c r="A4" s="3510"/>
      <c r="B4" s="2943" t="s">
        <v>2873</v>
      </c>
      <c r="C4" s="2943" t="s">
        <v>2874</v>
      </c>
      <c r="D4" s="2943" t="s">
        <v>2874</v>
      </c>
      <c r="E4" s="2943" t="s">
        <v>2874</v>
      </c>
      <c r="F4" s="2944" t="s">
        <v>2874</v>
      </c>
      <c r="G4" s="2944" t="s">
        <v>2874</v>
      </c>
      <c r="H4" s="2939"/>
      <c r="I4" s="2941" t="s">
        <v>137</v>
      </c>
      <c r="J4" s="2941" t="s">
        <v>111</v>
      </c>
      <c r="K4" s="2941" t="s">
        <v>138</v>
      </c>
      <c r="L4" s="2940" t="s">
        <v>139</v>
      </c>
      <c r="M4" s="2940" t="s">
        <v>140</v>
      </c>
      <c r="N4" s="2940" t="s">
        <v>141</v>
      </c>
      <c r="O4" s="2940" t="s">
        <v>142</v>
      </c>
      <c r="P4" s="2940" t="s">
        <v>143</v>
      </c>
      <c r="Q4" s="2940" t="s">
        <v>2875</v>
      </c>
      <c r="R4" s="2940" t="s">
        <v>2876</v>
      </c>
      <c r="S4" s="2940" t="s">
        <v>2877</v>
      </c>
      <c r="T4" s="2940" t="s">
        <v>2878</v>
      </c>
    </row>
    <row r="5" spans="1:20">
      <c r="A5" s="2945" t="s">
        <v>2841</v>
      </c>
      <c r="B5" s="2936" t="s">
        <v>2855</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2879</v>
      </c>
      <c r="R5" s="2940" t="s">
        <v>2880</v>
      </c>
      <c r="S5" s="2940" t="s">
        <v>153</v>
      </c>
      <c r="T5" s="2940" t="s">
        <v>2881</v>
      </c>
    </row>
    <row r="6" spans="1:20" ht="12" thickBot="1">
      <c r="A6" s="2940" t="s">
        <v>144</v>
      </c>
      <c r="B6" s="2940" t="s">
        <v>2870</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2882</v>
      </c>
      <c r="Q6" s="2940" t="s">
        <v>2883</v>
      </c>
      <c r="R6" s="2940" t="s">
        <v>161</v>
      </c>
      <c r="S6" s="2940" t="s">
        <v>2884</v>
      </c>
      <c r="T6" s="2940" t="s">
        <v>2885</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2886</v>
      </c>
      <c r="Q7" s="2940" t="s">
        <v>2887</v>
      </c>
      <c r="R7" s="2940" t="s">
        <v>2888</v>
      </c>
      <c r="S7" s="2940" t="s">
        <v>2889</v>
      </c>
      <c r="T7" s="2940" t="s">
        <v>2890</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2891</v>
      </c>
      <c r="Q8" s="2940" t="s">
        <v>174</v>
      </c>
      <c r="R8" s="2940" t="s">
        <v>2892</v>
      </c>
      <c r="S8" s="2940" t="s">
        <v>2893</v>
      </c>
      <c r="T8" s="2947" t="s">
        <v>2894</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2895</v>
      </c>
      <c r="Q9" s="2940" t="s">
        <v>182</v>
      </c>
      <c r="R9" s="2940" t="s">
        <v>183</v>
      </c>
      <c r="S9" s="2940" t="s">
        <v>200</v>
      </c>
    </row>
    <row r="10" spans="1:20">
      <c r="A10" s="2945" t="s">
        <v>184</v>
      </c>
      <c r="B10" s="2936" t="s">
        <v>2856</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2896</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2897</v>
      </c>
      <c r="P11" s="2940" t="s">
        <v>191</v>
      </c>
      <c r="Q11" s="2940" t="s">
        <v>199</v>
      </c>
      <c r="R11" s="2940" t="s">
        <v>2898</v>
      </c>
      <c r="S11" s="2940" t="s">
        <v>2899</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2900</v>
      </c>
      <c r="P12" s="2940" t="s">
        <v>2901</v>
      </c>
      <c r="Q12" s="2940" t="s">
        <v>2902</v>
      </c>
      <c r="R12" s="2940" t="s">
        <v>2903</v>
      </c>
      <c r="S12" s="2940" t="s">
        <v>2904</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2905</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2906</v>
      </c>
      <c r="K14" s="2941" t="s">
        <v>215</v>
      </c>
      <c r="L14" s="2940" t="s">
        <v>216</v>
      </c>
      <c r="M14" s="2940" t="s">
        <v>217</v>
      </c>
      <c r="N14" s="2940" t="s">
        <v>218</v>
      </c>
      <c r="O14" s="2940" t="s">
        <v>240</v>
      </c>
      <c r="P14" s="2940" t="s">
        <v>213</v>
      </c>
      <c r="Q14" s="2940" t="s">
        <v>2907</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2908</v>
      </c>
      <c r="P15" s="2940" t="s">
        <v>2909</v>
      </c>
      <c r="Q15" s="2940" t="s">
        <v>242</v>
      </c>
      <c r="R15" s="2940" t="s">
        <v>2910</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2911</v>
      </c>
      <c r="P16" s="2940" t="s">
        <v>227</v>
      </c>
      <c r="Q16" s="2940" t="s">
        <v>250</v>
      </c>
      <c r="R16" s="2940" t="s">
        <v>207</v>
      </c>
      <c r="S16" s="2940" t="s">
        <v>2912</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2913</v>
      </c>
      <c r="P17" s="2940" t="s">
        <v>2914</v>
      </c>
      <c r="Q17" s="2940" t="s">
        <v>256</v>
      </c>
      <c r="R17" s="2940" t="s">
        <v>2915</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2916</v>
      </c>
      <c r="P18" s="2940" t="s">
        <v>241</v>
      </c>
      <c r="Q18" s="2940" t="s">
        <v>2917</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2918</v>
      </c>
      <c r="P19" s="2940" t="s">
        <v>249</v>
      </c>
      <c r="Q19" s="2940" t="s">
        <v>2919</v>
      </c>
      <c r="R19" s="2940" t="s">
        <v>265</v>
      </c>
      <c r="S19" s="2940" t="s">
        <v>2920</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2921</v>
      </c>
      <c r="P20" s="2940" t="s">
        <v>2922</v>
      </c>
      <c r="Q20" s="2940" t="s">
        <v>290</v>
      </c>
      <c r="R20" s="2940" t="s">
        <v>2923</v>
      </c>
      <c r="S20" s="2940" t="s">
        <v>277</v>
      </c>
    </row>
    <row r="21" spans="1:19" ht="14.25" customHeight="1" thickBot="1">
      <c r="A21" s="2940" t="s">
        <v>184</v>
      </c>
      <c r="B21" s="2941" t="s">
        <v>208</v>
      </c>
      <c r="C21" s="2940">
        <v>32370</v>
      </c>
      <c r="D21" s="2940">
        <v>26730</v>
      </c>
      <c r="E21" s="2940">
        <v>26640</v>
      </c>
      <c r="F21" s="2940"/>
      <c r="G21" s="2940">
        <v>19440</v>
      </c>
      <c r="J21" s="2947" t="s">
        <v>2924</v>
      </c>
      <c r="K21" s="2941" t="s">
        <v>267</v>
      </c>
      <c r="L21" s="2940" t="s">
        <v>268</v>
      </c>
      <c r="M21" s="2940" t="s">
        <v>269</v>
      </c>
      <c r="N21" s="2940" t="s">
        <v>270</v>
      </c>
      <c r="O21" s="2940" t="s">
        <v>264</v>
      </c>
      <c r="P21" s="2940" t="s">
        <v>283</v>
      </c>
      <c r="Q21" s="2940" t="s">
        <v>293</v>
      </c>
      <c r="R21" s="2940" t="s">
        <v>2925</v>
      </c>
      <c r="S21" s="2947" t="s">
        <v>2926</v>
      </c>
    </row>
    <row r="22" spans="1:19" ht="14.25" customHeight="1">
      <c r="A22" s="2940" t="s">
        <v>184</v>
      </c>
      <c r="B22" s="2941" t="s">
        <v>2906</v>
      </c>
      <c r="C22" s="2940">
        <v>29830</v>
      </c>
      <c r="D22" s="2940">
        <v>27600</v>
      </c>
      <c r="E22" s="2940">
        <v>28150</v>
      </c>
      <c r="F22" s="2940"/>
      <c r="G22" s="2940">
        <v>20080</v>
      </c>
      <c r="K22" s="2941" t="s">
        <v>2927</v>
      </c>
      <c r="L22" s="2940" t="s">
        <v>272</v>
      </c>
      <c r="M22" s="2940" t="s">
        <v>273</v>
      </c>
      <c r="N22" s="2940" t="s">
        <v>274</v>
      </c>
      <c r="O22" s="2940" t="s">
        <v>2928</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2929</v>
      </c>
      <c r="L23" s="2940" t="s">
        <v>278</v>
      </c>
      <c r="M23" s="2940" t="s">
        <v>279</v>
      </c>
      <c r="N23" s="2940" t="s">
        <v>2930</v>
      </c>
      <c r="O23" s="2940" t="s">
        <v>2931</v>
      </c>
      <c r="P23" s="2940" t="s">
        <v>289</v>
      </c>
      <c r="Q23" s="2940" t="s">
        <v>298</v>
      </c>
      <c r="R23" s="2940" t="s">
        <v>2932</v>
      </c>
    </row>
    <row r="24" spans="1:19" ht="14.25" customHeight="1">
      <c r="A24" s="2940" t="s">
        <v>184</v>
      </c>
      <c r="B24" s="2941" t="s">
        <v>230</v>
      </c>
      <c r="C24" s="2940">
        <v>27930</v>
      </c>
      <c r="D24" s="2940">
        <v>32260</v>
      </c>
      <c r="E24" s="2940">
        <v>32120</v>
      </c>
      <c r="F24" s="2940"/>
      <c r="G24" s="2940">
        <v>23470</v>
      </c>
      <c r="K24" s="2941" t="s">
        <v>2933</v>
      </c>
      <c r="L24" s="2940" t="s">
        <v>281</v>
      </c>
      <c r="M24" s="2940" t="s">
        <v>282</v>
      </c>
      <c r="N24" s="2940" t="s">
        <v>2934</v>
      </c>
      <c r="O24" s="2940" t="s">
        <v>285</v>
      </c>
      <c r="P24" s="2940" t="s">
        <v>2935</v>
      </c>
      <c r="Q24" s="2949" t="s">
        <v>2936</v>
      </c>
      <c r="R24" s="2940" t="s">
        <v>2937</v>
      </c>
    </row>
    <row r="25" spans="1:19" ht="14.25" customHeight="1">
      <c r="A25" s="2940" t="s">
        <v>184</v>
      </c>
      <c r="B25" s="2941" t="s">
        <v>235</v>
      </c>
      <c r="C25" s="2940">
        <v>32230</v>
      </c>
      <c r="D25" s="2940">
        <v>29640</v>
      </c>
      <c r="E25" s="2940">
        <v>29510</v>
      </c>
      <c r="F25" s="2940"/>
      <c r="G25" s="2940">
        <v>21560</v>
      </c>
      <c r="K25" s="2941" t="s">
        <v>2938</v>
      </c>
      <c r="L25" s="2940" t="s">
        <v>2939</v>
      </c>
      <c r="M25" s="2940" t="s">
        <v>284</v>
      </c>
      <c r="N25" s="2940" t="s">
        <v>292</v>
      </c>
      <c r="O25" s="2940" t="s">
        <v>288</v>
      </c>
      <c r="P25" s="2940" t="s">
        <v>275</v>
      </c>
      <c r="Q25" s="2949" t="s">
        <v>271</v>
      </c>
      <c r="R25" s="2940" t="s">
        <v>2940</v>
      </c>
    </row>
    <row r="26" spans="1:19" ht="14.25" customHeight="1" thickBot="1">
      <c r="A26" s="2940" t="s">
        <v>184</v>
      </c>
      <c r="B26" s="2941" t="s">
        <v>244</v>
      </c>
      <c r="C26" s="2940">
        <v>31690</v>
      </c>
      <c r="D26" s="2940">
        <v>27650</v>
      </c>
      <c r="E26" s="2940">
        <v>28200</v>
      </c>
      <c r="F26" s="2940"/>
      <c r="G26" s="2940">
        <v>20110</v>
      </c>
      <c r="K26" s="2946" t="s">
        <v>2941</v>
      </c>
      <c r="L26" s="2940" t="s">
        <v>2942</v>
      </c>
      <c r="M26" s="2940" t="s">
        <v>287</v>
      </c>
      <c r="N26" s="2940" t="s">
        <v>294</v>
      </c>
      <c r="O26" s="2940" t="s">
        <v>2943</v>
      </c>
      <c r="P26" s="2940" t="s">
        <v>2944</v>
      </c>
      <c r="Q26" s="2949" t="s">
        <v>276</v>
      </c>
      <c r="R26" s="2940" t="s">
        <v>2945</v>
      </c>
    </row>
    <row r="27" spans="1:19" ht="14.25" customHeight="1">
      <c r="A27" s="2940" t="s">
        <v>184</v>
      </c>
      <c r="B27" s="2941" t="s">
        <v>251</v>
      </c>
      <c r="C27" s="2940">
        <v>29610</v>
      </c>
      <c r="D27" s="2940">
        <v>27770</v>
      </c>
      <c r="E27" s="2940">
        <v>28300</v>
      </c>
      <c r="F27" s="2940"/>
      <c r="G27" s="2940">
        <v>20210</v>
      </c>
      <c r="L27" s="2940" t="s">
        <v>2946</v>
      </c>
      <c r="M27" s="2940" t="s">
        <v>291</v>
      </c>
      <c r="N27" s="2940" t="s">
        <v>297</v>
      </c>
      <c r="O27" s="2940" t="s">
        <v>2947</v>
      </c>
      <c r="P27" s="2940" t="s">
        <v>2948</v>
      </c>
      <c r="Q27" s="2940" t="s">
        <v>2949</v>
      </c>
      <c r="R27" s="2940" t="s">
        <v>2950</v>
      </c>
    </row>
    <row r="28" spans="1:19" ht="14.25" customHeight="1">
      <c r="A28" s="2940" t="s">
        <v>184</v>
      </c>
      <c r="B28" s="2941" t="s">
        <v>259</v>
      </c>
      <c r="C28" s="2940"/>
      <c r="D28" s="2940">
        <v>31520</v>
      </c>
      <c r="E28" s="2940">
        <v>31410</v>
      </c>
      <c r="F28" s="2940"/>
      <c r="G28" s="2940">
        <v>22940</v>
      </c>
      <c r="L28" s="2940" t="s">
        <v>2951</v>
      </c>
      <c r="M28" s="2940" t="s">
        <v>2952</v>
      </c>
      <c r="N28" s="2940" t="s">
        <v>2953</v>
      </c>
      <c r="O28" s="2940" t="s">
        <v>2954</v>
      </c>
      <c r="P28" s="2940" t="s">
        <v>2955</v>
      </c>
      <c r="Q28" s="2940" t="s">
        <v>2956</v>
      </c>
      <c r="R28" s="2940" t="s">
        <v>2957</v>
      </c>
    </row>
    <row r="29" spans="1:19" ht="14.25" customHeight="1" thickBot="1">
      <c r="A29" s="2948" t="s">
        <v>184</v>
      </c>
      <c r="B29" s="2950" t="s">
        <v>2924</v>
      </c>
      <c r="C29" s="2951"/>
      <c r="D29" s="2951">
        <v>29460</v>
      </c>
      <c r="E29" s="2951">
        <v>28640</v>
      </c>
      <c r="F29" s="2951"/>
      <c r="G29" s="2951">
        <v>21430</v>
      </c>
      <c r="L29" s="2940" t="s">
        <v>2958</v>
      </c>
      <c r="M29" s="2940" t="s">
        <v>2959</v>
      </c>
      <c r="N29" s="2940" t="s">
        <v>2960</v>
      </c>
      <c r="O29" s="2940" t="s">
        <v>2961</v>
      </c>
      <c r="P29" s="2940" t="s">
        <v>2962</v>
      </c>
      <c r="Q29" s="2940" t="s">
        <v>2963</v>
      </c>
      <c r="R29" s="2940" t="s">
        <v>280</v>
      </c>
    </row>
    <row r="30" spans="1:19" ht="14.25" customHeight="1">
      <c r="A30" s="2945" t="s">
        <v>296</v>
      </c>
      <c r="B30" s="2936" t="s">
        <v>2857</v>
      </c>
      <c r="C30" s="2936">
        <v>26890</v>
      </c>
      <c r="D30" s="2936">
        <v>26770</v>
      </c>
      <c r="E30" s="2936">
        <v>25700</v>
      </c>
      <c r="F30" s="2936">
        <v>8180</v>
      </c>
      <c r="G30" s="2952">
        <v>18740</v>
      </c>
      <c r="L30" s="2940" t="s">
        <v>2964</v>
      </c>
      <c r="M30" s="2940" t="s">
        <v>2965</v>
      </c>
      <c r="N30" s="2940" t="s">
        <v>2966</v>
      </c>
      <c r="O30" s="2940" t="s">
        <v>2967</v>
      </c>
      <c r="P30" s="2940" t="s">
        <v>2968</v>
      </c>
      <c r="Q30" s="2940" t="s">
        <v>2969</v>
      </c>
      <c r="R30" s="2940" t="s">
        <v>2970</v>
      </c>
    </row>
    <row r="31" spans="1:19" ht="14.25" customHeight="1">
      <c r="A31" s="2940" t="s">
        <v>296</v>
      </c>
      <c r="B31" s="2941" t="s">
        <v>129</v>
      </c>
      <c r="C31" s="2940">
        <v>24550</v>
      </c>
      <c r="D31" s="2940">
        <v>23990</v>
      </c>
      <c r="E31" s="2940">
        <v>22930</v>
      </c>
      <c r="F31" s="2940">
        <v>7470</v>
      </c>
      <c r="G31" s="2953">
        <v>16790</v>
      </c>
      <c r="L31" s="2940" t="s">
        <v>2971</v>
      </c>
      <c r="M31" s="2940" t="s">
        <v>2972</v>
      </c>
      <c r="N31" s="2940" t="s">
        <v>2973</v>
      </c>
      <c r="O31" s="2940" t="s">
        <v>2974</v>
      </c>
      <c r="P31" s="2940" t="s">
        <v>2975</v>
      </c>
      <c r="Q31" s="2940" t="s">
        <v>2976</v>
      </c>
      <c r="R31" s="2940" t="s">
        <v>2977</v>
      </c>
    </row>
    <row r="32" spans="1:19" ht="14.25" customHeight="1" thickBot="1">
      <c r="A32" s="2940" t="s">
        <v>296</v>
      </c>
      <c r="B32" s="2941" t="s">
        <v>138</v>
      </c>
      <c r="C32" s="2940">
        <v>27210</v>
      </c>
      <c r="D32" s="2940">
        <v>23240</v>
      </c>
      <c r="E32" s="2940">
        <v>23260</v>
      </c>
      <c r="F32" s="2940">
        <v>7130</v>
      </c>
      <c r="G32" s="2953">
        <v>16270</v>
      </c>
      <c r="L32" s="2940" t="s">
        <v>2978</v>
      </c>
      <c r="M32" s="2940" t="s">
        <v>2979</v>
      </c>
      <c r="N32" s="2940" t="s">
        <v>300</v>
      </c>
      <c r="O32" s="2940" t="s">
        <v>2980</v>
      </c>
      <c r="P32" s="2940" t="s">
        <v>299</v>
      </c>
      <c r="Q32" s="2940" t="s">
        <v>2981</v>
      </c>
      <c r="R32" s="2947" t="s">
        <v>2982</v>
      </c>
    </row>
    <row r="33" spans="1:17" ht="14.25" customHeight="1" thickBot="1">
      <c r="A33" s="2940" t="s">
        <v>296</v>
      </c>
      <c r="B33" s="2941" t="s">
        <v>147</v>
      </c>
      <c r="C33" s="2940">
        <v>27300</v>
      </c>
      <c r="D33" s="2940">
        <v>22980</v>
      </c>
      <c r="E33" s="2940">
        <v>24260</v>
      </c>
      <c r="F33" s="2940">
        <v>5860</v>
      </c>
      <c r="G33" s="2953">
        <v>16090</v>
      </c>
      <c r="L33" s="2947" t="s">
        <v>2983</v>
      </c>
      <c r="M33" s="2940" t="s">
        <v>2984</v>
      </c>
      <c r="N33" s="2940" t="s">
        <v>301</v>
      </c>
      <c r="O33" s="2940" t="s">
        <v>2985</v>
      </c>
      <c r="P33" s="2940" t="s">
        <v>2986</v>
      </c>
      <c r="Q33" s="2940" t="s">
        <v>2987</v>
      </c>
    </row>
    <row r="34" spans="1:17" ht="14.25" customHeight="1">
      <c r="A34" s="2940" t="s">
        <v>296</v>
      </c>
      <c r="B34" s="2941" t="s">
        <v>156</v>
      </c>
      <c r="C34" s="2940">
        <v>23090</v>
      </c>
      <c r="D34" s="2940">
        <v>23390</v>
      </c>
      <c r="E34" s="2940">
        <v>23510</v>
      </c>
      <c r="F34" s="2940">
        <v>6700</v>
      </c>
      <c r="G34" s="2953">
        <v>16370</v>
      </c>
      <c r="M34" s="2940" t="s">
        <v>2988</v>
      </c>
      <c r="N34" s="2940" t="s">
        <v>302</v>
      </c>
      <c r="O34" s="2940" t="s">
        <v>2989</v>
      </c>
      <c r="P34" s="2940" t="s">
        <v>2990</v>
      </c>
      <c r="Q34" s="2940" t="s">
        <v>2991</v>
      </c>
    </row>
    <row r="35" spans="1:17" ht="14.25" customHeight="1">
      <c r="A35" s="2940" t="s">
        <v>296</v>
      </c>
      <c r="B35" s="2941" t="s">
        <v>163</v>
      </c>
      <c r="C35" s="2940">
        <v>27270</v>
      </c>
      <c r="D35" s="2940">
        <v>24270</v>
      </c>
      <c r="E35" s="2940">
        <v>24950</v>
      </c>
      <c r="F35" s="2940">
        <v>6600</v>
      </c>
      <c r="G35" s="2953">
        <v>16990</v>
      </c>
      <c r="M35" s="2940" t="s">
        <v>2992</v>
      </c>
      <c r="N35" s="2940" t="s">
        <v>2993</v>
      </c>
      <c r="O35" s="2940" t="s">
        <v>2994</v>
      </c>
      <c r="P35" s="2940" t="s">
        <v>2995</v>
      </c>
      <c r="Q35" s="2940" t="s">
        <v>2996</v>
      </c>
    </row>
    <row r="36" spans="1:17" ht="14.25" customHeight="1">
      <c r="A36" s="2940" t="s">
        <v>296</v>
      </c>
      <c r="B36" s="2941" t="s">
        <v>169</v>
      </c>
      <c r="C36" s="2940">
        <v>23490</v>
      </c>
      <c r="D36" s="2940">
        <v>23020</v>
      </c>
      <c r="E36" s="2940">
        <v>25230</v>
      </c>
      <c r="F36" s="2940">
        <v>6780</v>
      </c>
      <c r="G36" s="2953">
        <v>16120</v>
      </c>
      <c r="M36" s="2940" t="s">
        <v>2997</v>
      </c>
      <c r="N36" s="2940" t="s">
        <v>2998</v>
      </c>
      <c r="O36" s="2940" t="s">
        <v>2999</v>
      </c>
      <c r="P36" s="2940" t="s">
        <v>3000</v>
      </c>
      <c r="Q36" s="2940" t="s">
        <v>3001</v>
      </c>
    </row>
    <row r="37" spans="1:17" ht="14.25" customHeight="1">
      <c r="A37" s="2940" t="s">
        <v>296</v>
      </c>
      <c r="B37" s="2941" t="s">
        <v>176</v>
      </c>
      <c r="C37" s="2940">
        <v>24380</v>
      </c>
      <c r="D37" s="2940">
        <v>22240</v>
      </c>
      <c r="E37" s="2940">
        <v>25980</v>
      </c>
      <c r="F37" s="2940">
        <v>8160</v>
      </c>
      <c r="G37" s="2953">
        <v>15570</v>
      </c>
      <c r="M37" s="2940" t="s">
        <v>3002</v>
      </c>
      <c r="N37" s="2940" t="s">
        <v>3003</v>
      </c>
      <c r="O37" s="2940" t="s">
        <v>3004</v>
      </c>
      <c r="P37" s="2940" t="s">
        <v>3005</v>
      </c>
      <c r="Q37" s="2940" t="s">
        <v>3006</v>
      </c>
    </row>
    <row r="38" spans="1:17" ht="14.25" customHeight="1">
      <c r="A38" s="2940" t="s">
        <v>296</v>
      </c>
      <c r="B38" s="2941" t="s">
        <v>186</v>
      </c>
      <c r="C38" s="2940">
        <v>23120</v>
      </c>
      <c r="D38" s="2940">
        <v>24630</v>
      </c>
      <c r="E38" s="2940">
        <v>25030</v>
      </c>
      <c r="F38" s="2940">
        <v>7710</v>
      </c>
      <c r="G38" s="2953">
        <v>17240</v>
      </c>
      <c r="M38" s="2940" t="s">
        <v>3007</v>
      </c>
      <c r="N38" s="2940" t="s">
        <v>3008</v>
      </c>
      <c r="O38" s="2940" t="s">
        <v>3009</v>
      </c>
      <c r="P38" s="2940" t="s">
        <v>3010</v>
      </c>
      <c r="Q38" s="2940" t="s">
        <v>3011</v>
      </c>
    </row>
    <row r="39" spans="1:17" ht="14.25" customHeight="1">
      <c r="A39" s="2940" t="s">
        <v>296</v>
      </c>
      <c r="B39" s="2941" t="s">
        <v>195</v>
      </c>
      <c r="C39" s="2940">
        <v>22330</v>
      </c>
      <c r="D39" s="2940">
        <v>21140</v>
      </c>
      <c r="E39" s="2940">
        <v>23970</v>
      </c>
      <c r="F39" s="2940">
        <v>7940</v>
      </c>
      <c r="G39" s="2953">
        <v>14790</v>
      </c>
      <c r="M39" s="2940" t="s">
        <v>3012</v>
      </c>
      <c r="N39" s="2940" t="s">
        <v>3013</v>
      </c>
      <c r="O39" s="2940" t="s">
        <v>3014</v>
      </c>
      <c r="P39" s="2940" t="s">
        <v>3015</v>
      </c>
      <c r="Q39" s="2940" t="s">
        <v>3016</v>
      </c>
    </row>
    <row r="40" spans="1:17" ht="14.25" customHeight="1">
      <c r="A40" s="2940" t="s">
        <v>296</v>
      </c>
      <c r="B40" s="2941" t="s">
        <v>202</v>
      </c>
      <c r="C40" s="2940">
        <v>24740</v>
      </c>
      <c r="D40" s="2940">
        <v>24690</v>
      </c>
      <c r="E40" s="2940">
        <v>22610</v>
      </c>
      <c r="F40" s="2940"/>
      <c r="G40" s="2953">
        <v>17280</v>
      </c>
      <c r="M40" s="2940" t="s">
        <v>3017</v>
      </c>
      <c r="N40" s="2940" t="s">
        <v>3018</v>
      </c>
      <c r="O40" s="2940" t="s">
        <v>3019</v>
      </c>
      <c r="P40" s="2940" t="s">
        <v>3020</v>
      </c>
      <c r="Q40" s="2940" t="s">
        <v>3021</v>
      </c>
    </row>
    <row r="41" spans="1:17" ht="14.25" customHeight="1" thickBot="1">
      <c r="A41" s="2940" t="s">
        <v>296</v>
      </c>
      <c r="B41" s="2941" t="s">
        <v>209</v>
      </c>
      <c r="C41" s="2940">
        <v>21220</v>
      </c>
      <c r="D41" s="2940">
        <v>21120</v>
      </c>
      <c r="E41" s="2940">
        <v>22590</v>
      </c>
      <c r="F41" s="2940"/>
      <c r="G41" s="2953">
        <v>14780</v>
      </c>
      <c r="M41" s="2947" t="s">
        <v>3022</v>
      </c>
      <c r="N41" s="2940" t="s">
        <v>3023</v>
      </c>
      <c r="O41" s="2940" t="s">
        <v>3024</v>
      </c>
      <c r="P41" s="2940" t="s">
        <v>3025</v>
      </c>
      <c r="Q41" s="2940" t="s">
        <v>3026</v>
      </c>
    </row>
    <row r="42" spans="1:17" ht="14.25" customHeight="1">
      <c r="A42" s="2940" t="s">
        <v>296</v>
      </c>
      <c r="B42" s="2941" t="s">
        <v>215</v>
      </c>
      <c r="C42" s="2940">
        <v>24800</v>
      </c>
      <c r="D42" s="2940">
        <v>22280</v>
      </c>
      <c r="E42" s="2940">
        <v>24350</v>
      </c>
      <c r="F42" s="2940"/>
      <c r="G42" s="2953">
        <v>15590</v>
      </c>
      <c r="N42" s="2940" t="s">
        <v>3027</v>
      </c>
      <c r="O42" s="2940" t="s">
        <v>3028</v>
      </c>
      <c r="P42" s="2940" t="s">
        <v>3029</v>
      </c>
      <c r="Q42" s="2940" t="s">
        <v>3030</v>
      </c>
    </row>
    <row r="43" spans="1:17" ht="14.25" customHeight="1">
      <c r="A43" s="2940" t="s">
        <v>3031</v>
      </c>
      <c r="B43" s="2941" t="s">
        <v>223</v>
      </c>
      <c r="C43" s="2940">
        <v>21210</v>
      </c>
      <c r="D43" s="2940">
        <v>21160</v>
      </c>
      <c r="E43" s="2940">
        <v>22650</v>
      </c>
      <c r="F43" s="2940"/>
      <c r="G43" s="2953">
        <v>14800</v>
      </c>
      <c r="N43" s="2940" t="s">
        <v>3032</v>
      </c>
      <c r="O43" s="2940" t="s">
        <v>3033</v>
      </c>
      <c r="P43" s="2940" t="s">
        <v>3034</v>
      </c>
      <c r="Q43" s="2940" t="s">
        <v>3035</v>
      </c>
    </row>
    <row r="44" spans="1:17" ht="14.25" customHeight="1" thickBot="1">
      <c r="A44" s="2940" t="s">
        <v>296</v>
      </c>
      <c r="B44" s="2941" t="s">
        <v>231</v>
      </c>
      <c r="C44" s="2940">
        <v>22370</v>
      </c>
      <c r="D44" s="2940">
        <v>23140</v>
      </c>
      <c r="E44" s="2940">
        <v>25090</v>
      </c>
      <c r="F44" s="2940"/>
      <c r="G44" s="2953">
        <v>16190</v>
      </c>
      <c r="N44" s="2940" t="s">
        <v>3036</v>
      </c>
      <c r="O44" s="2940" t="s">
        <v>3037</v>
      </c>
      <c r="P44" s="2947" t="s">
        <v>3038</v>
      </c>
      <c r="Q44" s="2940" t="s">
        <v>3039</v>
      </c>
    </row>
    <row r="45" spans="1:17" ht="14.25" customHeight="1" thickBot="1">
      <c r="A45" s="2940" t="s">
        <v>296</v>
      </c>
      <c r="B45" s="2941" t="s">
        <v>236</v>
      </c>
      <c r="C45" s="2940">
        <v>21240</v>
      </c>
      <c r="D45" s="2940">
        <v>27050</v>
      </c>
      <c r="E45" s="2940">
        <v>28000</v>
      </c>
      <c r="F45" s="2940"/>
      <c r="G45" s="2953">
        <v>18940</v>
      </c>
      <c r="N45" s="2940" t="s">
        <v>3040</v>
      </c>
      <c r="O45" s="2947" t="s">
        <v>3041</v>
      </c>
      <c r="Q45" s="2940" t="s">
        <v>3042</v>
      </c>
    </row>
    <row r="46" spans="1:17" ht="14.25" customHeight="1">
      <c r="A46" s="2940" t="s">
        <v>296</v>
      </c>
      <c r="B46" s="2941" t="s">
        <v>245</v>
      </c>
      <c r="C46" s="2940">
        <v>23240</v>
      </c>
      <c r="D46" s="2940">
        <v>23000</v>
      </c>
      <c r="E46" s="2940">
        <v>24980</v>
      </c>
      <c r="F46" s="2940"/>
      <c r="G46" s="2953">
        <v>16100</v>
      </c>
      <c r="N46" s="2940" t="s">
        <v>3043</v>
      </c>
      <c r="Q46" s="2940" t="s">
        <v>3044</v>
      </c>
    </row>
    <row r="47" spans="1:17" ht="14.25" customHeight="1">
      <c r="A47" s="2940" t="s">
        <v>296</v>
      </c>
      <c r="B47" s="2941" t="s">
        <v>252</v>
      </c>
      <c r="C47" s="2940">
        <v>27150</v>
      </c>
      <c r="D47" s="2940">
        <v>23310</v>
      </c>
      <c r="E47" s="2940">
        <v>25150</v>
      </c>
      <c r="F47" s="2940"/>
      <c r="G47" s="2953">
        <v>16310</v>
      </c>
      <c r="N47" s="2940" t="s">
        <v>3045</v>
      </c>
      <c r="Q47" s="2940" t="s">
        <v>3046</v>
      </c>
    </row>
    <row r="48" spans="1:17" ht="14.25" customHeight="1">
      <c r="A48" s="2940" t="s">
        <v>296</v>
      </c>
      <c r="B48" s="2941" t="s">
        <v>260</v>
      </c>
      <c r="C48" s="2940">
        <v>23100</v>
      </c>
      <c r="D48" s="2940">
        <v>21110</v>
      </c>
      <c r="E48" s="2940">
        <v>23080</v>
      </c>
      <c r="F48" s="2940"/>
      <c r="G48" s="2953">
        <v>14780</v>
      </c>
      <c r="N48" s="2940" t="s">
        <v>3047</v>
      </c>
      <c r="Q48" s="2940" t="s">
        <v>3048</v>
      </c>
    </row>
    <row r="49" spans="1:17" ht="14.25" customHeight="1">
      <c r="A49" s="2940" t="s">
        <v>296</v>
      </c>
      <c r="B49" s="2941" t="s">
        <v>267</v>
      </c>
      <c r="C49" s="2940">
        <v>23400</v>
      </c>
      <c r="D49" s="2940">
        <v>22920</v>
      </c>
      <c r="E49" s="2940">
        <v>24900</v>
      </c>
      <c r="F49" s="2940"/>
      <c r="G49" s="2953">
        <v>16040</v>
      </c>
      <c r="N49" s="2940" t="s">
        <v>3049</v>
      </c>
      <c r="Q49" s="2940" t="s">
        <v>3050</v>
      </c>
    </row>
    <row r="50" spans="1:17" ht="14.25" customHeight="1">
      <c r="A50" s="2940" t="s">
        <v>296</v>
      </c>
      <c r="B50" s="2941" t="s">
        <v>2927</v>
      </c>
      <c r="C50" s="2940">
        <v>21200</v>
      </c>
      <c r="D50" s="2940">
        <v>26540</v>
      </c>
      <c r="E50" s="2940">
        <v>23200</v>
      </c>
      <c r="F50" s="2940"/>
      <c r="G50" s="2953">
        <v>18580</v>
      </c>
      <c r="N50" s="2940" t="s">
        <v>3051</v>
      </c>
      <c r="Q50" s="2941" t="s">
        <v>3052</v>
      </c>
    </row>
    <row r="51" spans="1:17" ht="14.25" customHeight="1" thickBot="1">
      <c r="A51" s="2940" t="s">
        <v>296</v>
      </c>
      <c r="B51" s="2941" t="s">
        <v>2929</v>
      </c>
      <c r="C51" s="2940">
        <v>23000</v>
      </c>
      <c r="D51" s="2940">
        <v>23460</v>
      </c>
      <c r="E51" s="2940">
        <v>25290</v>
      </c>
      <c r="F51" s="2940"/>
      <c r="G51" s="2953">
        <v>16420</v>
      </c>
      <c r="N51" s="2940" t="s">
        <v>3053</v>
      </c>
      <c r="Q51" s="2947" t="s">
        <v>3054</v>
      </c>
    </row>
    <row r="52" spans="1:17" ht="14.25" customHeight="1">
      <c r="A52" s="2940" t="s">
        <v>296</v>
      </c>
      <c r="B52" s="2941" t="s">
        <v>2933</v>
      </c>
      <c r="C52" s="2940">
        <v>26660</v>
      </c>
      <c r="D52" s="2940">
        <v>22350</v>
      </c>
      <c r="E52" s="2940">
        <v>22920</v>
      </c>
      <c r="F52" s="2940"/>
      <c r="G52" s="2953">
        <v>15640</v>
      </c>
      <c r="N52" s="2940" t="s">
        <v>3055</v>
      </c>
    </row>
    <row r="53" spans="1:17" ht="14.25" customHeight="1">
      <c r="A53" s="2940" t="s">
        <v>296</v>
      </c>
      <c r="B53" s="2941" t="s">
        <v>2938</v>
      </c>
      <c r="C53" s="2940">
        <v>23580</v>
      </c>
      <c r="D53" s="2940"/>
      <c r="E53" s="2940">
        <v>24280</v>
      </c>
      <c r="F53" s="2940"/>
      <c r="G53" s="2953"/>
      <c r="N53" s="2940" t="s">
        <v>3056</v>
      </c>
    </row>
    <row r="54" spans="1:17" ht="14.25" customHeight="1" thickBot="1">
      <c r="A54" s="2954" t="s">
        <v>296</v>
      </c>
      <c r="B54" s="2946" t="s">
        <v>2941</v>
      </c>
      <c r="C54" s="2947">
        <v>22460</v>
      </c>
      <c r="D54" s="2947"/>
      <c r="E54" s="2947"/>
      <c r="F54" s="2947"/>
      <c r="G54" s="2955"/>
      <c r="N54" s="2940" t="s">
        <v>3057</v>
      </c>
    </row>
    <row r="55" spans="1:17" ht="14.25" customHeight="1">
      <c r="A55" s="2945" t="s">
        <v>110</v>
      </c>
      <c r="B55" s="2936" t="s">
        <v>3058</v>
      </c>
      <c r="C55" s="2940">
        <v>21970</v>
      </c>
      <c r="D55" s="2940">
        <v>20370</v>
      </c>
      <c r="E55" s="2940">
        <v>20180</v>
      </c>
      <c r="F55" s="2940">
        <v>5730</v>
      </c>
      <c r="G55" s="2940">
        <v>13820</v>
      </c>
      <c r="N55" s="2940" t="s">
        <v>3059</v>
      </c>
    </row>
    <row r="56" spans="1:17" ht="14.25" customHeight="1">
      <c r="A56" s="2940" t="s">
        <v>110</v>
      </c>
      <c r="B56" s="2940" t="s">
        <v>130</v>
      </c>
      <c r="C56" s="2940">
        <v>20470</v>
      </c>
      <c r="D56" s="2940">
        <v>20700</v>
      </c>
      <c r="E56" s="2940">
        <v>20380</v>
      </c>
      <c r="F56" s="2940">
        <v>4760</v>
      </c>
      <c r="G56" s="2940">
        <v>14050</v>
      </c>
      <c r="N56" s="2940" t="s">
        <v>3060</v>
      </c>
    </row>
    <row r="57" spans="1:17" ht="14.25" customHeight="1">
      <c r="A57" s="2940" t="s">
        <v>110</v>
      </c>
      <c r="B57" s="2940" t="s">
        <v>139</v>
      </c>
      <c r="C57" s="2940">
        <v>20790</v>
      </c>
      <c r="D57" s="2940">
        <v>21370</v>
      </c>
      <c r="E57" s="2940">
        <v>20890</v>
      </c>
      <c r="F57" s="2940">
        <v>4910</v>
      </c>
      <c r="G57" s="2940">
        <v>14510</v>
      </c>
      <c r="N57" s="2940" t="s">
        <v>3061</v>
      </c>
    </row>
    <row r="58" spans="1:17" ht="14.25" customHeight="1">
      <c r="A58" s="2940" t="s">
        <v>110</v>
      </c>
      <c r="B58" s="2940" t="s">
        <v>148</v>
      </c>
      <c r="C58" s="2940">
        <v>21460</v>
      </c>
      <c r="D58" s="2940">
        <v>20920</v>
      </c>
      <c r="E58" s="2940">
        <v>23410</v>
      </c>
      <c r="F58" s="2940">
        <v>5100</v>
      </c>
      <c r="G58" s="2940">
        <v>14200</v>
      </c>
      <c r="N58" s="2940" t="s">
        <v>3062</v>
      </c>
    </row>
    <row r="59" spans="1:17" ht="14.25" customHeight="1">
      <c r="A59" s="2940" t="s">
        <v>110</v>
      </c>
      <c r="B59" s="2940" t="s">
        <v>157</v>
      </c>
      <c r="C59" s="2940">
        <v>21000</v>
      </c>
      <c r="D59" s="2940">
        <v>21550</v>
      </c>
      <c r="E59" s="2940">
        <v>21150</v>
      </c>
      <c r="F59" s="2940">
        <v>5250</v>
      </c>
      <c r="G59" s="2940">
        <v>14630</v>
      </c>
      <c r="N59" s="2940" t="s">
        <v>3063</v>
      </c>
    </row>
    <row r="60" spans="1:17" ht="14.25" customHeight="1">
      <c r="A60" s="2940" t="s">
        <v>110</v>
      </c>
      <c r="B60" s="2940" t="s">
        <v>164</v>
      </c>
      <c r="C60" s="2940">
        <v>21640</v>
      </c>
      <c r="D60" s="2940">
        <v>21260</v>
      </c>
      <c r="E60" s="2940">
        <v>24040</v>
      </c>
      <c r="F60" s="2940">
        <v>4470</v>
      </c>
      <c r="G60" s="2940">
        <v>14430</v>
      </c>
      <c r="N60" s="2940" t="s">
        <v>3064</v>
      </c>
    </row>
    <row r="61" spans="1:17" ht="14.25" customHeight="1">
      <c r="A61" s="2940" t="s">
        <v>110</v>
      </c>
      <c r="B61" s="2940" t="s">
        <v>170</v>
      </c>
      <c r="C61" s="2940">
        <v>21330</v>
      </c>
      <c r="D61" s="2940">
        <v>18640</v>
      </c>
      <c r="E61" s="2940">
        <v>21190</v>
      </c>
      <c r="F61" s="2940">
        <v>4180</v>
      </c>
      <c r="G61" s="2940">
        <v>12650</v>
      </c>
      <c r="N61" s="2940" t="s">
        <v>3065</v>
      </c>
    </row>
    <row r="62" spans="1:17" ht="14.25" customHeight="1">
      <c r="A62" s="2940" t="s">
        <v>110</v>
      </c>
      <c r="B62" s="2940" t="s">
        <v>177</v>
      </c>
      <c r="C62" s="2940">
        <v>18710</v>
      </c>
      <c r="D62" s="2940">
        <v>19400</v>
      </c>
      <c r="E62" s="2940">
        <v>23750</v>
      </c>
      <c r="F62" s="2940">
        <v>4860</v>
      </c>
      <c r="G62" s="2940">
        <v>13170</v>
      </c>
      <c r="N62" s="2940" t="s">
        <v>3066</v>
      </c>
    </row>
    <row r="63" spans="1:17" ht="14.25" customHeight="1">
      <c r="A63" s="2940" t="s">
        <v>110</v>
      </c>
      <c r="B63" s="2940" t="s">
        <v>187</v>
      </c>
      <c r="C63" s="2940">
        <v>19480</v>
      </c>
      <c r="D63" s="2940">
        <v>16830</v>
      </c>
      <c r="E63" s="2940">
        <v>21590</v>
      </c>
      <c r="F63" s="2940">
        <v>4560</v>
      </c>
      <c r="G63" s="2940">
        <v>11420</v>
      </c>
      <c r="N63" s="2940" t="s">
        <v>3067</v>
      </c>
    </row>
    <row r="64" spans="1:17" ht="14.25" customHeight="1" thickBot="1">
      <c r="A64" s="2940" t="s">
        <v>110</v>
      </c>
      <c r="B64" s="2940" t="s">
        <v>196</v>
      </c>
      <c r="C64" s="2940">
        <v>16920</v>
      </c>
      <c r="D64" s="2940">
        <v>19190</v>
      </c>
      <c r="E64" s="2940">
        <v>22200</v>
      </c>
      <c r="F64" s="2940">
        <v>4390</v>
      </c>
      <c r="G64" s="2940">
        <v>13030</v>
      </c>
      <c r="N64" s="2947" t="s">
        <v>3068</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2939</v>
      </c>
      <c r="C78" s="2940">
        <v>19820</v>
      </c>
      <c r="D78" s="2940">
        <v>19780</v>
      </c>
      <c r="E78" s="2940">
        <v>18560</v>
      </c>
      <c r="F78" s="2940"/>
      <c r="G78" s="2940">
        <v>13430</v>
      </c>
    </row>
    <row r="79" spans="1:7" s="2774" customFormat="1" ht="14.25" customHeight="1">
      <c r="A79" s="2940" t="s">
        <v>110</v>
      </c>
      <c r="B79" s="2940" t="s">
        <v>2942</v>
      </c>
      <c r="C79" s="2940">
        <v>21660</v>
      </c>
      <c r="D79" s="2940">
        <v>18000</v>
      </c>
      <c r="E79" s="2940">
        <v>22570</v>
      </c>
      <c r="F79" s="2940"/>
      <c r="G79" s="2940">
        <v>12220</v>
      </c>
    </row>
    <row r="80" spans="1:7" s="2774" customFormat="1" ht="14.25" customHeight="1">
      <c r="A80" s="2940" t="s">
        <v>110</v>
      </c>
      <c r="B80" s="2940" t="s">
        <v>2946</v>
      </c>
      <c r="C80" s="2940">
        <v>19850</v>
      </c>
      <c r="D80" s="2940"/>
      <c r="E80" s="2940">
        <v>21700</v>
      </c>
      <c r="F80" s="2940"/>
      <c r="G80" s="2940"/>
    </row>
    <row r="81" spans="1:7" s="2774" customFormat="1" ht="14.25" customHeight="1">
      <c r="A81" s="2940" t="s">
        <v>110</v>
      </c>
      <c r="B81" s="2940" t="s">
        <v>2951</v>
      </c>
      <c r="C81" s="2940">
        <v>18080</v>
      </c>
      <c r="D81" s="2940"/>
      <c r="E81" s="2940">
        <v>20900</v>
      </c>
      <c r="F81" s="2940"/>
      <c r="G81" s="2940"/>
    </row>
    <row r="82" spans="1:7" s="2774" customFormat="1" ht="14.25" customHeight="1">
      <c r="A82" s="2940" t="s">
        <v>110</v>
      </c>
      <c r="B82" s="2940" t="s">
        <v>2958</v>
      </c>
      <c r="C82" s="2940"/>
      <c r="D82" s="2940"/>
      <c r="E82" s="2940">
        <v>20840</v>
      </c>
      <c r="F82" s="2940"/>
      <c r="G82" s="2940"/>
    </row>
    <row r="83" spans="1:7" s="2774" customFormat="1" ht="14.25" customHeight="1">
      <c r="A83" s="2940" t="s">
        <v>110</v>
      </c>
      <c r="B83" s="2940" t="s">
        <v>3069</v>
      </c>
      <c r="C83" s="2940"/>
      <c r="D83" s="2940"/>
      <c r="E83" s="2940"/>
      <c r="F83" s="2940">
        <v>4770</v>
      </c>
      <c r="G83" s="2940"/>
    </row>
    <row r="84" spans="1:7" s="2774" customFormat="1" ht="14.25" customHeight="1">
      <c r="A84" s="2940" t="s">
        <v>110</v>
      </c>
      <c r="B84" s="2940" t="s">
        <v>3070</v>
      </c>
      <c r="C84" s="2940"/>
      <c r="D84" s="2940"/>
      <c r="E84" s="2940"/>
      <c r="F84" s="2940">
        <v>4600</v>
      </c>
      <c r="G84" s="2940"/>
    </row>
    <row r="85" spans="1:7" s="2774" customFormat="1" ht="14.25" customHeight="1">
      <c r="A85" s="2940" t="s">
        <v>110</v>
      </c>
      <c r="B85" s="2940" t="s">
        <v>3071</v>
      </c>
      <c r="C85" s="2940"/>
      <c r="D85" s="2940"/>
      <c r="E85" s="2940"/>
      <c r="F85" s="2940">
        <v>4680</v>
      </c>
      <c r="G85" s="2940"/>
    </row>
    <row r="86" spans="1:7" s="2774" customFormat="1" ht="14.25" customHeight="1" thickBot="1">
      <c r="A86" s="2948" t="s">
        <v>110</v>
      </c>
      <c r="B86" s="2950" t="s">
        <v>3072</v>
      </c>
      <c r="C86" s="2951">
        <v>16610</v>
      </c>
      <c r="D86" s="2951">
        <v>16540</v>
      </c>
      <c r="E86" s="2951">
        <v>18850</v>
      </c>
      <c r="F86" s="2951"/>
      <c r="G86" s="2951">
        <v>11220</v>
      </c>
    </row>
    <row r="87" spans="1:7" s="2774" customFormat="1" ht="14.25" customHeight="1">
      <c r="A87" s="2945" t="s">
        <v>303</v>
      </c>
      <c r="B87" s="2936" t="s">
        <v>3073</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2952</v>
      </c>
      <c r="C113" s="2940">
        <v>15520</v>
      </c>
      <c r="D113" s="2940">
        <v>15450</v>
      </c>
      <c r="E113" s="2940"/>
      <c r="F113" s="2940"/>
      <c r="G113" s="2953">
        <v>10210</v>
      </c>
    </row>
    <row r="114" spans="1:7" s="2774" customFormat="1" ht="14.25" customHeight="1">
      <c r="A114" s="2940" t="s">
        <v>303</v>
      </c>
      <c r="B114" s="2940" t="s">
        <v>2959</v>
      </c>
      <c r="C114" s="2940">
        <v>13110</v>
      </c>
      <c r="D114" s="2940">
        <v>13050</v>
      </c>
      <c r="E114" s="2940"/>
      <c r="F114" s="2940"/>
      <c r="G114" s="2953">
        <v>8620</v>
      </c>
    </row>
    <row r="115" spans="1:7" s="2774" customFormat="1" ht="14.25" customHeight="1">
      <c r="A115" s="2940" t="s">
        <v>303</v>
      </c>
      <c r="B115" s="2940" t="s">
        <v>2965</v>
      </c>
      <c r="C115" s="2940">
        <v>12460</v>
      </c>
      <c r="D115" s="2940">
        <v>12390</v>
      </c>
      <c r="E115" s="2940"/>
      <c r="F115" s="2940"/>
      <c r="G115" s="2953">
        <v>8190</v>
      </c>
    </row>
    <row r="116" spans="1:7" s="2774" customFormat="1" ht="14.25" customHeight="1">
      <c r="A116" s="2940" t="s">
        <v>303</v>
      </c>
      <c r="B116" s="2940" t="s">
        <v>2972</v>
      </c>
      <c r="C116" s="2940">
        <v>13580</v>
      </c>
      <c r="D116" s="2940">
        <v>13520</v>
      </c>
      <c r="E116" s="2940"/>
      <c r="F116" s="2940"/>
      <c r="G116" s="2953">
        <v>8930</v>
      </c>
    </row>
    <row r="117" spans="1:7" s="2774" customFormat="1" ht="14.25" customHeight="1">
      <c r="A117" s="2940" t="s">
        <v>303</v>
      </c>
      <c r="B117" s="2940" t="s">
        <v>2979</v>
      </c>
      <c r="C117" s="2940">
        <v>17120</v>
      </c>
      <c r="D117" s="2940">
        <v>17040</v>
      </c>
      <c r="E117" s="2940"/>
      <c r="F117" s="2940"/>
      <c r="G117" s="2953">
        <v>11260</v>
      </c>
    </row>
    <row r="118" spans="1:7" s="2774" customFormat="1" ht="14.25" customHeight="1">
      <c r="A118" s="2940" t="s">
        <v>303</v>
      </c>
      <c r="B118" s="2940" t="s">
        <v>2984</v>
      </c>
      <c r="C118" s="2940">
        <v>14860</v>
      </c>
      <c r="D118" s="2940">
        <v>14790</v>
      </c>
      <c r="E118" s="2940"/>
      <c r="F118" s="2940"/>
      <c r="G118" s="2953">
        <v>9780</v>
      </c>
    </row>
    <row r="119" spans="1:7" s="2774" customFormat="1" ht="14.25" customHeight="1">
      <c r="A119" s="2940" t="s">
        <v>303</v>
      </c>
      <c r="B119" s="2940" t="s">
        <v>2988</v>
      </c>
      <c r="C119" s="2940">
        <v>16470</v>
      </c>
      <c r="D119" s="2940">
        <v>16400</v>
      </c>
      <c r="E119" s="2940"/>
      <c r="F119" s="2940"/>
      <c r="G119" s="2953">
        <v>10840</v>
      </c>
    </row>
    <row r="120" spans="1:7" s="2774" customFormat="1" ht="14.25" customHeight="1">
      <c r="A120" s="2940" t="s">
        <v>303</v>
      </c>
      <c r="B120" s="2940" t="s">
        <v>3074</v>
      </c>
      <c r="C120" s="2940"/>
      <c r="D120" s="2940"/>
      <c r="E120" s="2940"/>
      <c r="F120" s="2940">
        <v>4160</v>
      </c>
      <c r="G120" s="2953"/>
    </row>
    <row r="121" spans="1:7" s="2774" customFormat="1" ht="14.25" customHeight="1">
      <c r="A121" s="2940" t="s">
        <v>303</v>
      </c>
      <c r="B121" s="2940" t="s">
        <v>3075</v>
      </c>
      <c r="C121" s="2940"/>
      <c r="D121" s="2940"/>
      <c r="E121" s="2940"/>
      <c r="F121" s="2940">
        <v>3880</v>
      </c>
      <c r="G121" s="2953"/>
    </row>
    <row r="122" spans="1:7" s="2774" customFormat="1" ht="14.25" customHeight="1">
      <c r="A122" s="2940" t="s">
        <v>303</v>
      </c>
      <c r="B122" s="2940" t="s">
        <v>3076</v>
      </c>
      <c r="C122" s="2940">
        <v>13750</v>
      </c>
      <c r="D122" s="2940">
        <v>13680</v>
      </c>
      <c r="E122" s="2940">
        <v>16460</v>
      </c>
      <c r="F122" s="2940">
        <v>2880</v>
      </c>
      <c r="G122" s="2953">
        <v>9040</v>
      </c>
    </row>
    <row r="123" spans="1:7" s="2774" customFormat="1" ht="14.25" customHeight="1">
      <c r="A123" s="2940" t="s">
        <v>303</v>
      </c>
      <c r="B123" s="2940" t="s">
        <v>3007</v>
      </c>
      <c r="C123" s="2940">
        <v>13590</v>
      </c>
      <c r="D123" s="2940">
        <v>13520</v>
      </c>
      <c r="E123" s="2940">
        <v>16290</v>
      </c>
      <c r="F123" s="2940">
        <v>2790</v>
      </c>
      <c r="G123" s="2953">
        <v>8930</v>
      </c>
    </row>
    <row r="124" spans="1:7" s="2774" customFormat="1" ht="14.25" customHeight="1">
      <c r="A124" s="2940" t="s">
        <v>303</v>
      </c>
      <c r="B124" s="2940" t="s">
        <v>3012</v>
      </c>
      <c r="C124" s="2940">
        <v>13400</v>
      </c>
      <c r="D124" s="2940">
        <v>13320</v>
      </c>
      <c r="E124" s="2940">
        <v>16100</v>
      </c>
      <c r="F124" s="2940">
        <v>2320</v>
      </c>
      <c r="G124" s="2953">
        <v>8800</v>
      </c>
    </row>
    <row r="125" spans="1:7" s="2774" customFormat="1" ht="14.25" customHeight="1">
      <c r="A125" s="2940" t="s">
        <v>303</v>
      </c>
      <c r="B125" s="2940" t="s">
        <v>3017</v>
      </c>
      <c r="C125" s="2940">
        <v>12860</v>
      </c>
      <c r="D125" s="2940">
        <v>12790</v>
      </c>
      <c r="E125" s="2940">
        <v>15370</v>
      </c>
      <c r="F125" s="2940">
        <v>2280</v>
      </c>
      <c r="G125" s="2953">
        <v>8450</v>
      </c>
    </row>
    <row r="126" spans="1:7" s="2774" customFormat="1" ht="14.25" customHeight="1" thickBot="1">
      <c r="A126" s="2954" t="s">
        <v>303</v>
      </c>
      <c r="B126" s="2947" t="s">
        <v>3022</v>
      </c>
      <c r="C126" s="2947">
        <v>12960</v>
      </c>
      <c r="D126" s="2947">
        <v>12890</v>
      </c>
      <c r="E126" s="2947">
        <v>15530</v>
      </c>
      <c r="F126" s="2947">
        <v>2910</v>
      </c>
      <c r="G126" s="2955">
        <v>8520</v>
      </c>
    </row>
    <row r="127" spans="1:7" s="2774" customFormat="1" ht="14.25" customHeight="1">
      <c r="A127" s="2945" t="s">
        <v>29</v>
      </c>
      <c r="B127" s="2936" t="s">
        <v>3077</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3078</v>
      </c>
      <c r="C148" s="2940">
        <v>10370</v>
      </c>
      <c r="D148" s="2940">
        <v>10310</v>
      </c>
      <c r="E148" s="2940">
        <v>12970</v>
      </c>
      <c r="F148" s="2940"/>
      <c r="G148" s="2940">
        <v>6630</v>
      </c>
    </row>
    <row r="149" spans="1:7" s="2774" customFormat="1" ht="14.25" customHeight="1">
      <c r="A149" s="2940" t="s">
        <v>29</v>
      </c>
      <c r="B149" s="2940" t="s">
        <v>3079</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2953</v>
      </c>
      <c r="C153" s="2940">
        <v>10880</v>
      </c>
      <c r="D153" s="2940">
        <v>10820</v>
      </c>
      <c r="E153" s="2940">
        <v>13660</v>
      </c>
      <c r="F153" s="2940">
        <v>2260</v>
      </c>
      <c r="G153" s="2940">
        <v>6970</v>
      </c>
    </row>
    <row r="154" spans="1:7" s="2774" customFormat="1" ht="14.25" customHeight="1">
      <c r="A154" s="2940" t="s">
        <v>29</v>
      </c>
      <c r="B154" s="2940" t="s">
        <v>3080</v>
      </c>
      <c r="C154" s="2940">
        <v>11220</v>
      </c>
      <c r="D154" s="2940">
        <v>11160</v>
      </c>
      <c r="E154" s="2940">
        <v>14130</v>
      </c>
      <c r="F154" s="2940">
        <v>2230</v>
      </c>
      <c r="G154" s="2940">
        <v>7180</v>
      </c>
    </row>
    <row r="155" spans="1:7" s="2774" customFormat="1" ht="14.25" customHeight="1">
      <c r="A155" s="2940" t="s">
        <v>29</v>
      </c>
      <c r="B155" s="2940" t="s">
        <v>2966</v>
      </c>
      <c r="C155" s="2940">
        <v>10430</v>
      </c>
      <c r="D155" s="2940">
        <v>10380</v>
      </c>
      <c r="E155" s="2940">
        <v>13140</v>
      </c>
      <c r="F155" s="2940">
        <v>2080</v>
      </c>
      <c r="G155" s="2940">
        <v>6650</v>
      </c>
    </row>
    <row r="156" spans="1:7" s="2774" customFormat="1" ht="14.25" customHeight="1">
      <c r="A156" s="2940" t="s">
        <v>29</v>
      </c>
      <c r="B156" s="2940" t="s">
        <v>3081</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3082</v>
      </c>
      <c r="C160" s="2940">
        <v>11180</v>
      </c>
      <c r="D160" s="2940">
        <v>11140</v>
      </c>
      <c r="E160" s="2940">
        <v>14050</v>
      </c>
      <c r="F160" s="2940">
        <v>2270</v>
      </c>
      <c r="G160" s="2940">
        <v>7170</v>
      </c>
    </row>
    <row r="161" spans="1:7" s="2774" customFormat="1" ht="14.25" customHeight="1">
      <c r="A161" s="2940" t="s">
        <v>29</v>
      </c>
      <c r="B161" s="2940" t="s">
        <v>2998</v>
      </c>
      <c r="C161" s="2940">
        <v>11160</v>
      </c>
      <c r="D161" s="2940">
        <v>11120</v>
      </c>
      <c r="E161" s="2940">
        <v>14020</v>
      </c>
      <c r="F161" s="2940">
        <v>2150</v>
      </c>
      <c r="G161" s="2940">
        <v>7160</v>
      </c>
    </row>
    <row r="162" spans="1:7" s="2774" customFormat="1" ht="14.25" customHeight="1">
      <c r="A162" s="2940" t="s">
        <v>29</v>
      </c>
      <c r="B162" s="2940" t="s">
        <v>3003</v>
      </c>
      <c r="C162" s="2940">
        <v>9620</v>
      </c>
      <c r="D162" s="2940">
        <v>9570</v>
      </c>
      <c r="E162" s="2940">
        <v>12320</v>
      </c>
      <c r="F162" s="2940">
        <v>2010</v>
      </c>
      <c r="G162" s="2940">
        <v>6160</v>
      </c>
    </row>
    <row r="163" spans="1:7" s="2774" customFormat="1" ht="14.25" customHeight="1">
      <c r="A163" s="2940" t="s">
        <v>29</v>
      </c>
      <c r="B163" s="2940" t="s">
        <v>3008</v>
      </c>
      <c r="C163" s="2940">
        <v>9320</v>
      </c>
      <c r="D163" s="2940">
        <v>9270</v>
      </c>
      <c r="E163" s="2940">
        <v>11790</v>
      </c>
      <c r="F163" s="2940">
        <v>1920</v>
      </c>
      <c r="G163" s="2940">
        <v>5960</v>
      </c>
    </row>
    <row r="164" spans="1:7" s="2774" customFormat="1" ht="14.25" customHeight="1">
      <c r="A164" s="2940" t="s">
        <v>29</v>
      </c>
      <c r="B164" s="2940" t="s">
        <v>3013</v>
      </c>
      <c r="C164" s="2940"/>
      <c r="D164" s="2940"/>
      <c r="E164" s="2940"/>
      <c r="F164" s="2940">
        <v>1980</v>
      </c>
      <c r="G164" s="2940"/>
    </row>
    <row r="165" spans="1:7" s="2774" customFormat="1" ht="14.25" customHeight="1">
      <c r="A165" s="2940" t="s">
        <v>29</v>
      </c>
      <c r="B165" s="2940" t="s">
        <v>3083</v>
      </c>
      <c r="C165" s="2940">
        <v>11060</v>
      </c>
      <c r="D165" s="2940">
        <v>11030</v>
      </c>
      <c r="E165" s="2940">
        <v>13850</v>
      </c>
      <c r="F165" s="2940">
        <v>2170</v>
      </c>
      <c r="G165" s="2940">
        <v>7090</v>
      </c>
    </row>
    <row r="166" spans="1:7" s="2774" customFormat="1" ht="14.25" customHeight="1">
      <c r="A166" s="2940" t="s">
        <v>29</v>
      </c>
      <c r="B166" s="2940" t="s">
        <v>3023</v>
      </c>
      <c r="C166" s="2940">
        <v>11050</v>
      </c>
      <c r="D166" s="2940">
        <v>11010</v>
      </c>
      <c r="E166" s="2940">
        <v>13920</v>
      </c>
      <c r="F166" s="2940">
        <v>2140</v>
      </c>
      <c r="G166" s="2940">
        <v>7080</v>
      </c>
    </row>
    <row r="167" spans="1:7" s="2774" customFormat="1" ht="14.25" customHeight="1">
      <c r="A167" s="2940" t="s">
        <v>29</v>
      </c>
      <c r="B167" s="2940" t="s">
        <v>3027</v>
      </c>
      <c r="C167" s="2940">
        <v>10930</v>
      </c>
      <c r="D167" s="2940">
        <v>10890</v>
      </c>
      <c r="E167" s="2940">
        <v>13790</v>
      </c>
      <c r="F167" s="2940">
        <v>2010</v>
      </c>
      <c r="G167" s="2940">
        <v>7000</v>
      </c>
    </row>
    <row r="168" spans="1:7" s="2774" customFormat="1" ht="14.25" customHeight="1">
      <c r="A168" s="2940" t="s">
        <v>29</v>
      </c>
      <c r="B168" s="2940" t="s">
        <v>3032</v>
      </c>
      <c r="C168" s="2940">
        <v>9420</v>
      </c>
      <c r="D168" s="2940">
        <v>9380</v>
      </c>
      <c r="E168" s="2940">
        <v>11970</v>
      </c>
      <c r="F168" s="2940"/>
      <c r="G168" s="2940">
        <v>6040</v>
      </c>
    </row>
    <row r="169" spans="1:7" s="2774" customFormat="1" ht="14.25" customHeight="1">
      <c r="A169" s="2940" t="s">
        <v>29</v>
      </c>
      <c r="B169" s="2940" t="s">
        <v>3084</v>
      </c>
      <c r="C169" s="2940"/>
      <c r="D169" s="2940"/>
      <c r="E169" s="2940"/>
      <c r="F169" s="2940">
        <v>2880</v>
      </c>
      <c r="G169" s="2940"/>
    </row>
    <row r="170" spans="1:7" s="2774" customFormat="1" ht="14.25" customHeight="1">
      <c r="A170" s="2940" t="s">
        <v>29</v>
      </c>
      <c r="B170" s="2940" t="s">
        <v>3040</v>
      </c>
      <c r="C170" s="2940"/>
      <c r="D170" s="2940"/>
      <c r="E170" s="2940"/>
      <c r="F170" s="2940">
        <v>2880</v>
      </c>
      <c r="G170" s="2940"/>
    </row>
    <row r="171" spans="1:7" s="2774" customFormat="1" ht="14.25" customHeight="1">
      <c r="A171" s="2940" t="s">
        <v>29</v>
      </c>
      <c r="B171" s="2940" t="s">
        <v>3043</v>
      </c>
      <c r="C171" s="2940"/>
      <c r="D171" s="2940"/>
      <c r="E171" s="2940"/>
      <c r="F171" s="2940">
        <v>2880</v>
      </c>
      <c r="G171" s="2940"/>
    </row>
    <row r="172" spans="1:7" s="2774" customFormat="1" ht="14.25" customHeight="1">
      <c r="A172" s="2940" t="s">
        <v>29</v>
      </c>
      <c r="B172" s="2940" t="s">
        <v>3045</v>
      </c>
      <c r="C172" s="2940"/>
      <c r="D172" s="2940"/>
      <c r="E172" s="2940"/>
      <c r="F172" s="2940">
        <v>2880</v>
      </c>
      <c r="G172" s="2940"/>
    </row>
    <row r="173" spans="1:7" s="2774" customFormat="1" ht="14.25" customHeight="1">
      <c r="A173" s="2940" t="s">
        <v>29</v>
      </c>
      <c r="B173" s="2940" t="s">
        <v>3047</v>
      </c>
      <c r="C173" s="2940"/>
      <c r="D173" s="2940"/>
      <c r="E173" s="2940"/>
      <c r="F173" s="2940">
        <v>2150</v>
      </c>
      <c r="G173" s="2940"/>
    </row>
    <row r="174" spans="1:7" s="2774" customFormat="1" ht="14.25" customHeight="1">
      <c r="A174" s="2940" t="s">
        <v>29</v>
      </c>
      <c r="B174" s="2940" t="s">
        <v>3049</v>
      </c>
      <c r="C174" s="2940"/>
      <c r="D174" s="2940"/>
      <c r="E174" s="2940"/>
      <c r="F174" s="2940">
        <v>2030</v>
      </c>
      <c r="G174" s="2940"/>
    </row>
    <row r="175" spans="1:7" s="2774" customFormat="1" ht="14.25" customHeight="1">
      <c r="A175" s="2940" t="s">
        <v>29</v>
      </c>
      <c r="B175" s="2940" t="s">
        <v>3051</v>
      </c>
      <c r="C175" s="2940"/>
      <c r="D175" s="2940"/>
      <c r="E175" s="2940"/>
      <c r="F175" s="2940">
        <v>2780</v>
      </c>
      <c r="G175" s="2940"/>
    </row>
    <row r="176" spans="1:7" s="2774" customFormat="1" ht="14.25" customHeight="1">
      <c r="A176" s="2940" t="s">
        <v>29</v>
      </c>
      <c r="B176" s="2940" t="s">
        <v>3053</v>
      </c>
      <c r="C176" s="2940"/>
      <c r="D176" s="2940"/>
      <c r="E176" s="2940"/>
      <c r="F176" s="2940">
        <v>2780</v>
      </c>
      <c r="G176" s="2940"/>
    </row>
    <row r="177" spans="1:7" s="2774" customFormat="1" ht="14.25" customHeight="1">
      <c r="A177" s="2940" t="s">
        <v>29</v>
      </c>
      <c r="B177" s="2940" t="s">
        <v>3085</v>
      </c>
      <c r="C177" s="2940"/>
      <c r="D177" s="2940"/>
      <c r="E177" s="2940"/>
      <c r="F177" s="2940">
        <v>2780</v>
      </c>
      <c r="G177" s="2940"/>
    </row>
    <row r="178" spans="1:7" s="2774" customFormat="1" ht="14.25" customHeight="1">
      <c r="A178" s="2940" t="s">
        <v>29</v>
      </c>
      <c r="B178" s="2940" t="s">
        <v>3086</v>
      </c>
      <c r="C178" s="2940"/>
      <c r="D178" s="2940"/>
      <c r="E178" s="2940"/>
      <c r="F178" s="2940">
        <v>2060</v>
      </c>
      <c r="G178" s="2940"/>
    </row>
    <row r="179" spans="1:7" s="2774" customFormat="1" ht="14.25" customHeight="1">
      <c r="A179" s="2940" t="s">
        <v>29</v>
      </c>
      <c r="B179" s="2940" t="s">
        <v>3087</v>
      </c>
      <c r="C179" s="2940"/>
      <c r="D179" s="2940"/>
      <c r="E179" s="2940"/>
      <c r="F179" s="2940">
        <v>2120</v>
      </c>
      <c r="G179" s="2940"/>
    </row>
    <row r="180" spans="1:7" s="2774" customFormat="1" ht="14.25" customHeight="1">
      <c r="A180" s="2940" t="s">
        <v>29</v>
      </c>
      <c r="B180" s="2940" t="s">
        <v>3059</v>
      </c>
      <c r="C180" s="2940"/>
      <c r="D180" s="2940"/>
      <c r="E180" s="2940"/>
      <c r="F180" s="2940">
        <v>2340</v>
      </c>
      <c r="G180" s="2940"/>
    </row>
    <row r="181" spans="1:7" s="2774" customFormat="1" ht="14.25" customHeight="1">
      <c r="A181" s="2940" t="s">
        <v>29</v>
      </c>
      <c r="B181" s="2940" t="s">
        <v>3060</v>
      </c>
      <c r="C181" s="2940"/>
      <c r="D181" s="2940"/>
      <c r="E181" s="2940"/>
      <c r="F181" s="2940">
        <v>2340</v>
      </c>
      <c r="G181" s="2940"/>
    </row>
    <row r="182" spans="1:7" s="2774" customFormat="1" ht="14.25" customHeight="1">
      <c r="A182" s="2940" t="s">
        <v>29</v>
      </c>
      <c r="B182" s="2940" t="s">
        <v>3061</v>
      </c>
      <c r="C182" s="2940"/>
      <c r="D182" s="2940"/>
      <c r="E182" s="2940"/>
      <c r="F182" s="2940">
        <v>2340</v>
      </c>
      <c r="G182" s="2940"/>
    </row>
    <row r="183" spans="1:7" s="2774" customFormat="1" ht="14.25" customHeight="1">
      <c r="A183" s="2940" t="s">
        <v>29</v>
      </c>
      <c r="B183" s="2940" t="s">
        <v>3062</v>
      </c>
      <c r="C183" s="2940"/>
      <c r="D183" s="2940"/>
      <c r="E183" s="2940"/>
      <c r="F183" s="2940">
        <v>2340</v>
      </c>
      <c r="G183" s="2940"/>
    </row>
    <row r="184" spans="1:7" s="2774" customFormat="1" ht="14.25" customHeight="1">
      <c r="A184" s="2940" t="s">
        <v>29</v>
      </c>
      <c r="B184" s="2940" t="s">
        <v>3063</v>
      </c>
      <c r="C184" s="2940"/>
      <c r="D184" s="2940"/>
      <c r="E184" s="2940"/>
      <c r="F184" s="2940">
        <v>2340</v>
      </c>
      <c r="G184" s="2940"/>
    </row>
    <row r="185" spans="1:7" s="2774" customFormat="1" ht="14.25" customHeight="1">
      <c r="A185" s="2940" t="s">
        <v>29</v>
      </c>
      <c r="B185" s="2940" t="s">
        <v>3064</v>
      </c>
      <c r="C185" s="2940"/>
      <c r="D185" s="2940"/>
      <c r="E185" s="2940"/>
      <c r="F185" s="2940">
        <v>2530</v>
      </c>
      <c r="G185" s="2940"/>
    </row>
    <row r="186" spans="1:7" s="2774" customFormat="1" ht="14.25" customHeight="1">
      <c r="A186" s="2940" t="s">
        <v>29</v>
      </c>
      <c r="B186" s="2940" t="s">
        <v>3065</v>
      </c>
      <c r="C186" s="2940"/>
      <c r="D186" s="2940"/>
      <c r="E186" s="2940"/>
      <c r="F186" s="2940">
        <v>2550</v>
      </c>
      <c r="G186" s="2940"/>
    </row>
    <row r="187" spans="1:7" s="2774" customFormat="1" ht="14.25" customHeight="1">
      <c r="A187" s="2940" t="s">
        <v>29</v>
      </c>
      <c r="B187" s="2940" t="s">
        <v>3066</v>
      </c>
      <c r="C187" s="2940"/>
      <c r="D187" s="2940"/>
      <c r="E187" s="2940"/>
      <c r="F187" s="2940">
        <v>2070</v>
      </c>
      <c r="G187" s="2940"/>
    </row>
    <row r="188" spans="1:7" s="2774" customFormat="1" ht="14.25" customHeight="1">
      <c r="A188" s="2940" t="s">
        <v>29</v>
      </c>
      <c r="B188" s="2940" t="s">
        <v>3067</v>
      </c>
      <c r="C188" s="2940"/>
      <c r="D188" s="2940"/>
      <c r="E188" s="2940"/>
      <c r="F188" s="2940">
        <v>2340</v>
      </c>
      <c r="G188" s="2940"/>
    </row>
    <row r="189" spans="1:7" s="2774" customFormat="1" ht="14.25" customHeight="1" thickBot="1">
      <c r="A189" s="2948" t="s">
        <v>29</v>
      </c>
      <c r="B189" s="2951" t="s">
        <v>3068</v>
      </c>
      <c r="C189" s="2951"/>
      <c r="D189" s="2951"/>
      <c r="E189" s="2951"/>
      <c r="F189" s="2951">
        <v>2050</v>
      </c>
      <c r="G189" s="2951"/>
    </row>
    <row r="190" spans="1:7" s="2774" customFormat="1" ht="14.25" customHeight="1">
      <c r="A190" s="2945" t="s">
        <v>304</v>
      </c>
      <c r="B190" s="2936" t="s">
        <v>3088</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3089</v>
      </c>
      <c r="C199" s="2940">
        <v>8690</v>
      </c>
      <c r="D199" s="2940">
        <v>8630</v>
      </c>
      <c r="E199" s="2940">
        <v>11350</v>
      </c>
      <c r="F199" s="2940">
        <v>1600</v>
      </c>
      <c r="G199" s="2953">
        <v>5450</v>
      </c>
    </row>
    <row r="200" spans="1:7" s="2774" customFormat="1" ht="14.25" customHeight="1">
      <c r="A200" s="2940" t="s">
        <v>304</v>
      </c>
      <c r="B200" s="2940" t="s">
        <v>2900</v>
      </c>
      <c r="C200" s="2940"/>
      <c r="D200" s="2940"/>
      <c r="E200" s="2940"/>
      <c r="F200" s="2940">
        <v>1510</v>
      </c>
      <c r="G200" s="2953"/>
    </row>
    <row r="201" spans="1:7" s="2774" customFormat="1" ht="14.25" customHeight="1">
      <c r="A201" s="2940" t="s">
        <v>304</v>
      </c>
      <c r="B201" s="2940" t="s">
        <v>3090</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3091</v>
      </c>
      <c r="C203" s="2940">
        <v>8130</v>
      </c>
      <c r="D203" s="2940">
        <v>8070</v>
      </c>
      <c r="E203" s="2940">
        <v>10820</v>
      </c>
      <c r="F203" s="2940">
        <v>1690</v>
      </c>
      <c r="G203" s="2953">
        <v>5100</v>
      </c>
    </row>
    <row r="204" spans="1:7" s="2774" customFormat="1" ht="14.25" customHeight="1">
      <c r="A204" s="2940" t="s">
        <v>304</v>
      </c>
      <c r="B204" s="2940" t="s">
        <v>2911</v>
      </c>
      <c r="C204" s="2940">
        <v>8350</v>
      </c>
      <c r="D204" s="2940">
        <v>8290</v>
      </c>
      <c r="E204" s="2940">
        <v>11080</v>
      </c>
      <c r="F204" s="2940">
        <v>1450</v>
      </c>
      <c r="G204" s="2953">
        <v>5240</v>
      </c>
    </row>
    <row r="205" spans="1:7" s="2774" customFormat="1" ht="14.25" customHeight="1">
      <c r="A205" s="2940" t="s">
        <v>304</v>
      </c>
      <c r="B205" s="2940" t="s">
        <v>2913</v>
      </c>
      <c r="C205" s="2940">
        <v>7190</v>
      </c>
      <c r="D205" s="2940">
        <v>7130</v>
      </c>
      <c r="E205" s="2940">
        <v>9490</v>
      </c>
      <c r="F205" s="2940">
        <v>1470</v>
      </c>
      <c r="G205" s="2953">
        <v>4510</v>
      </c>
    </row>
    <row r="206" spans="1:7" s="2774" customFormat="1" ht="14.25" customHeight="1">
      <c r="A206" s="2940" t="s">
        <v>304</v>
      </c>
      <c r="B206" s="2940" t="s">
        <v>2916</v>
      </c>
      <c r="C206" s="2940">
        <v>7000</v>
      </c>
      <c r="D206" s="2940">
        <v>6950</v>
      </c>
      <c r="E206" s="2940">
        <v>9170</v>
      </c>
      <c r="F206" s="2940">
        <v>1400</v>
      </c>
      <c r="G206" s="2953">
        <v>4380</v>
      </c>
    </row>
    <row r="207" spans="1:7" s="2774" customFormat="1" ht="14.25" customHeight="1">
      <c r="A207" s="2940" t="s">
        <v>304</v>
      </c>
      <c r="B207" s="2940" t="s">
        <v>2918</v>
      </c>
      <c r="C207" s="2940">
        <v>6950</v>
      </c>
      <c r="D207" s="2940">
        <v>6900</v>
      </c>
      <c r="E207" s="2940">
        <v>9110</v>
      </c>
      <c r="F207" s="2940">
        <v>1790</v>
      </c>
      <c r="G207" s="2953">
        <v>4360</v>
      </c>
    </row>
    <row r="208" spans="1:7" s="2774" customFormat="1" ht="14.25" customHeight="1">
      <c r="A208" s="2940" t="s">
        <v>304</v>
      </c>
      <c r="B208" s="2940" t="s">
        <v>3092</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2928</v>
      </c>
      <c r="C210" s="2940">
        <v>8710</v>
      </c>
      <c r="D210" s="2940">
        <v>8660</v>
      </c>
      <c r="E210" s="2940">
        <v>11440</v>
      </c>
      <c r="F210" s="2940">
        <v>1740</v>
      </c>
      <c r="G210" s="2953">
        <v>5470</v>
      </c>
    </row>
    <row r="211" spans="1:7" s="2774" customFormat="1" ht="14.25" customHeight="1">
      <c r="A211" s="2940" t="s">
        <v>304</v>
      </c>
      <c r="B211" s="2940" t="s">
        <v>3093</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3094</v>
      </c>
      <c r="C214" s="2940">
        <v>8090</v>
      </c>
      <c r="D214" s="2940">
        <v>8030</v>
      </c>
      <c r="E214" s="2940">
        <v>10780</v>
      </c>
      <c r="F214" s="2940">
        <v>1570</v>
      </c>
      <c r="G214" s="2953">
        <v>5070</v>
      </c>
    </row>
    <row r="215" spans="1:7" s="2774" customFormat="1" ht="14.25" customHeight="1">
      <c r="A215" s="2940" t="s">
        <v>304</v>
      </c>
      <c r="B215" s="2940" t="s">
        <v>3095</v>
      </c>
      <c r="C215" s="2940">
        <v>7950</v>
      </c>
      <c r="D215" s="2940">
        <v>7900</v>
      </c>
      <c r="E215" s="2940">
        <v>10560</v>
      </c>
      <c r="F215" s="2940">
        <v>1630</v>
      </c>
      <c r="G215" s="2953">
        <v>4990</v>
      </c>
    </row>
    <row r="216" spans="1:7" s="2774" customFormat="1" ht="14.25" customHeight="1">
      <c r="A216" s="2940" t="s">
        <v>304</v>
      </c>
      <c r="B216" s="2940" t="s">
        <v>3096</v>
      </c>
      <c r="C216" s="2940">
        <v>8490</v>
      </c>
      <c r="D216" s="2940">
        <v>8440</v>
      </c>
      <c r="E216" s="2940">
        <v>11260</v>
      </c>
      <c r="F216" s="2940">
        <v>1690</v>
      </c>
      <c r="G216" s="2953">
        <v>5330</v>
      </c>
    </row>
    <row r="217" spans="1:7" s="2774" customFormat="1" ht="14.25" customHeight="1">
      <c r="A217" s="2940" t="s">
        <v>304</v>
      </c>
      <c r="B217" s="2940" t="s">
        <v>2961</v>
      </c>
      <c r="C217" s="2940">
        <v>8200</v>
      </c>
      <c r="D217" s="2940">
        <v>8150</v>
      </c>
      <c r="E217" s="2940">
        <v>10910</v>
      </c>
      <c r="F217" s="2940">
        <v>1670</v>
      </c>
      <c r="G217" s="2953">
        <v>5150</v>
      </c>
    </row>
    <row r="218" spans="1:7" s="2774" customFormat="1" ht="14.25" customHeight="1">
      <c r="A218" s="2940" t="s">
        <v>304</v>
      </c>
      <c r="B218" s="2940" t="s">
        <v>3097</v>
      </c>
      <c r="C218" s="2940"/>
      <c r="D218" s="2940"/>
      <c r="E218" s="2940"/>
      <c r="F218" s="2940">
        <v>2040</v>
      </c>
      <c r="G218" s="2953"/>
    </row>
    <row r="219" spans="1:7" s="2774" customFormat="1" ht="14.25" customHeight="1">
      <c r="A219" s="2940" t="s">
        <v>304</v>
      </c>
      <c r="B219" s="2940" t="s">
        <v>3098</v>
      </c>
      <c r="C219" s="2940"/>
      <c r="D219" s="2940"/>
      <c r="E219" s="2940"/>
      <c r="F219" s="2940">
        <v>2040</v>
      </c>
      <c r="G219" s="2953"/>
    </row>
    <row r="220" spans="1:7" s="2774" customFormat="1" ht="14.25" customHeight="1">
      <c r="A220" s="2940" t="s">
        <v>304</v>
      </c>
      <c r="B220" s="2940" t="s">
        <v>3099</v>
      </c>
      <c r="C220" s="2940"/>
      <c r="D220" s="2940"/>
      <c r="E220" s="2940"/>
      <c r="F220" s="2940">
        <v>2040</v>
      </c>
      <c r="G220" s="2953"/>
    </row>
    <row r="221" spans="1:7" s="2774" customFormat="1" ht="14.25" customHeight="1">
      <c r="A221" s="2940" t="s">
        <v>304</v>
      </c>
      <c r="B221" s="2940" t="s">
        <v>3100</v>
      </c>
      <c r="C221" s="2940"/>
      <c r="D221" s="2940"/>
      <c r="E221" s="2940"/>
      <c r="F221" s="2940">
        <v>2040</v>
      </c>
      <c r="G221" s="2953"/>
    </row>
    <row r="222" spans="1:7" s="2774" customFormat="1" ht="14.25" customHeight="1">
      <c r="A222" s="2940" t="s">
        <v>304</v>
      </c>
      <c r="B222" s="2940" t="s">
        <v>3101</v>
      </c>
      <c r="C222" s="2940"/>
      <c r="D222" s="2940"/>
      <c r="E222" s="2940"/>
      <c r="F222" s="2940">
        <v>2040</v>
      </c>
      <c r="G222" s="2953"/>
    </row>
    <row r="223" spans="1:7" s="2774" customFormat="1" ht="14.25" customHeight="1">
      <c r="A223" s="2940" t="s">
        <v>304</v>
      </c>
      <c r="B223" s="2940" t="s">
        <v>3102</v>
      </c>
      <c r="C223" s="2940"/>
      <c r="D223" s="2940"/>
      <c r="E223" s="2940"/>
      <c r="F223" s="2940">
        <v>1930</v>
      </c>
      <c r="G223" s="2953"/>
    </row>
    <row r="224" spans="1:7" s="2774" customFormat="1" ht="14.25" customHeight="1">
      <c r="A224" s="2940" t="s">
        <v>304</v>
      </c>
      <c r="B224" s="2940" t="s">
        <v>3103</v>
      </c>
      <c r="C224" s="2940"/>
      <c r="D224" s="2940"/>
      <c r="E224" s="2940"/>
      <c r="F224" s="2940">
        <v>1930</v>
      </c>
      <c r="G224" s="2953"/>
    </row>
    <row r="225" spans="1:7" s="2774" customFormat="1" ht="14.25" customHeight="1">
      <c r="A225" s="2940" t="s">
        <v>304</v>
      </c>
      <c r="B225" s="2940" t="s">
        <v>3104</v>
      </c>
      <c r="C225" s="2940"/>
      <c r="D225" s="2940"/>
      <c r="E225" s="2940"/>
      <c r="F225" s="2940">
        <v>1930</v>
      </c>
      <c r="G225" s="2953"/>
    </row>
    <row r="226" spans="1:7" s="2774" customFormat="1" ht="14.25" customHeight="1">
      <c r="A226" s="2940" t="s">
        <v>304</v>
      </c>
      <c r="B226" s="2940" t="s">
        <v>3105</v>
      </c>
      <c r="C226" s="2940"/>
      <c r="D226" s="2940"/>
      <c r="E226" s="2940"/>
      <c r="F226" s="2940">
        <v>1700</v>
      </c>
      <c r="G226" s="2953"/>
    </row>
    <row r="227" spans="1:7" s="2774" customFormat="1" ht="14.25" customHeight="1">
      <c r="A227" s="2940" t="s">
        <v>304</v>
      </c>
      <c r="B227" s="2940" t="s">
        <v>3106</v>
      </c>
      <c r="C227" s="2940"/>
      <c r="D227" s="2940"/>
      <c r="E227" s="2940"/>
      <c r="F227" s="2940">
        <v>1520</v>
      </c>
      <c r="G227" s="2953"/>
    </row>
    <row r="228" spans="1:7" s="2774" customFormat="1" ht="14.25" customHeight="1">
      <c r="A228" s="2940" t="s">
        <v>304</v>
      </c>
      <c r="B228" s="2940" t="s">
        <v>3107</v>
      </c>
      <c r="C228" s="2940"/>
      <c r="D228" s="2940"/>
      <c r="E228" s="2940"/>
      <c r="F228" s="2940">
        <v>1520</v>
      </c>
      <c r="G228" s="2953"/>
    </row>
    <row r="229" spans="1:7" s="2774" customFormat="1" ht="14.25" customHeight="1">
      <c r="A229" s="2940" t="s">
        <v>304</v>
      </c>
      <c r="B229" s="2940" t="s">
        <v>3024</v>
      </c>
      <c r="C229" s="2940"/>
      <c r="D229" s="2940"/>
      <c r="E229" s="2940"/>
      <c r="F229" s="2940">
        <v>1520</v>
      </c>
      <c r="G229" s="2953"/>
    </row>
    <row r="230" spans="1:7" s="2774" customFormat="1" ht="14.25" customHeight="1">
      <c r="A230" s="2940" t="s">
        <v>304</v>
      </c>
      <c r="B230" s="2940" t="s">
        <v>3108</v>
      </c>
      <c r="C230" s="2940"/>
      <c r="D230" s="2940"/>
      <c r="E230" s="2940"/>
      <c r="F230" s="2940">
        <v>1820</v>
      </c>
      <c r="G230" s="2953"/>
    </row>
    <row r="231" spans="1:7" s="2774" customFormat="1" ht="14.25" customHeight="1">
      <c r="A231" s="2940" t="s">
        <v>304</v>
      </c>
      <c r="B231" s="2940" t="s">
        <v>3109</v>
      </c>
      <c r="C231" s="2940"/>
      <c r="D231" s="2940"/>
      <c r="E231" s="2940"/>
      <c r="F231" s="2940">
        <v>1760</v>
      </c>
      <c r="G231" s="2953"/>
    </row>
    <row r="232" spans="1:7" s="2774" customFormat="1" ht="14.25" customHeight="1">
      <c r="A232" s="2940" t="s">
        <v>304</v>
      </c>
      <c r="B232" s="2940" t="s">
        <v>3110</v>
      </c>
      <c r="C232" s="2940"/>
      <c r="D232" s="2940"/>
      <c r="E232" s="2940"/>
      <c r="F232" s="2940">
        <v>1840</v>
      </c>
      <c r="G232" s="2953"/>
    </row>
    <row r="233" spans="1:7" s="2774" customFormat="1" ht="14.25" customHeight="1" thickBot="1">
      <c r="A233" s="2954" t="s">
        <v>304</v>
      </c>
      <c r="B233" s="2947" t="s">
        <v>3041</v>
      </c>
      <c r="C233" s="2947"/>
      <c r="D233" s="2947"/>
      <c r="E233" s="2947"/>
      <c r="F233" s="2947">
        <v>1770</v>
      </c>
      <c r="G233" s="2955"/>
    </row>
    <row r="234" spans="1:7" s="2774" customFormat="1" ht="14.25" customHeight="1">
      <c r="A234" s="2945" t="s">
        <v>305</v>
      </c>
      <c r="B234" s="2936" t="s">
        <v>3111</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2882</v>
      </c>
      <c r="C238" s="2940">
        <v>6920</v>
      </c>
      <c r="D238" s="2940">
        <v>6890</v>
      </c>
      <c r="E238" s="2940">
        <v>8640</v>
      </c>
      <c r="F238" s="2940">
        <v>1310</v>
      </c>
      <c r="G238" s="2940">
        <v>4230</v>
      </c>
    </row>
    <row r="239" spans="1:7" s="2774" customFormat="1" ht="14.25" customHeight="1">
      <c r="A239" s="2940" t="s">
        <v>305</v>
      </c>
      <c r="B239" s="2940" t="s">
        <v>3112</v>
      </c>
      <c r="C239" s="2940">
        <v>6780</v>
      </c>
      <c r="D239" s="2940">
        <v>6750</v>
      </c>
      <c r="E239" s="2940">
        <v>8440</v>
      </c>
      <c r="F239" s="2940">
        <v>1160</v>
      </c>
      <c r="G239" s="2940">
        <v>4140</v>
      </c>
    </row>
    <row r="240" spans="1:7" s="2774" customFormat="1" ht="14.25" customHeight="1">
      <c r="A240" s="2940" t="s">
        <v>305</v>
      </c>
      <c r="B240" s="2940" t="s">
        <v>3113</v>
      </c>
      <c r="C240" s="2940">
        <v>5420</v>
      </c>
      <c r="D240" s="2940">
        <v>5380</v>
      </c>
      <c r="E240" s="2940">
        <v>6640</v>
      </c>
      <c r="F240" s="2940">
        <v>1020</v>
      </c>
      <c r="G240" s="2940">
        <v>3300</v>
      </c>
    </row>
    <row r="241" spans="1:7" s="2774" customFormat="1" ht="14.25" customHeight="1">
      <c r="A241" s="2940" t="s">
        <v>305</v>
      </c>
      <c r="B241" s="2940" t="s">
        <v>3114</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3115</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3116</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3117</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3118</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3119</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2944</v>
      </c>
      <c r="C258" s="2940">
        <v>6190</v>
      </c>
      <c r="D258" s="2940">
        <v>6160</v>
      </c>
      <c r="E258" s="2940">
        <v>7680</v>
      </c>
      <c r="F258" s="2940">
        <v>1170</v>
      </c>
      <c r="G258" s="2940">
        <v>3780</v>
      </c>
    </row>
    <row r="259" spans="1:7" s="2774" customFormat="1" ht="14.25" customHeight="1">
      <c r="A259" s="2940" t="s">
        <v>305</v>
      </c>
      <c r="B259" s="2940" t="s">
        <v>3120</v>
      </c>
      <c r="C259" s="2940">
        <v>7610</v>
      </c>
      <c r="D259" s="2940">
        <v>7570</v>
      </c>
      <c r="E259" s="2940">
        <v>9350</v>
      </c>
      <c r="F259" s="2940">
        <v>1350</v>
      </c>
      <c r="G259" s="2940">
        <v>4650</v>
      </c>
    </row>
    <row r="260" spans="1:7" s="2774" customFormat="1" ht="14.25" customHeight="1">
      <c r="A260" s="2940" t="s">
        <v>305</v>
      </c>
      <c r="B260" s="2940" t="s">
        <v>3121</v>
      </c>
      <c r="C260" s="2940">
        <v>6920</v>
      </c>
      <c r="D260" s="2940">
        <v>6880</v>
      </c>
      <c r="E260" s="2940">
        <v>8380</v>
      </c>
      <c r="F260" s="2940">
        <v>1160</v>
      </c>
      <c r="G260" s="2940">
        <v>4220</v>
      </c>
    </row>
    <row r="261" spans="1:7" s="2774" customFormat="1" ht="14.25" customHeight="1">
      <c r="A261" s="2940" t="s">
        <v>305</v>
      </c>
      <c r="B261" s="2940" t="s">
        <v>3122</v>
      </c>
      <c r="C261" s="2940">
        <v>6850</v>
      </c>
      <c r="D261" s="2940">
        <v>6810</v>
      </c>
      <c r="E261" s="2940">
        <v>8290</v>
      </c>
      <c r="F261" s="2940">
        <v>1130</v>
      </c>
      <c r="G261" s="2940">
        <v>4180</v>
      </c>
    </row>
    <row r="262" spans="1:7" s="2774" customFormat="1" ht="14.25" customHeight="1">
      <c r="A262" s="2940" t="s">
        <v>305</v>
      </c>
      <c r="B262" s="2940" t="s">
        <v>3123</v>
      </c>
      <c r="C262" s="2940">
        <v>5860</v>
      </c>
      <c r="D262" s="2940">
        <v>5820</v>
      </c>
      <c r="E262" s="2940">
        <v>7640</v>
      </c>
      <c r="F262" s="2940">
        <v>1070</v>
      </c>
      <c r="G262" s="2940">
        <v>3570</v>
      </c>
    </row>
    <row r="263" spans="1:7" s="2774" customFormat="1" ht="14.25" customHeight="1">
      <c r="A263" s="2940" t="s">
        <v>305</v>
      </c>
      <c r="B263" s="2940" t="s">
        <v>3124</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3125</v>
      </c>
      <c r="C265" s="2940"/>
      <c r="D265" s="2940"/>
      <c r="E265" s="2940"/>
      <c r="F265" s="2940">
        <v>1500</v>
      </c>
      <c r="G265" s="2940"/>
    </row>
    <row r="266" spans="1:7" s="2774" customFormat="1" ht="14.25" customHeight="1">
      <c r="A266" s="2940" t="s">
        <v>305</v>
      </c>
      <c r="B266" s="2940" t="s">
        <v>3126</v>
      </c>
      <c r="C266" s="2940"/>
      <c r="D266" s="2940"/>
      <c r="E266" s="2940"/>
      <c r="F266" s="2940">
        <v>1500</v>
      </c>
      <c r="G266" s="2940"/>
    </row>
    <row r="267" spans="1:7" s="2774" customFormat="1" ht="14.25" customHeight="1">
      <c r="A267" s="2940" t="s">
        <v>305</v>
      </c>
      <c r="B267" s="2940" t="s">
        <v>3127</v>
      </c>
      <c r="C267" s="2940"/>
      <c r="D267" s="2940"/>
      <c r="E267" s="2940"/>
      <c r="F267" s="2940">
        <v>1500</v>
      </c>
      <c r="G267" s="2940"/>
    </row>
    <row r="268" spans="1:7" s="2774" customFormat="1" ht="14.25" customHeight="1">
      <c r="A268" s="2940" t="s">
        <v>305</v>
      </c>
      <c r="B268" s="2940" t="s">
        <v>3128</v>
      </c>
      <c r="C268" s="2940"/>
      <c r="D268" s="2940"/>
      <c r="E268" s="2940"/>
      <c r="F268" s="2940">
        <v>1290</v>
      </c>
      <c r="G268" s="2940"/>
    </row>
    <row r="269" spans="1:7" s="2774" customFormat="1" ht="14.25" customHeight="1">
      <c r="A269" s="2940" t="s">
        <v>305</v>
      </c>
      <c r="B269" s="2940" t="s">
        <v>3129</v>
      </c>
      <c r="C269" s="2940"/>
      <c r="D269" s="2940"/>
      <c r="E269" s="2940"/>
      <c r="F269" s="2940">
        <v>1150</v>
      </c>
      <c r="G269" s="2940"/>
    </row>
    <row r="270" spans="1:7" s="2774" customFormat="1" ht="14.25" customHeight="1">
      <c r="A270" s="2940" t="s">
        <v>305</v>
      </c>
      <c r="B270" s="2940" t="s">
        <v>3130</v>
      </c>
      <c r="C270" s="2940"/>
      <c r="D270" s="2940"/>
      <c r="E270" s="2940"/>
      <c r="F270" s="2940">
        <v>1380</v>
      </c>
      <c r="G270" s="2940"/>
    </row>
    <row r="271" spans="1:7" s="2774" customFormat="1" ht="14.25" customHeight="1">
      <c r="A271" s="2940" t="s">
        <v>305</v>
      </c>
      <c r="B271" s="2940" t="s">
        <v>3131</v>
      </c>
      <c r="C271" s="2940"/>
      <c r="D271" s="2940"/>
      <c r="E271" s="2940"/>
      <c r="F271" s="2940">
        <v>1460</v>
      </c>
      <c r="G271" s="2940"/>
    </row>
    <row r="272" spans="1:7" s="2774" customFormat="1" ht="14.25" customHeight="1">
      <c r="A272" s="2940" t="s">
        <v>305</v>
      </c>
      <c r="B272" s="2940" t="s">
        <v>3132</v>
      </c>
      <c r="C272" s="2940"/>
      <c r="D272" s="2940"/>
      <c r="E272" s="2940"/>
      <c r="F272" s="2940">
        <v>1460</v>
      </c>
      <c r="G272" s="2940"/>
    </row>
    <row r="273" spans="1:7" s="2774" customFormat="1" ht="14.25" customHeight="1">
      <c r="A273" s="2940" t="s">
        <v>305</v>
      </c>
      <c r="B273" s="2940" t="s">
        <v>3025</v>
      </c>
      <c r="C273" s="2940"/>
      <c r="D273" s="2940"/>
      <c r="E273" s="2940"/>
      <c r="F273" s="2940">
        <v>1490</v>
      </c>
      <c r="G273" s="2940"/>
    </row>
    <row r="274" spans="1:7" s="2774" customFormat="1" ht="14.25" customHeight="1">
      <c r="A274" s="2940" t="s">
        <v>305</v>
      </c>
      <c r="B274" s="2940" t="s">
        <v>3133</v>
      </c>
      <c r="C274" s="2940"/>
      <c r="D274" s="2940"/>
      <c r="E274" s="2940"/>
      <c r="F274" s="2940">
        <v>1490</v>
      </c>
      <c r="G274" s="2940"/>
    </row>
    <row r="275" spans="1:7" s="2774" customFormat="1" ht="14.25" customHeight="1">
      <c r="A275" s="2940" t="s">
        <v>305</v>
      </c>
      <c r="B275" s="2940" t="s">
        <v>3134</v>
      </c>
      <c r="C275" s="2940"/>
      <c r="D275" s="2940"/>
      <c r="E275" s="2940"/>
      <c r="F275" s="2940">
        <v>1220</v>
      </c>
      <c r="G275" s="2940"/>
    </row>
    <row r="276" spans="1:7" s="2774" customFormat="1" ht="14.25" customHeight="1" thickBot="1">
      <c r="A276" s="2948" t="s">
        <v>305</v>
      </c>
      <c r="B276" s="2950" t="s">
        <v>3135</v>
      </c>
      <c r="C276" s="2951"/>
      <c r="D276" s="2951"/>
      <c r="E276" s="2951"/>
      <c r="F276" s="2951">
        <v>1380</v>
      </c>
      <c r="G276" s="2951"/>
    </row>
    <row r="277" spans="1:7" s="2774" customFormat="1" ht="14.25" customHeight="1">
      <c r="A277" s="2945" t="s">
        <v>306</v>
      </c>
      <c r="B277" s="2936" t="s">
        <v>3136</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3137</v>
      </c>
      <c r="C279" s="2940">
        <v>4760</v>
      </c>
      <c r="D279" s="2940">
        <v>4720</v>
      </c>
      <c r="E279" s="2940">
        <v>5540</v>
      </c>
      <c r="F279" s="2940">
        <v>810</v>
      </c>
      <c r="G279" s="2953">
        <v>2850</v>
      </c>
    </row>
    <row r="280" spans="1:7" s="2774" customFormat="1" ht="14.25" customHeight="1">
      <c r="A280" s="2940" t="s">
        <v>306</v>
      </c>
      <c r="B280" s="2940" t="s">
        <v>3138</v>
      </c>
      <c r="C280" s="2940">
        <v>4010</v>
      </c>
      <c r="D280" s="2940">
        <v>3950</v>
      </c>
      <c r="E280" s="2940">
        <v>4710</v>
      </c>
      <c r="F280" s="2940">
        <v>800</v>
      </c>
      <c r="G280" s="2953">
        <v>2390</v>
      </c>
    </row>
    <row r="281" spans="1:7" s="2774" customFormat="1" ht="14.25" customHeight="1">
      <c r="A281" s="2940" t="s">
        <v>306</v>
      </c>
      <c r="B281" s="2940" t="s">
        <v>3139</v>
      </c>
      <c r="C281" s="2940">
        <v>4480</v>
      </c>
      <c r="D281" s="2940">
        <v>4420</v>
      </c>
      <c r="E281" s="2940">
        <v>5230</v>
      </c>
      <c r="F281" s="2940">
        <v>870</v>
      </c>
      <c r="G281" s="2953">
        <v>2660</v>
      </c>
    </row>
    <row r="282" spans="1:7" s="2774" customFormat="1" ht="14.25" customHeight="1">
      <c r="A282" s="2940" t="s">
        <v>306</v>
      </c>
      <c r="B282" s="2940" t="s">
        <v>3140</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3141</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3142</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2917</v>
      </c>
      <c r="C293" s="2940">
        <v>5320</v>
      </c>
      <c r="D293" s="2940">
        <v>5270</v>
      </c>
      <c r="E293" s="2940">
        <v>6160</v>
      </c>
      <c r="F293" s="2940">
        <v>990</v>
      </c>
      <c r="G293" s="2953">
        <v>3170</v>
      </c>
    </row>
    <row r="294" spans="1:7" s="2774" customFormat="1" ht="14.25" customHeight="1">
      <c r="A294" s="2940" t="s">
        <v>306</v>
      </c>
      <c r="B294" s="2940" t="s">
        <v>3143</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2936</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3144</v>
      </c>
      <c r="C302" s="2940">
        <v>5520</v>
      </c>
      <c r="D302" s="2940">
        <v>5470</v>
      </c>
      <c r="E302" s="2940">
        <v>6410</v>
      </c>
      <c r="F302" s="2940">
        <v>950</v>
      </c>
      <c r="G302" s="2953">
        <v>3300</v>
      </c>
    </row>
    <row r="303" spans="1:7" s="2774" customFormat="1" ht="14.25" customHeight="1">
      <c r="A303" s="2940" t="s">
        <v>306</v>
      </c>
      <c r="B303" s="2940" t="s">
        <v>2956</v>
      </c>
      <c r="C303" s="2940">
        <v>5630</v>
      </c>
      <c r="D303" s="2940">
        <v>5590</v>
      </c>
      <c r="E303" s="2940">
        <v>6550</v>
      </c>
      <c r="F303" s="2940">
        <v>1010</v>
      </c>
      <c r="G303" s="2953">
        <v>3370</v>
      </c>
    </row>
    <row r="304" spans="1:7" s="2774" customFormat="1" ht="14.25" customHeight="1">
      <c r="A304" s="2940" t="s">
        <v>306</v>
      </c>
      <c r="B304" s="2940" t="s">
        <v>2963</v>
      </c>
      <c r="C304" s="2940">
        <v>5680</v>
      </c>
      <c r="D304" s="2940">
        <v>5620</v>
      </c>
      <c r="E304" s="2940">
        <v>6620</v>
      </c>
      <c r="F304" s="2940">
        <v>1050</v>
      </c>
      <c r="G304" s="2953">
        <v>3390</v>
      </c>
    </row>
    <row r="305" spans="1:7" s="2774" customFormat="1" ht="14.25" customHeight="1">
      <c r="A305" s="2940" t="s">
        <v>306</v>
      </c>
      <c r="B305" s="2940" t="s">
        <v>2969</v>
      </c>
      <c r="C305" s="2940">
        <v>5590</v>
      </c>
      <c r="D305" s="2940">
        <v>5530</v>
      </c>
      <c r="E305" s="2940">
        <v>6460</v>
      </c>
      <c r="F305" s="2940">
        <v>900</v>
      </c>
      <c r="G305" s="2953">
        <v>3340</v>
      </c>
    </row>
    <row r="306" spans="1:7" s="2774" customFormat="1" ht="14.25" customHeight="1">
      <c r="A306" s="2940" t="s">
        <v>306</v>
      </c>
      <c r="B306" s="2940" t="s">
        <v>3145</v>
      </c>
      <c r="C306" s="2940">
        <v>5560</v>
      </c>
      <c r="D306" s="2940">
        <v>5510</v>
      </c>
      <c r="E306" s="2940">
        <v>6440</v>
      </c>
      <c r="F306" s="2940">
        <v>900</v>
      </c>
      <c r="G306" s="2953">
        <v>3320</v>
      </c>
    </row>
    <row r="307" spans="1:7" s="2774" customFormat="1" ht="14.25" customHeight="1">
      <c r="A307" s="2940" t="s">
        <v>306</v>
      </c>
      <c r="B307" s="2940" t="s">
        <v>2981</v>
      </c>
      <c r="C307" s="2940">
        <v>5650</v>
      </c>
      <c r="D307" s="2940">
        <v>5600</v>
      </c>
      <c r="E307" s="2940">
        <v>6590</v>
      </c>
      <c r="F307" s="2940">
        <v>930</v>
      </c>
      <c r="G307" s="2953">
        <v>3380</v>
      </c>
    </row>
    <row r="308" spans="1:7" s="2774" customFormat="1" ht="14.25" customHeight="1">
      <c r="A308" s="2940" t="s">
        <v>306</v>
      </c>
      <c r="B308" s="2940" t="s">
        <v>3146</v>
      </c>
      <c r="C308" s="2940">
        <v>5620</v>
      </c>
      <c r="D308" s="2940">
        <v>5580</v>
      </c>
      <c r="E308" s="2940">
        <v>6540</v>
      </c>
      <c r="F308" s="2940">
        <v>910</v>
      </c>
      <c r="G308" s="2953">
        <v>3370</v>
      </c>
    </row>
    <row r="309" spans="1:7" s="2774" customFormat="1" ht="14.25" customHeight="1">
      <c r="A309" s="2940" t="s">
        <v>306</v>
      </c>
      <c r="B309" s="2940" t="s">
        <v>3147</v>
      </c>
      <c r="C309" s="2940">
        <v>5060</v>
      </c>
      <c r="D309" s="2940">
        <v>5020</v>
      </c>
      <c r="E309" s="2940">
        <v>6370</v>
      </c>
      <c r="F309" s="2940">
        <v>800</v>
      </c>
      <c r="G309" s="2953">
        <v>3020</v>
      </c>
    </row>
    <row r="310" spans="1:7" s="2774" customFormat="1" ht="14.25" customHeight="1">
      <c r="A310" s="2940" t="s">
        <v>306</v>
      </c>
      <c r="B310" s="2940" t="s">
        <v>2996</v>
      </c>
      <c r="C310" s="2940">
        <v>5150</v>
      </c>
      <c r="D310" s="2940">
        <v>5110</v>
      </c>
      <c r="E310" s="2940">
        <v>6500</v>
      </c>
      <c r="F310" s="2940">
        <v>880</v>
      </c>
      <c r="G310" s="2953">
        <v>3080</v>
      </c>
    </row>
    <row r="311" spans="1:7" s="2774" customFormat="1" ht="14.25" customHeight="1">
      <c r="A311" s="2940" t="s">
        <v>306</v>
      </c>
      <c r="B311" s="2940" t="s">
        <v>3148</v>
      </c>
      <c r="C311" s="2940">
        <v>4750</v>
      </c>
      <c r="D311" s="2940">
        <v>4710</v>
      </c>
      <c r="E311" s="2940">
        <v>5510</v>
      </c>
      <c r="F311" s="2940">
        <v>880</v>
      </c>
      <c r="G311" s="2953">
        <v>2840</v>
      </c>
    </row>
    <row r="312" spans="1:7" s="2774" customFormat="1" ht="14.25" customHeight="1">
      <c r="A312" s="2940" t="s">
        <v>306</v>
      </c>
      <c r="B312" s="2940" t="s">
        <v>3006</v>
      </c>
      <c r="C312" s="2940">
        <v>4690</v>
      </c>
      <c r="D312" s="2940">
        <v>4640</v>
      </c>
      <c r="E312" s="2940">
        <v>5420</v>
      </c>
      <c r="F312" s="2940">
        <v>800</v>
      </c>
      <c r="G312" s="2953">
        <v>2800</v>
      </c>
    </row>
    <row r="313" spans="1:7" s="2774" customFormat="1" ht="14.25" customHeight="1">
      <c r="A313" s="2940" t="s">
        <v>306</v>
      </c>
      <c r="B313" s="2940" t="s">
        <v>3011</v>
      </c>
      <c r="C313" s="2940">
        <v>4810</v>
      </c>
      <c r="D313" s="2940">
        <v>4760</v>
      </c>
      <c r="E313" s="2940">
        <v>5550</v>
      </c>
      <c r="F313" s="2940">
        <v>920</v>
      </c>
      <c r="G313" s="2953">
        <v>2870</v>
      </c>
    </row>
    <row r="314" spans="1:7" s="2774" customFormat="1" ht="14.25" customHeight="1">
      <c r="A314" s="2940" t="s">
        <v>306</v>
      </c>
      <c r="B314" s="2940" t="s">
        <v>3149</v>
      </c>
      <c r="C314" s="2940"/>
      <c r="D314" s="2940"/>
      <c r="E314" s="2940"/>
      <c r="F314" s="2940">
        <v>1020</v>
      </c>
      <c r="G314" s="2953"/>
    </row>
    <row r="315" spans="1:7" s="2774" customFormat="1" ht="14.25" customHeight="1">
      <c r="A315" s="2940" t="s">
        <v>306</v>
      </c>
      <c r="B315" s="2940" t="s">
        <v>3150</v>
      </c>
      <c r="C315" s="2940"/>
      <c r="D315" s="2940"/>
      <c r="E315" s="2940"/>
      <c r="F315" s="2940">
        <v>1050</v>
      </c>
      <c r="G315" s="2953"/>
    </row>
    <row r="316" spans="1:7" s="2774" customFormat="1" ht="14.25" customHeight="1">
      <c r="A316" s="2940" t="s">
        <v>306</v>
      </c>
      <c r="B316" s="2940" t="s">
        <v>3026</v>
      </c>
      <c r="C316" s="2940"/>
      <c r="D316" s="2940"/>
      <c r="E316" s="2940"/>
      <c r="F316" s="2940">
        <v>900</v>
      </c>
      <c r="G316" s="2953"/>
    </row>
    <row r="317" spans="1:7" s="2774" customFormat="1" ht="14.25" customHeight="1">
      <c r="A317" s="2940" t="s">
        <v>306</v>
      </c>
      <c r="B317" s="2940" t="s">
        <v>3151</v>
      </c>
      <c r="C317" s="2940"/>
      <c r="D317" s="2940"/>
      <c r="E317" s="2940"/>
      <c r="F317" s="2940">
        <v>920</v>
      </c>
      <c r="G317" s="2953"/>
    </row>
    <row r="318" spans="1:7" s="2774" customFormat="1" ht="14.25" customHeight="1">
      <c r="A318" s="2940" t="s">
        <v>306</v>
      </c>
      <c r="B318" s="2940" t="s">
        <v>3152</v>
      </c>
      <c r="C318" s="2940"/>
      <c r="D318" s="2940"/>
      <c r="E318" s="2940"/>
      <c r="F318" s="2940">
        <v>1080</v>
      </c>
      <c r="G318" s="2953"/>
    </row>
    <row r="319" spans="1:7" s="2774" customFormat="1" ht="14.25" customHeight="1">
      <c r="A319" s="2940" t="s">
        <v>306</v>
      </c>
      <c r="B319" s="2940" t="s">
        <v>3039</v>
      </c>
      <c r="C319" s="2940"/>
      <c r="D319" s="2940"/>
      <c r="E319" s="2940"/>
      <c r="F319" s="2940">
        <v>1020</v>
      </c>
      <c r="G319" s="2953"/>
    </row>
    <row r="320" spans="1:7" s="2774" customFormat="1" ht="14.25" customHeight="1">
      <c r="A320" s="2940" t="s">
        <v>306</v>
      </c>
      <c r="B320" s="2940" t="s">
        <v>3042</v>
      </c>
      <c r="C320" s="2940"/>
      <c r="D320" s="2940"/>
      <c r="E320" s="2940"/>
      <c r="F320" s="2940">
        <v>1050</v>
      </c>
      <c r="G320" s="2953"/>
    </row>
    <row r="321" spans="1:7" s="2774" customFormat="1" ht="14.25" customHeight="1">
      <c r="A321" s="2940" t="s">
        <v>306</v>
      </c>
      <c r="B321" s="2940" t="s">
        <v>3044</v>
      </c>
      <c r="C321" s="2940"/>
      <c r="D321" s="2940"/>
      <c r="E321" s="2940"/>
      <c r="F321" s="2940">
        <v>960</v>
      </c>
      <c r="G321" s="2953"/>
    </row>
    <row r="322" spans="1:7" s="2774" customFormat="1" ht="14.25" customHeight="1">
      <c r="A322" s="2940" t="s">
        <v>306</v>
      </c>
      <c r="B322" s="2940" t="s">
        <v>3046</v>
      </c>
      <c r="C322" s="2940"/>
      <c r="D322" s="2940"/>
      <c r="E322" s="2940"/>
      <c r="F322" s="2940">
        <v>960</v>
      </c>
      <c r="G322" s="2953"/>
    </row>
    <row r="323" spans="1:7" s="2774" customFormat="1" ht="14.25" customHeight="1">
      <c r="A323" s="2940" t="s">
        <v>306</v>
      </c>
      <c r="B323" s="2940" t="s">
        <v>3048</v>
      </c>
      <c r="C323" s="2940"/>
      <c r="D323" s="2940"/>
      <c r="E323" s="2940"/>
      <c r="F323" s="2940">
        <v>880</v>
      </c>
      <c r="G323" s="2953"/>
    </row>
    <row r="324" spans="1:7" s="2774" customFormat="1" ht="14.25" customHeight="1">
      <c r="A324" s="2940" t="s">
        <v>306</v>
      </c>
      <c r="B324" s="2940" t="s">
        <v>3050</v>
      </c>
      <c r="C324" s="2940"/>
      <c r="D324" s="2940"/>
      <c r="E324" s="2940"/>
      <c r="F324" s="2940">
        <v>930</v>
      </c>
      <c r="G324" s="2953"/>
    </row>
    <row r="325" spans="1:7" s="2774" customFormat="1" ht="14.25" customHeight="1">
      <c r="A325" s="2940" t="s">
        <v>306</v>
      </c>
      <c r="B325" s="2941" t="s">
        <v>3052</v>
      </c>
      <c r="C325" s="2940"/>
      <c r="D325" s="2940"/>
      <c r="E325" s="2940"/>
      <c r="F325" s="2940">
        <v>900</v>
      </c>
      <c r="G325" s="2953"/>
    </row>
    <row r="326" spans="1:7" s="2774" customFormat="1" ht="14.25" customHeight="1" thickBot="1">
      <c r="A326" s="2954" t="s">
        <v>306</v>
      </c>
      <c r="B326" s="2947" t="s">
        <v>3054</v>
      </c>
      <c r="C326" s="2947"/>
      <c r="D326" s="2947"/>
      <c r="E326" s="2947"/>
      <c r="F326" s="2947">
        <v>790</v>
      </c>
      <c r="G326" s="2955"/>
    </row>
    <row r="327" spans="1:7" s="2774" customFormat="1" ht="14.25" customHeight="1">
      <c r="A327" s="2945" t="s">
        <v>307</v>
      </c>
      <c r="B327" s="2936" t="s">
        <v>3153</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3154</v>
      </c>
      <c r="C329" s="2940">
        <v>2730</v>
      </c>
      <c r="D329" s="2940">
        <v>2690</v>
      </c>
      <c r="E329" s="2940">
        <v>3100</v>
      </c>
      <c r="F329" s="2940">
        <v>660</v>
      </c>
      <c r="G329" s="2940">
        <v>1610</v>
      </c>
    </row>
    <row r="330" spans="1:7" s="2774" customFormat="1" ht="14.25" customHeight="1">
      <c r="A330" s="2940" t="s">
        <v>307</v>
      </c>
      <c r="B330" s="2940" t="s">
        <v>3155</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2888</v>
      </c>
      <c r="C332" s="2940">
        <v>3520</v>
      </c>
      <c r="D332" s="2940">
        <v>3480</v>
      </c>
      <c r="E332" s="2940">
        <v>3830</v>
      </c>
      <c r="F332" s="2940">
        <v>720</v>
      </c>
      <c r="G332" s="2940">
        <v>2090</v>
      </c>
    </row>
    <row r="333" spans="1:7" s="2774" customFormat="1" ht="14.25" customHeight="1">
      <c r="A333" s="2940" t="s">
        <v>307</v>
      </c>
      <c r="B333" s="2940" t="s">
        <v>3156</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2898</v>
      </c>
      <c r="C336" s="2940">
        <v>3570</v>
      </c>
      <c r="D336" s="2940">
        <v>3530</v>
      </c>
      <c r="E336" s="2940">
        <v>3880</v>
      </c>
      <c r="F336" s="2940">
        <v>770</v>
      </c>
      <c r="G336" s="2940">
        <v>2110</v>
      </c>
    </row>
    <row r="337" spans="1:10" s="2774" customFormat="1" ht="14.25" customHeight="1">
      <c r="A337" s="2940" t="s">
        <v>307</v>
      </c>
      <c r="B337" s="2940" t="s">
        <v>3157</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3158</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3159</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2923</v>
      </c>
      <c r="C345" s="2940">
        <v>3190</v>
      </c>
      <c r="D345" s="2940">
        <v>3140</v>
      </c>
      <c r="E345" s="2940">
        <v>3450</v>
      </c>
      <c r="F345" s="2940">
        <v>720</v>
      </c>
      <c r="G345" s="2940">
        <v>1880</v>
      </c>
      <c r="J345" s="2774"/>
    </row>
    <row r="346" spans="1:10">
      <c r="A346" s="2940" t="s">
        <v>307</v>
      </c>
      <c r="B346" s="2940" t="s">
        <v>3160</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2932</v>
      </c>
      <c r="C348" s="2940">
        <v>4000</v>
      </c>
      <c r="D348" s="2940">
        <v>3950</v>
      </c>
      <c r="E348" s="2940">
        <v>4430</v>
      </c>
      <c r="F348" s="2940">
        <v>760</v>
      </c>
      <c r="G348" s="2940">
        <v>2360</v>
      </c>
      <c r="J348" s="2774"/>
    </row>
    <row r="349" spans="1:10">
      <c r="A349" s="2940" t="s">
        <v>307</v>
      </c>
      <c r="B349" s="2940" t="s">
        <v>2937</v>
      </c>
      <c r="C349" s="2940">
        <v>3820</v>
      </c>
      <c r="D349" s="2940">
        <v>3780</v>
      </c>
      <c r="E349" s="2940">
        <v>4170</v>
      </c>
      <c r="F349" s="2940">
        <v>710</v>
      </c>
      <c r="G349" s="2940">
        <v>2260</v>
      </c>
      <c r="J349" s="2774"/>
    </row>
    <row r="350" spans="1:10">
      <c r="A350" s="2940" t="s">
        <v>307</v>
      </c>
      <c r="B350" s="2940" t="s">
        <v>3161</v>
      </c>
      <c r="C350" s="2940">
        <v>3760</v>
      </c>
      <c r="D350" s="2940">
        <v>3730</v>
      </c>
      <c r="E350" s="2940">
        <v>4100</v>
      </c>
      <c r="F350" s="2940">
        <v>800</v>
      </c>
      <c r="G350" s="2940">
        <v>2230</v>
      </c>
      <c r="J350" s="2774"/>
    </row>
    <row r="351" spans="1:10">
      <c r="A351" s="2940" t="s">
        <v>307</v>
      </c>
      <c r="B351" s="2940" t="s">
        <v>2945</v>
      </c>
      <c r="C351" s="2940">
        <v>3610</v>
      </c>
      <c r="D351" s="2940">
        <v>3580</v>
      </c>
      <c r="E351" s="2940">
        <v>3930</v>
      </c>
      <c r="F351" s="2940">
        <v>700</v>
      </c>
      <c r="G351" s="2940">
        <v>2140</v>
      </c>
      <c r="J351" s="2774"/>
    </row>
    <row r="352" spans="1:10">
      <c r="A352" s="2940" t="s">
        <v>307</v>
      </c>
      <c r="B352" s="2940" t="s">
        <v>2950</v>
      </c>
      <c r="C352" s="2940">
        <v>3670</v>
      </c>
      <c r="D352" s="2940">
        <v>3630</v>
      </c>
      <c r="E352" s="2940">
        <v>4000</v>
      </c>
      <c r="F352" s="2940">
        <v>750</v>
      </c>
      <c r="G352" s="2940">
        <v>2180</v>
      </c>
    </row>
    <row r="353" spans="1:7" s="2775" customFormat="1">
      <c r="A353" s="2940" t="s">
        <v>307</v>
      </c>
      <c r="B353" s="2940" t="s">
        <v>3162</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2970</v>
      </c>
      <c r="C355" s="2940">
        <v>3650</v>
      </c>
      <c r="D355" s="2940">
        <v>3610</v>
      </c>
      <c r="E355" s="2940">
        <v>4200</v>
      </c>
      <c r="F355" s="2940">
        <v>640</v>
      </c>
      <c r="G355" s="2940">
        <v>2160</v>
      </c>
    </row>
    <row r="356" spans="1:7" s="2775" customFormat="1">
      <c r="A356" s="2940" t="s">
        <v>307</v>
      </c>
      <c r="B356" s="2940" t="s">
        <v>2977</v>
      </c>
      <c r="C356" s="2940">
        <v>3260</v>
      </c>
      <c r="D356" s="2940">
        <v>3230</v>
      </c>
      <c r="E356" s="2940">
        <v>3740</v>
      </c>
      <c r="F356" s="2940">
        <v>600</v>
      </c>
      <c r="G356" s="2940">
        <v>1930</v>
      </c>
    </row>
    <row r="357" spans="1:7" s="2775" customFormat="1" ht="12" thickBot="1">
      <c r="A357" s="2948" t="s">
        <v>307</v>
      </c>
      <c r="B357" s="2951" t="s">
        <v>3163</v>
      </c>
      <c r="C357" s="2951">
        <v>3690</v>
      </c>
      <c r="D357" s="2951">
        <v>3650</v>
      </c>
      <c r="E357" s="2951">
        <v>4020</v>
      </c>
      <c r="F357" s="2951">
        <v>700</v>
      </c>
      <c r="G357" s="2951">
        <v>2190</v>
      </c>
    </row>
    <row r="358" spans="1:7" s="2775" customFormat="1">
      <c r="A358" s="2945" t="s">
        <v>3164</v>
      </c>
      <c r="B358" s="2936" t="s">
        <v>3165</v>
      </c>
      <c r="C358" s="2936">
        <v>2080</v>
      </c>
      <c r="D358" s="2936">
        <v>2040</v>
      </c>
      <c r="E358" s="2936">
        <v>2010</v>
      </c>
      <c r="F358" s="2936">
        <v>530</v>
      </c>
      <c r="G358" s="2952">
        <v>1230</v>
      </c>
    </row>
    <row r="359" spans="1:7" s="2775" customFormat="1">
      <c r="A359" s="2940" t="s">
        <v>3164</v>
      </c>
      <c r="B359" s="2940" t="s">
        <v>3166</v>
      </c>
      <c r="C359" s="2940">
        <v>1850</v>
      </c>
      <c r="D359" s="2940">
        <v>1820</v>
      </c>
      <c r="E359" s="2940">
        <v>1780</v>
      </c>
      <c r="F359" s="2940">
        <v>520</v>
      </c>
      <c r="G359" s="2953">
        <v>1100</v>
      </c>
    </row>
    <row r="360" spans="1:7" s="2775" customFormat="1">
      <c r="A360" s="2940" t="s">
        <v>3164</v>
      </c>
      <c r="B360" s="2940" t="s">
        <v>3167</v>
      </c>
      <c r="C360" s="2940">
        <v>2020</v>
      </c>
      <c r="D360" s="2940">
        <v>1990</v>
      </c>
      <c r="E360" s="2940">
        <v>1950</v>
      </c>
      <c r="F360" s="2940">
        <v>500</v>
      </c>
      <c r="G360" s="2953">
        <v>1200</v>
      </c>
    </row>
    <row r="361" spans="1:7" s="2775" customFormat="1">
      <c r="A361" s="2940" t="s">
        <v>3164</v>
      </c>
      <c r="B361" s="2940" t="s">
        <v>153</v>
      </c>
      <c r="C361" s="2940">
        <v>2260</v>
      </c>
      <c r="D361" s="2940">
        <v>2220</v>
      </c>
      <c r="E361" s="2940">
        <v>2180</v>
      </c>
      <c r="F361" s="2940">
        <v>580</v>
      </c>
      <c r="G361" s="2953">
        <v>1340</v>
      </c>
    </row>
    <row r="362" spans="1:7" s="2775" customFormat="1">
      <c r="A362" s="2940" t="s">
        <v>3164</v>
      </c>
      <c r="B362" s="2940" t="s">
        <v>3168</v>
      </c>
      <c r="C362" s="2940">
        <v>2650</v>
      </c>
      <c r="D362" s="2940">
        <v>2610</v>
      </c>
      <c r="E362" s="2940">
        <v>2570</v>
      </c>
      <c r="F362" s="2940">
        <v>630</v>
      </c>
      <c r="G362" s="2953">
        <v>1570</v>
      </c>
    </row>
    <row r="363" spans="1:7" s="2775" customFormat="1">
      <c r="A363" s="2940" t="s">
        <v>3164</v>
      </c>
      <c r="B363" s="2940" t="s">
        <v>2889</v>
      </c>
      <c r="C363" s="2940">
        <v>2390</v>
      </c>
      <c r="D363" s="2940">
        <v>2360</v>
      </c>
      <c r="E363" s="2940">
        <v>2320</v>
      </c>
      <c r="F363" s="2940">
        <v>600</v>
      </c>
      <c r="G363" s="2953">
        <v>1420</v>
      </c>
    </row>
    <row r="364" spans="1:7" s="2775" customFormat="1">
      <c r="A364" s="2940" t="s">
        <v>3164</v>
      </c>
      <c r="B364" s="2940" t="s">
        <v>3169</v>
      </c>
      <c r="C364" s="2940">
        <v>2050</v>
      </c>
      <c r="D364" s="2940">
        <v>2030</v>
      </c>
      <c r="E364" s="2940">
        <v>1990</v>
      </c>
      <c r="F364" s="2940">
        <v>550</v>
      </c>
      <c r="G364" s="2953">
        <v>1220</v>
      </c>
    </row>
    <row r="365" spans="1:7" s="2775" customFormat="1">
      <c r="A365" s="2940" t="s">
        <v>3164</v>
      </c>
      <c r="B365" s="2940" t="s">
        <v>200</v>
      </c>
      <c r="C365" s="2940">
        <v>2140</v>
      </c>
      <c r="D365" s="2940">
        <v>2100</v>
      </c>
      <c r="E365" s="2940">
        <v>2060</v>
      </c>
      <c r="F365" s="2940">
        <v>540</v>
      </c>
      <c r="G365" s="2953">
        <v>1270</v>
      </c>
    </row>
    <row r="366" spans="1:7" s="2775" customFormat="1">
      <c r="A366" s="2940" t="s">
        <v>3164</v>
      </c>
      <c r="B366" s="2940" t="s">
        <v>2896</v>
      </c>
      <c r="C366" s="2940">
        <v>2410</v>
      </c>
      <c r="D366" s="2940">
        <v>2370</v>
      </c>
      <c r="E366" s="2940">
        <v>2330</v>
      </c>
      <c r="F366" s="2940">
        <v>570</v>
      </c>
      <c r="G366" s="2953">
        <v>1440</v>
      </c>
    </row>
    <row r="367" spans="1:7" s="2775" customFormat="1">
      <c r="A367" s="2940" t="s">
        <v>3164</v>
      </c>
      <c r="B367" s="2940" t="s">
        <v>3170</v>
      </c>
      <c r="C367" s="2940">
        <v>2300</v>
      </c>
      <c r="D367" s="2940">
        <v>2260</v>
      </c>
      <c r="E367" s="2940">
        <v>2220</v>
      </c>
      <c r="F367" s="2940">
        <v>560</v>
      </c>
      <c r="G367" s="2953">
        <v>1370</v>
      </c>
    </row>
    <row r="368" spans="1:7" s="2775" customFormat="1">
      <c r="A368" s="2940" t="s">
        <v>3164</v>
      </c>
      <c r="B368" s="2940" t="s">
        <v>3171</v>
      </c>
      <c r="C368" s="2940">
        <v>2430</v>
      </c>
      <c r="D368" s="2940">
        <v>2390</v>
      </c>
      <c r="E368" s="2940">
        <v>2350</v>
      </c>
      <c r="F368" s="2940">
        <v>570</v>
      </c>
      <c r="G368" s="2953">
        <v>1450</v>
      </c>
    </row>
    <row r="369" spans="1:7" s="2775" customFormat="1">
      <c r="A369" s="2940" t="s">
        <v>3164</v>
      </c>
      <c r="B369" s="2940" t="s">
        <v>214</v>
      </c>
      <c r="C369" s="2940">
        <v>2320</v>
      </c>
      <c r="D369" s="2940">
        <v>2290</v>
      </c>
      <c r="E369" s="2940">
        <v>2250</v>
      </c>
      <c r="F369" s="2940">
        <v>550</v>
      </c>
      <c r="G369" s="2953">
        <v>1380</v>
      </c>
    </row>
    <row r="370" spans="1:7" s="2775" customFormat="1">
      <c r="A370" s="2940" t="s">
        <v>3164</v>
      </c>
      <c r="B370" s="2940" t="s">
        <v>221</v>
      </c>
      <c r="C370" s="2940">
        <v>2190</v>
      </c>
      <c r="D370" s="2940">
        <v>2170</v>
      </c>
      <c r="E370" s="2940">
        <v>2130</v>
      </c>
      <c r="F370" s="2940">
        <v>530</v>
      </c>
      <c r="G370" s="2953">
        <v>1310</v>
      </c>
    </row>
    <row r="371" spans="1:7" s="2775" customFormat="1">
      <c r="A371" s="2940" t="s">
        <v>3164</v>
      </c>
      <c r="B371" s="2940" t="s">
        <v>229</v>
      </c>
      <c r="C371" s="2940">
        <v>2460</v>
      </c>
      <c r="D371" s="2940">
        <v>2420</v>
      </c>
      <c r="E371" s="2940">
        <v>2370</v>
      </c>
      <c r="F371" s="2940">
        <v>560</v>
      </c>
      <c r="G371" s="2953">
        <v>1470</v>
      </c>
    </row>
    <row r="372" spans="1:7" s="2775" customFormat="1">
      <c r="A372" s="2940" t="s">
        <v>3164</v>
      </c>
      <c r="B372" s="2940" t="s">
        <v>3172</v>
      </c>
      <c r="C372" s="2940">
        <v>2250</v>
      </c>
      <c r="D372" s="2940">
        <v>2210</v>
      </c>
      <c r="E372" s="2940">
        <v>2180</v>
      </c>
      <c r="F372" s="2940">
        <v>550</v>
      </c>
      <c r="G372" s="2953">
        <v>1340</v>
      </c>
    </row>
    <row r="373" spans="1:7" s="2775" customFormat="1">
      <c r="A373" s="2940" t="s">
        <v>3164</v>
      </c>
      <c r="B373" s="2940" t="s">
        <v>258</v>
      </c>
      <c r="C373" s="2940">
        <v>2210</v>
      </c>
      <c r="D373" s="2940">
        <v>2190</v>
      </c>
      <c r="E373" s="2940">
        <v>2150</v>
      </c>
      <c r="F373" s="2940">
        <v>530</v>
      </c>
      <c r="G373" s="2953">
        <v>1320</v>
      </c>
    </row>
    <row r="374" spans="1:7" s="2775" customFormat="1">
      <c r="A374" s="2940" t="s">
        <v>3164</v>
      </c>
      <c r="B374" s="2940" t="s">
        <v>266</v>
      </c>
      <c r="C374" s="2940">
        <v>2320</v>
      </c>
      <c r="D374" s="2940">
        <v>2280</v>
      </c>
      <c r="E374" s="2940">
        <v>2230</v>
      </c>
      <c r="F374" s="2940">
        <v>580</v>
      </c>
      <c r="G374" s="2953">
        <v>1380</v>
      </c>
    </row>
    <row r="375" spans="1:7" s="2775" customFormat="1">
      <c r="A375" s="2940" t="s">
        <v>3164</v>
      </c>
      <c r="B375" s="2940" t="s">
        <v>3173</v>
      </c>
      <c r="C375" s="2940">
        <v>2090</v>
      </c>
      <c r="D375" s="2940">
        <v>2050</v>
      </c>
      <c r="E375" s="2940">
        <v>2020</v>
      </c>
      <c r="F375" s="2940">
        <v>520</v>
      </c>
      <c r="G375" s="2953">
        <v>1240</v>
      </c>
    </row>
    <row r="376" spans="1:7" s="2775" customFormat="1">
      <c r="A376" s="2940" t="s">
        <v>3164</v>
      </c>
      <c r="B376" s="2940" t="s">
        <v>277</v>
      </c>
      <c r="C376" s="2940">
        <v>2010</v>
      </c>
      <c r="D376" s="2940">
        <v>1980</v>
      </c>
      <c r="E376" s="2940">
        <v>1940</v>
      </c>
      <c r="F376" s="2940">
        <v>540</v>
      </c>
      <c r="G376" s="2953">
        <v>1190</v>
      </c>
    </row>
    <row r="377" spans="1:7" s="2775" customFormat="1" ht="12" thickBot="1">
      <c r="A377" s="2948" t="s">
        <v>3164</v>
      </c>
      <c r="B377" s="2951" t="s">
        <v>2926</v>
      </c>
      <c r="C377" s="2951">
        <v>1930</v>
      </c>
      <c r="D377" s="2951">
        <v>1890</v>
      </c>
      <c r="E377" s="2951">
        <v>1860</v>
      </c>
      <c r="F377" s="2951">
        <v>530</v>
      </c>
      <c r="G377" s="2956">
        <v>1150</v>
      </c>
    </row>
    <row r="378" spans="1:7" s="2775" customFormat="1">
      <c r="A378" s="2957" t="s">
        <v>3174</v>
      </c>
      <c r="B378" s="2936" t="s">
        <v>3175</v>
      </c>
      <c r="C378" s="2936">
        <v>1520</v>
      </c>
      <c r="D378" s="2936">
        <v>1490</v>
      </c>
      <c r="E378" s="2936">
        <v>1460</v>
      </c>
      <c r="F378" s="2936">
        <v>460</v>
      </c>
      <c r="G378" s="2952">
        <v>940</v>
      </c>
    </row>
    <row r="379" spans="1:7" s="2775" customFormat="1">
      <c r="A379" s="2958" t="s">
        <v>3174</v>
      </c>
      <c r="B379" s="2940" t="s">
        <v>3176</v>
      </c>
      <c r="C379" s="2940">
        <v>1500</v>
      </c>
      <c r="D379" s="2940">
        <v>1470</v>
      </c>
      <c r="E379" s="2940">
        <v>1430</v>
      </c>
      <c r="F379" s="2940">
        <v>460</v>
      </c>
      <c r="G379" s="2953">
        <v>920</v>
      </c>
    </row>
    <row r="380" spans="1:7" s="2775" customFormat="1">
      <c r="A380" s="2958" t="s">
        <v>3174</v>
      </c>
      <c r="B380" s="2940" t="s">
        <v>3177</v>
      </c>
      <c r="C380" s="2940">
        <v>1620</v>
      </c>
      <c r="D380" s="2940">
        <v>1590</v>
      </c>
      <c r="E380" s="2940">
        <v>1560</v>
      </c>
      <c r="F380" s="2940">
        <v>480</v>
      </c>
      <c r="G380" s="2953">
        <v>1000</v>
      </c>
    </row>
    <row r="381" spans="1:7" s="2775" customFormat="1">
      <c r="A381" s="2958" t="s">
        <v>3174</v>
      </c>
      <c r="B381" s="2940" t="s">
        <v>3178</v>
      </c>
      <c r="C381" s="2940">
        <v>1460</v>
      </c>
      <c r="D381" s="2940">
        <v>1430</v>
      </c>
      <c r="E381" s="2940">
        <v>1390</v>
      </c>
      <c r="F381" s="2940">
        <v>450</v>
      </c>
      <c r="G381" s="2953">
        <v>900</v>
      </c>
    </row>
    <row r="382" spans="1:7" s="2775" customFormat="1">
      <c r="A382" s="2958" t="s">
        <v>3174</v>
      </c>
      <c r="B382" s="2940" t="s">
        <v>3179</v>
      </c>
      <c r="C382" s="2940">
        <v>1310</v>
      </c>
      <c r="D382" s="2940">
        <v>1280</v>
      </c>
      <c r="E382" s="2940">
        <v>1250</v>
      </c>
      <c r="F382" s="2940">
        <v>440</v>
      </c>
      <c r="G382" s="2953">
        <v>800</v>
      </c>
    </row>
    <row r="383" spans="1:7" s="2775" customFormat="1">
      <c r="A383" s="2958" t="s">
        <v>3174</v>
      </c>
      <c r="B383" s="2940" t="s">
        <v>3180</v>
      </c>
      <c r="C383" s="2940">
        <v>1260</v>
      </c>
      <c r="D383" s="2940">
        <v>1230</v>
      </c>
      <c r="E383" s="2940">
        <v>1200</v>
      </c>
      <c r="F383" s="2940">
        <v>420</v>
      </c>
      <c r="G383" s="2953">
        <v>770</v>
      </c>
    </row>
    <row r="384" spans="1:7" s="2775" customFormat="1" ht="12" thickBot="1">
      <c r="A384" s="2959" t="s">
        <v>3174</v>
      </c>
      <c r="B384" s="2947" t="s">
        <v>3181</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13" t="s">
        <v>3182</v>
      </c>
      <c r="B1" s="3513"/>
    </row>
    <row r="2" spans="1:7" ht="14.25" thickBot="1">
      <c r="A2" s="2961"/>
      <c r="B2" s="2961"/>
    </row>
    <row r="3" spans="1:7" ht="14.25" thickBot="1">
      <c r="A3" s="2961"/>
      <c r="B3" s="2961"/>
      <c r="C3" s="2962" t="s">
        <v>2812</v>
      </c>
      <c r="D3" s="2962" t="s">
        <v>2868</v>
      </c>
      <c r="E3" s="2962" t="s">
        <v>2814</v>
      </c>
      <c r="F3" s="2962" t="s">
        <v>2869</v>
      </c>
      <c r="G3" s="2962" t="s">
        <v>2632</v>
      </c>
    </row>
    <row r="4" spans="1:7" ht="14.25" thickBot="1">
      <c r="A4" s="2963" t="s">
        <v>2867</v>
      </c>
      <c r="B4" s="2964" t="s">
        <v>2873</v>
      </c>
      <c r="C4" s="2962"/>
      <c r="D4" s="2962"/>
      <c r="E4" s="2962"/>
      <c r="F4" s="2962"/>
      <c r="G4" s="2962"/>
    </row>
    <row r="5" spans="1:7">
      <c r="A5" s="2965" t="s">
        <v>2841</v>
      </c>
      <c r="B5" s="2966" t="s">
        <v>2855</v>
      </c>
      <c r="C5" s="2967">
        <v>9.8000000000000004E-2</v>
      </c>
      <c r="D5" s="2967">
        <v>8.6999999999999994E-2</v>
      </c>
      <c r="E5" s="2967">
        <v>8.6999999999999994E-2</v>
      </c>
      <c r="F5" s="2967">
        <v>9.8000000000000004E-2</v>
      </c>
      <c r="G5" s="2968">
        <v>9.5000000000000001E-2</v>
      </c>
    </row>
    <row r="6" spans="1:7">
      <c r="A6" s="2969" t="s">
        <v>144</v>
      </c>
      <c r="B6" s="2970" t="s">
        <v>2870</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2856</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2906</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2924</v>
      </c>
      <c r="C29" s="2979"/>
      <c r="D29" s="2975">
        <v>5.1999999999999998E-2</v>
      </c>
      <c r="E29" s="2975">
        <v>7.0000000000000007E-2</v>
      </c>
      <c r="F29" s="2979"/>
      <c r="G29" s="2977">
        <v>7.0999999999999994E-2</v>
      </c>
    </row>
    <row r="30" spans="1:7">
      <c r="A30" s="2980" t="s">
        <v>296</v>
      </c>
      <c r="B30" s="2966" t="s">
        <v>2857</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2843</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2927</v>
      </c>
      <c r="C50" s="2971">
        <v>9.8000000000000004E-2</v>
      </c>
      <c r="D50" s="2971">
        <v>7.2999999999999995E-2</v>
      </c>
      <c r="E50" s="2971">
        <v>7.0999999999999994E-2</v>
      </c>
      <c r="F50" s="2982"/>
      <c r="G50" s="2972">
        <v>7.2999999999999995E-2</v>
      </c>
    </row>
    <row r="51" spans="1:7">
      <c r="A51" s="2981" t="s">
        <v>296</v>
      </c>
      <c r="B51" s="2970" t="s">
        <v>2929</v>
      </c>
      <c r="C51" s="2971">
        <v>9.9000000000000005E-2</v>
      </c>
      <c r="D51" s="2971">
        <v>8.5000000000000006E-2</v>
      </c>
      <c r="E51" s="2971">
        <v>6.3E-2</v>
      </c>
      <c r="F51" s="2982"/>
      <c r="G51" s="2972">
        <v>9.6000000000000002E-2</v>
      </c>
    </row>
    <row r="52" spans="1:7">
      <c r="A52" s="2981" t="s">
        <v>296</v>
      </c>
      <c r="B52" s="2970" t="s">
        <v>2933</v>
      </c>
      <c r="C52" s="2971">
        <v>7.3999999999999996E-2</v>
      </c>
      <c r="D52" s="2971">
        <v>9.6000000000000002E-2</v>
      </c>
      <c r="E52" s="2971">
        <v>0.05</v>
      </c>
      <c r="F52" s="2982"/>
      <c r="G52" s="2972">
        <v>9.8000000000000004E-2</v>
      </c>
    </row>
    <row r="53" spans="1:7">
      <c r="A53" s="2981" t="s">
        <v>296</v>
      </c>
      <c r="B53" s="2970" t="s">
        <v>2938</v>
      </c>
      <c r="C53" s="2971">
        <v>8.5999999999999993E-2</v>
      </c>
      <c r="D53" s="2982"/>
      <c r="E53" s="2971">
        <v>9.1999999999999998E-2</v>
      </c>
      <c r="F53" s="2982"/>
      <c r="G53" s="2983"/>
    </row>
    <row r="54" spans="1:7" ht="14.25" thickBot="1">
      <c r="A54" s="2984" t="s">
        <v>296</v>
      </c>
      <c r="B54" s="2974" t="s">
        <v>2941</v>
      </c>
      <c r="C54" s="2975">
        <v>9.6000000000000002E-2</v>
      </c>
      <c r="D54" s="2976"/>
      <c r="E54" s="2985"/>
      <c r="F54" s="2976"/>
      <c r="G54" s="2986"/>
    </row>
    <row r="55" spans="1:7">
      <c r="A55" s="2980" t="s">
        <v>110</v>
      </c>
      <c r="B55" s="2966" t="s">
        <v>2858</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2939</v>
      </c>
      <c r="C78" s="2971">
        <v>0.1</v>
      </c>
      <c r="D78" s="2971">
        <v>8.5000000000000006E-2</v>
      </c>
      <c r="E78" s="2971">
        <v>9.6000000000000002E-2</v>
      </c>
      <c r="F78" s="2982"/>
      <c r="G78" s="2972">
        <v>9.6000000000000002E-2</v>
      </c>
    </row>
    <row r="79" spans="1:7">
      <c r="A79" s="2981" t="s">
        <v>110</v>
      </c>
      <c r="B79" s="2970" t="s">
        <v>2942</v>
      </c>
      <c r="C79" s="2971">
        <v>0.05</v>
      </c>
      <c r="D79" s="2971">
        <v>9.6000000000000002E-2</v>
      </c>
      <c r="E79" s="2971">
        <v>9.5000000000000001E-2</v>
      </c>
      <c r="F79" s="2982"/>
      <c r="G79" s="2972">
        <v>9.8000000000000004E-2</v>
      </c>
    </row>
    <row r="80" spans="1:7">
      <c r="A80" s="2981" t="s">
        <v>110</v>
      </c>
      <c r="B80" s="2970" t="s">
        <v>2946</v>
      </c>
      <c r="C80" s="2971">
        <v>8.5999999999999993E-2</v>
      </c>
      <c r="D80" s="2987"/>
      <c r="E80" s="2971">
        <v>0.1</v>
      </c>
      <c r="F80" s="2982"/>
      <c r="G80" s="2983"/>
    </row>
    <row r="81" spans="1:7">
      <c r="A81" s="2981" t="s">
        <v>110</v>
      </c>
      <c r="B81" s="2970" t="s">
        <v>2951</v>
      </c>
      <c r="C81" s="2971">
        <v>9.6000000000000002E-2</v>
      </c>
      <c r="D81" s="2982"/>
      <c r="E81" s="2971">
        <v>9.8000000000000004E-2</v>
      </c>
      <c r="F81" s="2982"/>
      <c r="G81" s="2983"/>
    </row>
    <row r="82" spans="1:7">
      <c r="A82" s="2981" t="s">
        <v>110</v>
      </c>
      <c r="B82" s="2970" t="s">
        <v>2958</v>
      </c>
      <c r="C82" s="2987"/>
      <c r="D82" s="2982"/>
      <c r="E82" s="2971">
        <v>7.6999999999999999E-2</v>
      </c>
      <c r="F82" s="2982"/>
      <c r="G82" s="2983"/>
    </row>
    <row r="83" spans="1:7">
      <c r="A83" s="2981" t="s">
        <v>110</v>
      </c>
      <c r="B83" s="2970" t="s">
        <v>2964</v>
      </c>
      <c r="C83" s="2982"/>
      <c r="D83" s="2982"/>
      <c r="E83" s="2982"/>
      <c r="F83" s="2971">
        <v>0.1</v>
      </c>
      <c r="G83" s="2988"/>
    </row>
    <row r="84" spans="1:7">
      <c r="A84" s="2981" t="s">
        <v>110</v>
      </c>
      <c r="B84" s="2970" t="s">
        <v>2971</v>
      </c>
      <c r="C84" s="2982"/>
      <c r="D84" s="2982"/>
      <c r="E84" s="2982"/>
      <c r="F84" s="2971">
        <v>0.1</v>
      </c>
      <c r="G84" s="2988"/>
    </row>
    <row r="85" spans="1:7">
      <c r="A85" s="2981" t="s">
        <v>110</v>
      </c>
      <c r="B85" s="2970" t="s">
        <v>2978</v>
      </c>
      <c r="C85" s="2982"/>
      <c r="D85" s="2982"/>
      <c r="E85" s="2982"/>
      <c r="F85" s="2971">
        <v>0.1</v>
      </c>
      <c r="G85" s="2988"/>
    </row>
    <row r="86" spans="1:7" ht="14.25" thickBot="1">
      <c r="A86" s="2984" t="s">
        <v>110</v>
      </c>
      <c r="B86" s="2974" t="s">
        <v>2983</v>
      </c>
      <c r="C86" s="2975">
        <v>9.8000000000000004E-2</v>
      </c>
      <c r="D86" s="2975">
        <v>9.8000000000000004E-2</v>
      </c>
      <c r="E86" s="2975">
        <v>9.6000000000000002E-2</v>
      </c>
      <c r="F86" s="2985"/>
      <c r="G86" s="2977">
        <v>0.1</v>
      </c>
    </row>
    <row r="87" spans="1:7">
      <c r="A87" s="2980" t="s">
        <v>303</v>
      </c>
      <c r="B87" s="2966" t="s">
        <v>2859</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2952</v>
      </c>
      <c r="C113" s="2971">
        <v>0.1</v>
      </c>
      <c r="D113" s="2971">
        <v>0.1</v>
      </c>
      <c r="E113" s="2982"/>
      <c r="F113" s="2982"/>
      <c r="G113" s="2972">
        <v>0.1</v>
      </c>
    </row>
    <row r="114" spans="1:7">
      <c r="A114" s="2981" t="s">
        <v>303</v>
      </c>
      <c r="B114" s="2970" t="s">
        <v>2959</v>
      </c>
      <c r="C114" s="2971">
        <v>9.7000000000000003E-2</v>
      </c>
      <c r="D114" s="2971">
        <v>9.7000000000000003E-2</v>
      </c>
      <c r="E114" s="2982"/>
      <c r="F114" s="2982"/>
      <c r="G114" s="2972">
        <v>9.9000000000000005E-2</v>
      </c>
    </row>
    <row r="115" spans="1:7">
      <c r="A115" s="2981" t="s">
        <v>303</v>
      </c>
      <c r="B115" s="2970" t="s">
        <v>2965</v>
      </c>
      <c r="C115" s="2971">
        <v>0.1</v>
      </c>
      <c r="D115" s="2971">
        <v>0.1</v>
      </c>
      <c r="E115" s="2982"/>
      <c r="F115" s="2982"/>
      <c r="G115" s="2972">
        <v>0.1</v>
      </c>
    </row>
    <row r="116" spans="1:7">
      <c r="A116" s="2981" t="s">
        <v>303</v>
      </c>
      <c r="B116" s="2970" t="s">
        <v>2972</v>
      </c>
      <c r="C116" s="2971">
        <v>0.1</v>
      </c>
      <c r="D116" s="2971">
        <v>0.1</v>
      </c>
      <c r="E116" s="2982"/>
      <c r="F116" s="2982"/>
      <c r="G116" s="2972">
        <v>0.1</v>
      </c>
    </row>
    <row r="117" spans="1:7">
      <c r="A117" s="2981" t="s">
        <v>303</v>
      </c>
      <c r="B117" s="2970" t="s">
        <v>2979</v>
      </c>
      <c r="C117" s="2971">
        <v>9.7000000000000003E-2</v>
      </c>
      <c r="D117" s="2971">
        <v>9.7000000000000003E-2</v>
      </c>
      <c r="E117" s="2982"/>
      <c r="F117" s="2982"/>
      <c r="G117" s="2972">
        <v>9.7000000000000003E-2</v>
      </c>
    </row>
    <row r="118" spans="1:7">
      <c r="A118" s="2981" t="s">
        <v>303</v>
      </c>
      <c r="B118" s="2970" t="s">
        <v>2984</v>
      </c>
      <c r="C118" s="2971">
        <v>0.1</v>
      </c>
      <c r="D118" s="2971">
        <v>0.1</v>
      </c>
      <c r="E118" s="2982"/>
      <c r="F118" s="2982"/>
      <c r="G118" s="2972">
        <v>0.1</v>
      </c>
    </row>
    <row r="119" spans="1:7">
      <c r="A119" s="2981" t="s">
        <v>303</v>
      </c>
      <c r="B119" s="2970" t="s">
        <v>2988</v>
      </c>
      <c r="C119" s="2971">
        <v>5.0999999999999997E-2</v>
      </c>
      <c r="D119" s="2971">
        <v>5.1999999999999998E-2</v>
      </c>
      <c r="E119" s="2982"/>
      <c r="F119" s="2987"/>
      <c r="G119" s="2972">
        <v>0.06</v>
      </c>
    </row>
    <row r="120" spans="1:7">
      <c r="A120" s="2981" t="s">
        <v>303</v>
      </c>
      <c r="B120" s="2970" t="s">
        <v>2992</v>
      </c>
      <c r="C120" s="2982"/>
      <c r="D120" s="2982"/>
      <c r="E120" s="2982"/>
      <c r="F120" s="2971">
        <v>0.1</v>
      </c>
      <c r="G120" s="2988"/>
    </row>
    <row r="121" spans="1:7">
      <c r="A121" s="2981" t="s">
        <v>303</v>
      </c>
      <c r="B121" s="2970" t="s">
        <v>2997</v>
      </c>
      <c r="C121" s="2982"/>
      <c r="D121" s="2982"/>
      <c r="E121" s="2982"/>
      <c r="F121" s="2971">
        <v>0.1</v>
      </c>
      <c r="G121" s="2988"/>
    </row>
    <row r="122" spans="1:7">
      <c r="A122" s="2981" t="s">
        <v>303</v>
      </c>
      <c r="B122" s="2970" t="s">
        <v>3002</v>
      </c>
      <c r="C122" s="2971">
        <v>0.1</v>
      </c>
      <c r="D122" s="2971">
        <v>0.1</v>
      </c>
      <c r="E122" s="2971">
        <v>9.8000000000000004E-2</v>
      </c>
      <c r="F122" s="2971">
        <v>0.1</v>
      </c>
      <c r="G122" s="2972">
        <v>0.1</v>
      </c>
    </row>
    <row r="123" spans="1:7">
      <c r="A123" s="2981" t="s">
        <v>303</v>
      </c>
      <c r="B123" s="2970" t="s">
        <v>3007</v>
      </c>
      <c r="C123" s="2971">
        <v>0.1</v>
      </c>
      <c r="D123" s="2971">
        <v>0.1</v>
      </c>
      <c r="E123" s="2971">
        <v>9.8000000000000004E-2</v>
      </c>
      <c r="F123" s="2971">
        <v>0.1</v>
      </c>
      <c r="G123" s="2972">
        <v>0.1</v>
      </c>
    </row>
    <row r="124" spans="1:7">
      <c r="A124" s="2981" t="s">
        <v>303</v>
      </c>
      <c r="B124" s="2970" t="s">
        <v>3012</v>
      </c>
      <c r="C124" s="2971">
        <v>0.1</v>
      </c>
      <c r="D124" s="2971">
        <v>0.1</v>
      </c>
      <c r="E124" s="2971">
        <v>9.8000000000000004E-2</v>
      </c>
      <c r="F124" s="2987"/>
      <c r="G124" s="2972">
        <v>0.1</v>
      </c>
    </row>
    <row r="125" spans="1:7">
      <c r="A125" s="2981" t="s">
        <v>303</v>
      </c>
      <c r="B125" s="2970" t="s">
        <v>3017</v>
      </c>
      <c r="C125" s="2971">
        <v>9.8000000000000004E-2</v>
      </c>
      <c r="D125" s="2971">
        <v>9.8000000000000004E-2</v>
      </c>
      <c r="E125" s="2971">
        <v>9.6000000000000002E-2</v>
      </c>
      <c r="F125" s="2987"/>
      <c r="G125" s="2972">
        <v>0.1</v>
      </c>
    </row>
    <row r="126" spans="1:7" ht="14.25" thickBot="1">
      <c r="A126" s="2984" t="s">
        <v>303</v>
      </c>
      <c r="B126" s="2974" t="s">
        <v>3183</v>
      </c>
      <c r="C126" s="2975">
        <v>0.1</v>
      </c>
      <c r="D126" s="2975">
        <v>0.1</v>
      </c>
      <c r="E126" s="2975">
        <v>9.8000000000000004E-2</v>
      </c>
      <c r="F126" s="2975">
        <v>0.1</v>
      </c>
      <c r="G126" s="2977">
        <v>0.1</v>
      </c>
    </row>
    <row r="127" spans="1:7">
      <c r="A127" s="2980" t="s">
        <v>29</v>
      </c>
      <c r="B127" s="2966" t="s">
        <v>2860</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2930</v>
      </c>
      <c r="C148" s="2971">
        <v>0.13</v>
      </c>
      <c r="D148" s="2971">
        <v>0.13</v>
      </c>
      <c r="E148" s="2971">
        <v>0.13</v>
      </c>
      <c r="F148" s="2982"/>
      <c r="G148" s="2972">
        <v>0.13</v>
      </c>
    </row>
    <row r="149" spans="1:7">
      <c r="A149" s="2981" t="s">
        <v>29</v>
      </c>
      <c r="B149" s="2970" t="s">
        <v>2934</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2953</v>
      </c>
      <c r="C153" s="2971">
        <v>0.13</v>
      </c>
      <c r="D153" s="2971">
        <v>0.13</v>
      </c>
      <c r="E153" s="2971">
        <v>0.13</v>
      </c>
      <c r="F153" s="2971">
        <v>0.13</v>
      </c>
      <c r="G153" s="2972">
        <v>0.13</v>
      </c>
    </row>
    <row r="154" spans="1:7">
      <c r="A154" s="2981" t="s">
        <v>29</v>
      </c>
      <c r="B154" s="2970" t="s">
        <v>2960</v>
      </c>
      <c r="C154" s="2971">
        <v>0.121</v>
      </c>
      <c r="D154" s="2971">
        <v>0.121</v>
      </c>
      <c r="E154" s="2971">
        <v>0.105</v>
      </c>
      <c r="F154" s="2971">
        <v>0.121</v>
      </c>
      <c r="G154" s="2972">
        <v>0.123</v>
      </c>
    </row>
    <row r="155" spans="1:7">
      <c r="A155" s="2981" t="s">
        <v>29</v>
      </c>
      <c r="B155" s="2970" t="s">
        <v>2966</v>
      </c>
      <c r="C155" s="2971">
        <v>0.1</v>
      </c>
      <c r="D155" s="2971">
        <v>0.1</v>
      </c>
      <c r="E155" s="2971">
        <v>0.1</v>
      </c>
      <c r="F155" s="2971">
        <v>0.1</v>
      </c>
      <c r="G155" s="2972">
        <v>0.1</v>
      </c>
    </row>
    <row r="156" spans="1:7">
      <c r="A156" s="2981" t="s">
        <v>29</v>
      </c>
      <c r="B156" s="2970" t="s">
        <v>2973</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2993</v>
      </c>
      <c r="C160" s="2971">
        <v>0.13</v>
      </c>
      <c r="D160" s="2971">
        <v>0.13</v>
      </c>
      <c r="E160" s="2971">
        <v>0.124</v>
      </c>
      <c r="F160" s="2971">
        <v>0.126</v>
      </c>
      <c r="G160" s="2972">
        <v>0.13</v>
      </c>
    </row>
    <row r="161" spans="1:7">
      <c r="A161" s="2981" t="s">
        <v>29</v>
      </c>
      <c r="B161" s="2970" t="s">
        <v>2998</v>
      </c>
      <c r="C161" s="2971">
        <v>0.13</v>
      </c>
      <c r="D161" s="2971">
        <v>0.13</v>
      </c>
      <c r="E161" s="2971">
        <v>0.124</v>
      </c>
      <c r="F161" s="2971">
        <v>0.127</v>
      </c>
      <c r="G161" s="2972">
        <v>0.13</v>
      </c>
    </row>
    <row r="162" spans="1:7">
      <c r="A162" s="2981" t="s">
        <v>29</v>
      </c>
      <c r="B162" s="2970" t="s">
        <v>3003</v>
      </c>
      <c r="C162" s="2971">
        <v>0.1</v>
      </c>
      <c r="D162" s="2971">
        <v>0.1</v>
      </c>
      <c r="E162" s="2971">
        <v>0.1</v>
      </c>
      <c r="F162" s="2971">
        <v>0.121</v>
      </c>
      <c r="G162" s="2972">
        <v>0.105</v>
      </c>
    </row>
    <row r="163" spans="1:7">
      <c r="A163" s="2981" t="s">
        <v>29</v>
      </c>
      <c r="B163" s="2970" t="s">
        <v>3008</v>
      </c>
      <c r="C163" s="2971">
        <v>0.1</v>
      </c>
      <c r="D163" s="2971">
        <v>0.1</v>
      </c>
      <c r="E163" s="2971">
        <v>0.1</v>
      </c>
      <c r="F163" s="2971">
        <v>0.1</v>
      </c>
      <c r="G163" s="2972">
        <v>0.1</v>
      </c>
    </row>
    <row r="164" spans="1:7">
      <c r="A164" s="2981" t="s">
        <v>29</v>
      </c>
      <c r="B164" s="2970" t="s">
        <v>3013</v>
      </c>
      <c r="C164" s="2987"/>
      <c r="D164" s="2987"/>
      <c r="E164" s="2987"/>
      <c r="F164" s="2971">
        <v>0.1</v>
      </c>
      <c r="G164" s="2983"/>
    </row>
    <row r="165" spans="1:7">
      <c r="A165" s="2981" t="s">
        <v>29</v>
      </c>
      <c r="B165" s="2970" t="s">
        <v>3184</v>
      </c>
      <c r="C165" s="2971">
        <v>0.126</v>
      </c>
      <c r="D165" s="2971">
        <v>0.126</v>
      </c>
      <c r="E165" s="2971">
        <v>0.11899999999999999</v>
      </c>
      <c r="F165" s="2971">
        <v>0.13</v>
      </c>
      <c r="G165" s="2972">
        <v>0.128</v>
      </c>
    </row>
    <row r="166" spans="1:7">
      <c r="A166" s="2981" t="s">
        <v>29</v>
      </c>
      <c r="B166" s="2970" t="s">
        <v>3023</v>
      </c>
      <c r="C166" s="2971">
        <v>0.129</v>
      </c>
      <c r="D166" s="2971">
        <v>0.129</v>
      </c>
      <c r="E166" s="2971">
        <v>0.123</v>
      </c>
      <c r="F166" s="2971">
        <v>0.128</v>
      </c>
      <c r="G166" s="2972">
        <v>0.13</v>
      </c>
    </row>
    <row r="167" spans="1:7">
      <c r="A167" s="2981" t="s">
        <v>29</v>
      </c>
      <c r="B167" s="2970" t="s">
        <v>3027</v>
      </c>
      <c r="C167" s="2971">
        <v>0.125</v>
      </c>
      <c r="D167" s="2971">
        <v>0.125</v>
      </c>
      <c r="E167" s="2971">
        <v>0.11700000000000001</v>
      </c>
      <c r="F167" s="2971">
        <v>0.13</v>
      </c>
      <c r="G167" s="2972">
        <v>0.126</v>
      </c>
    </row>
    <row r="168" spans="1:7">
      <c r="A168" s="2981" t="s">
        <v>29</v>
      </c>
      <c r="B168" s="2970" t="s">
        <v>3032</v>
      </c>
      <c r="C168" s="2971">
        <v>0.128</v>
      </c>
      <c r="D168" s="2971">
        <v>0.128</v>
      </c>
      <c r="E168" s="2971">
        <v>0.123</v>
      </c>
      <c r="F168" s="2982"/>
      <c r="G168" s="2972">
        <v>0.13</v>
      </c>
    </row>
    <row r="169" spans="1:7">
      <c r="A169" s="2981" t="s">
        <v>29</v>
      </c>
      <c r="B169" s="2970" t="s">
        <v>3185</v>
      </c>
      <c r="C169" s="2987"/>
      <c r="D169" s="2987"/>
      <c r="E169" s="2987"/>
      <c r="F169" s="2971">
        <v>0.05</v>
      </c>
      <c r="G169" s="2983"/>
    </row>
    <row r="170" spans="1:7">
      <c r="A170" s="2981" t="s">
        <v>29</v>
      </c>
      <c r="B170" s="2970" t="s">
        <v>3186</v>
      </c>
      <c r="C170" s="2987"/>
      <c r="D170" s="2987"/>
      <c r="E170" s="2987"/>
      <c r="F170" s="2971">
        <v>0.05</v>
      </c>
      <c r="G170" s="2983"/>
    </row>
    <row r="171" spans="1:7">
      <c r="A171" s="2981" t="s">
        <v>29</v>
      </c>
      <c r="B171" s="2970" t="s">
        <v>3187</v>
      </c>
      <c r="C171" s="2987"/>
      <c r="D171" s="2987"/>
      <c r="E171" s="2987"/>
      <c r="F171" s="2971">
        <v>0.05</v>
      </c>
      <c r="G171" s="2988"/>
    </row>
    <row r="172" spans="1:7">
      <c r="A172" s="2981" t="s">
        <v>29</v>
      </c>
      <c r="B172" s="2970" t="s">
        <v>3188</v>
      </c>
      <c r="C172" s="2987"/>
      <c r="D172" s="2987"/>
      <c r="E172" s="2987"/>
      <c r="F172" s="2971">
        <v>0.05</v>
      </c>
      <c r="G172" s="2988"/>
    </row>
    <row r="173" spans="1:7">
      <c r="A173" s="2981" t="s">
        <v>29</v>
      </c>
      <c r="B173" s="2970" t="s">
        <v>3189</v>
      </c>
      <c r="C173" s="2987"/>
      <c r="D173" s="2987"/>
      <c r="E173" s="2987"/>
      <c r="F173" s="2971">
        <v>0.05</v>
      </c>
      <c r="G173" s="2983"/>
    </row>
    <row r="174" spans="1:7">
      <c r="A174" s="2981" t="s">
        <v>29</v>
      </c>
      <c r="B174" s="2970" t="s">
        <v>3190</v>
      </c>
      <c r="C174" s="2987"/>
      <c r="D174" s="2987"/>
      <c r="E174" s="2987"/>
      <c r="F174" s="2971">
        <v>0.05</v>
      </c>
      <c r="G174" s="2983"/>
    </row>
    <row r="175" spans="1:7">
      <c r="A175" s="2981" t="s">
        <v>29</v>
      </c>
      <c r="B175" s="2970" t="s">
        <v>3191</v>
      </c>
      <c r="C175" s="2987"/>
      <c r="D175" s="2987"/>
      <c r="E175" s="2987"/>
      <c r="F175" s="2971">
        <v>0.05</v>
      </c>
      <c r="G175" s="2983"/>
    </row>
    <row r="176" spans="1:7">
      <c r="A176" s="2981" t="s">
        <v>29</v>
      </c>
      <c r="B176" s="2970" t="s">
        <v>3192</v>
      </c>
      <c r="C176" s="2987"/>
      <c r="D176" s="2987"/>
      <c r="E176" s="2987"/>
      <c r="F176" s="2971">
        <v>0.05</v>
      </c>
      <c r="G176" s="2983"/>
    </row>
    <row r="177" spans="1:7">
      <c r="A177" s="2981" t="s">
        <v>29</v>
      </c>
      <c r="B177" s="2970" t="s">
        <v>3193</v>
      </c>
      <c r="C177" s="2982"/>
      <c r="D177" s="2982"/>
      <c r="E177" s="2982"/>
      <c r="F177" s="2971">
        <v>0.05</v>
      </c>
      <c r="G177" s="2988"/>
    </row>
    <row r="178" spans="1:7">
      <c r="A178" s="2981" t="s">
        <v>29</v>
      </c>
      <c r="B178" s="2970" t="s">
        <v>3194</v>
      </c>
      <c r="C178" s="2982"/>
      <c r="D178" s="2982"/>
      <c r="E178" s="2982"/>
      <c r="F178" s="2971">
        <v>0.05</v>
      </c>
      <c r="G178" s="2988"/>
    </row>
    <row r="179" spans="1:7">
      <c r="A179" s="2981" t="s">
        <v>29</v>
      </c>
      <c r="B179" s="2970" t="s">
        <v>3195</v>
      </c>
      <c r="C179" s="2982"/>
      <c r="D179" s="2982"/>
      <c r="E179" s="2982"/>
      <c r="F179" s="2971">
        <v>0.05</v>
      </c>
      <c r="G179" s="2988"/>
    </row>
    <row r="180" spans="1:7">
      <c r="A180" s="2981" t="s">
        <v>29</v>
      </c>
      <c r="B180" s="2970" t="s">
        <v>3196</v>
      </c>
      <c r="C180" s="2982"/>
      <c r="D180" s="2982"/>
      <c r="E180" s="2982"/>
      <c r="F180" s="2971">
        <v>0.05</v>
      </c>
      <c r="G180" s="2988"/>
    </row>
    <row r="181" spans="1:7">
      <c r="A181" s="2981" t="s">
        <v>29</v>
      </c>
      <c r="B181" s="2970" t="s">
        <v>3197</v>
      </c>
      <c r="C181" s="2982"/>
      <c r="D181" s="2982"/>
      <c r="E181" s="2982"/>
      <c r="F181" s="2971">
        <v>0.05</v>
      </c>
      <c r="G181" s="2988"/>
    </row>
    <row r="182" spans="1:7">
      <c r="A182" s="2981" t="s">
        <v>29</v>
      </c>
      <c r="B182" s="2970" t="s">
        <v>3198</v>
      </c>
      <c r="C182" s="2982"/>
      <c r="D182" s="2982"/>
      <c r="E182" s="2982"/>
      <c r="F182" s="2971">
        <v>0.05</v>
      </c>
      <c r="G182" s="2988"/>
    </row>
    <row r="183" spans="1:7">
      <c r="A183" s="2981" t="s">
        <v>29</v>
      </c>
      <c r="B183" s="2970" t="s">
        <v>3199</v>
      </c>
      <c r="C183" s="2982"/>
      <c r="D183" s="2982"/>
      <c r="E183" s="2982"/>
      <c r="F183" s="2971">
        <v>0.05</v>
      </c>
      <c r="G183" s="2988"/>
    </row>
    <row r="184" spans="1:7">
      <c r="A184" s="2981" t="s">
        <v>29</v>
      </c>
      <c r="B184" s="2970" t="s">
        <v>3200</v>
      </c>
      <c r="C184" s="2982"/>
      <c r="D184" s="2982"/>
      <c r="E184" s="2982"/>
      <c r="F184" s="2971">
        <v>0.05</v>
      </c>
      <c r="G184" s="2988"/>
    </row>
    <row r="185" spans="1:7">
      <c r="A185" s="2981" t="s">
        <v>29</v>
      </c>
      <c r="B185" s="2970" t="s">
        <v>3201</v>
      </c>
      <c r="C185" s="2982"/>
      <c r="D185" s="2982"/>
      <c r="E185" s="2982"/>
      <c r="F185" s="2971">
        <v>0.05</v>
      </c>
      <c r="G185" s="2988"/>
    </row>
    <row r="186" spans="1:7">
      <c r="A186" s="2981" t="s">
        <v>29</v>
      </c>
      <c r="B186" s="2970" t="s">
        <v>3202</v>
      </c>
      <c r="C186" s="2982"/>
      <c r="D186" s="2982"/>
      <c r="E186" s="2982"/>
      <c r="F186" s="2971">
        <v>0.05</v>
      </c>
      <c r="G186" s="2988"/>
    </row>
    <row r="187" spans="1:7">
      <c r="A187" s="2981" t="s">
        <v>29</v>
      </c>
      <c r="B187" s="2970" t="s">
        <v>3203</v>
      </c>
      <c r="C187" s="2982"/>
      <c r="D187" s="2982"/>
      <c r="E187" s="2982"/>
      <c r="F187" s="2971">
        <v>0.05</v>
      </c>
      <c r="G187" s="2988"/>
    </row>
    <row r="188" spans="1:7">
      <c r="A188" s="2981" t="s">
        <v>29</v>
      </c>
      <c r="B188" s="2970" t="s">
        <v>3204</v>
      </c>
      <c r="C188" s="2982"/>
      <c r="D188" s="2982"/>
      <c r="E188" s="2982"/>
      <c r="F188" s="2971">
        <v>0.05</v>
      </c>
      <c r="G188" s="2988"/>
    </row>
    <row r="189" spans="1:7" ht="14.25" thickBot="1">
      <c r="A189" s="2984" t="s">
        <v>29</v>
      </c>
      <c r="B189" s="2974" t="s">
        <v>3205</v>
      </c>
      <c r="C189" s="2976"/>
      <c r="D189" s="2976"/>
      <c r="E189" s="2976"/>
      <c r="F189" s="2975">
        <v>0.05</v>
      </c>
      <c r="G189" s="2989"/>
    </row>
    <row r="190" spans="1:7">
      <c r="A190" s="2980" t="s">
        <v>304</v>
      </c>
      <c r="B190" s="2966" t="s">
        <v>2861</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2897</v>
      </c>
      <c r="C199" s="2971">
        <v>0.13</v>
      </c>
      <c r="D199" s="2971">
        <v>0.13</v>
      </c>
      <c r="E199" s="2971">
        <v>0.13</v>
      </c>
      <c r="F199" s="2971">
        <v>0.13</v>
      </c>
      <c r="G199" s="2972">
        <v>0.13</v>
      </c>
    </row>
    <row r="200" spans="1:7">
      <c r="A200" s="2981" t="s">
        <v>304</v>
      </c>
      <c r="B200" s="2970" t="s">
        <v>2900</v>
      </c>
      <c r="C200" s="2987"/>
      <c r="D200" s="2987"/>
      <c r="E200" s="2987"/>
      <c r="F200" s="2971">
        <v>0.13</v>
      </c>
      <c r="G200" s="2983"/>
    </row>
    <row r="201" spans="1:7">
      <c r="A201" s="2981" t="s">
        <v>304</v>
      </c>
      <c r="B201" s="2970" t="s">
        <v>2905</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2908</v>
      </c>
      <c r="C203" s="2971">
        <v>0.129</v>
      </c>
      <c r="D203" s="2971">
        <v>0.129</v>
      </c>
      <c r="E203" s="2971">
        <v>0.13</v>
      </c>
      <c r="F203" s="2971">
        <v>0.13</v>
      </c>
      <c r="G203" s="2972">
        <v>0.13</v>
      </c>
    </row>
    <row r="204" spans="1:7">
      <c r="A204" s="2981" t="s">
        <v>304</v>
      </c>
      <c r="B204" s="2970" t="s">
        <v>2911</v>
      </c>
      <c r="C204" s="2971">
        <v>0.129</v>
      </c>
      <c r="D204" s="2971">
        <v>0.129</v>
      </c>
      <c r="E204" s="2971">
        <v>0.123</v>
      </c>
      <c r="F204" s="2971">
        <v>0.13</v>
      </c>
      <c r="G204" s="2972">
        <v>0.13</v>
      </c>
    </row>
    <row r="205" spans="1:7">
      <c r="A205" s="2981" t="s">
        <v>304</v>
      </c>
      <c r="B205" s="2970" t="s">
        <v>2913</v>
      </c>
      <c r="C205" s="2971">
        <v>0.13</v>
      </c>
      <c r="D205" s="2971">
        <v>0.13</v>
      </c>
      <c r="E205" s="2971">
        <v>0.13</v>
      </c>
      <c r="F205" s="2971">
        <v>0.13</v>
      </c>
      <c r="G205" s="2972">
        <v>0.13</v>
      </c>
    </row>
    <row r="206" spans="1:7">
      <c r="A206" s="2981" t="s">
        <v>304</v>
      </c>
      <c r="B206" s="2970" t="s">
        <v>2916</v>
      </c>
      <c r="C206" s="2971">
        <v>0.13</v>
      </c>
      <c r="D206" s="2971">
        <v>0.13</v>
      </c>
      <c r="E206" s="2971">
        <v>0.13</v>
      </c>
      <c r="F206" s="2971">
        <v>0.128</v>
      </c>
      <c r="G206" s="2972">
        <v>0.13</v>
      </c>
    </row>
    <row r="207" spans="1:7">
      <c r="A207" s="2981" t="s">
        <v>304</v>
      </c>
      <c r="B207" s="2970" t="s">
        <v>2918</v>
      </c>
      <c r="C207" s="2971">
        <v>0.13</v>
      </c>
      <c r="D207" s="2971">
        <v>0.13</v>
      </c>
      <c r="E207" s="2971">
        <v>0.13</v>
      </c>
      <c r="F207" s="2971">
        <v>0.13</v>
      </c>
      <c r="G207" s="2972">
        <v>0.13</v>
      </c>
    </row>
    <row r="208" spans="1:7">
      <c r="A208" s="2981" t="s">
        <v>304</v>
      </c>
      <c r="B208" s="2970" t="s">
        <v>2921</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2928</v>
      </c>
      <c r="C210" s="2971">
        <v>0.121</v>
      </c>
      <c r="D210" s="2971">
        <v>0.121</v>
      </c>
      <c r="E210" s="2971">
        <v>0.125</v>
      </c>
      <c r="F210" s="2971">
        <v>0.13</v>
      </c>
      <c r="G210" s="2972">
        <v>0.123</v>
      </c>
    </row>
    <row r="211" spans="1:7">
      <c r="A211" s="2981" t="s">
        <v>304</v>
      </c>
      <c r="B211" s="2970" t="s">
        <v>2931</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2943</v>
      </c>
      <c r="C214" s="2971">
        <v>0.128</v>
      </c>
      <c r="D214" s="2971">
        <v>0.128</v>
      </c>
      <c r="E214" s="2971">
        <v>0.13</v>
      </c>
      <c r="F214" s="2971">
        <v>0.13</v>
      </c>
      <c r="G214" s="2972">
        <v>0.13</v>
      </c>
    </row>
    <row r="215" spans="1:7">
      <c r="A215" s="2981" t="s">
        <v>304</v>
      </c>
      <c r="B215" s="2970" t="s">
        <v>2947</v>
      </c>
      <c r="C215" s="2971">
        <v>0.13</v>
      </c>
      <c r="D215" s="2971">
        <v>0.13</v>
      </c>
      <c r="E215" s="2971">
        <v>0.13</v>
      </c>
      <c r="F215" s="2971">
        <v>0.129</v>
      </c>
      <c r="G215" s="2972">
        <v>0.13</v>
      </c>
    </row>
    <row r="216" spans="1:7">
      <c r="A216" s="2981" t="s">
        <v>304</v>
      </c>
      <c r="B216" s="2970" t="s">
        <v>2954</v>
      </c>
      <c r="C216" s="2971">
        <v>0.13</v>
      </c>
      <c r="D216" s="2971">
        <v>0.13</v>
      </c>
      <c r="E216" s="2971">
        <v>0.13</v>
      </c>
      <c r="F216" s="2971">
        <v>0.13</v>
      </c>
      <c r="G216" s="2972">
        <v>0.13</v>
      </c>
    </row>
    <row r="217" spans="1:7">
      <c r="A217" s="2981" t="s">
        <v>304</v>
      </c>
      <c r="B217" s="2970" t="s">
        <v>2961</v>
      </c>
      <c r="C217" s="2971">
        <v>0.129</v>
      </c>
      <c r="D217" s="2971">
        <v>0.129</v>
      </c>
      <c r="E217" s="2971">
        <v>0.13</v>
      </c>
      <c r="F217" s="2971">
        <v>0.13</v>
      </c>
      <c r="G217" s="2972">
        <v>0.13</v>
      </c>
    </row>
    <row r="218" spans="1:7">
      <c r="A218" s="2981" t="s">
        <v>304</v>
      </c>
      <c r="B218" s="2970" t="s">
        <v>2967</v>
      </c>
      <c r="C218" s="2982"/>
      <c r="D218" s="2982"/>
      <c r="E218" s="2982"/>
      <c r="F218" s="2971">
        <v>0.05</v>
      </c>
      <c r="G218" s="2988"/>
    </row>
    <row r="219" spans="1:7">
      <c r="A219" s="2981" t="s">
        <v>304</v>
      </c>
      <c r="B219" s="2970" t="s">
        <v>2974</v>
      </c>
      <c r="C219" s="2982"/>
      <c r="D219" s="2982"/>
      <c r="E219" s="2982"/>
      <c r="F219" s="2971">
        <v>0.05</v>
      </c>
      <c r="G219" s="2988"/>
    </row>
    <row r="220" spans="1:7">
      <c r="A220" s="2981" t="s">
        <v>304</v>
      </c>
      <c r="B220" s="2970" t="s">
        <v>2980</v>
      </c>
      <c r="C220" s="2982"/>
      <c r="D220" s="2982"/>
      <c r="E220" s="2982"/>
      <c r="F220" s="2971">
        <v>0.05</v>
      </c>
      <c r="G220" s="2988"/>
    </row>
    <row r="221" spans="1:7">
      <c r="A221" s="2981" t="s">
        <v>304</v>
      </c>
      <c r="B221" s="2970" t="s">
        <v>2985</v>
      </c>
      <c r="C221" s="2982"/>
      <c r="D221" s="2982"/>
      <c r="E221" s="2982"/>
      <c r="F221" s="2971">
        <v>0.05</v>
      </c>
      <c r="G221" s="2988"/>
    </row>
    <row r="222" spans="1:7">
      <c r="A222" s="2981" t="s">
        <v>304</v>
      </c>
      <c r="B222" s="2970" t="s">
        <v>2989</v>
      </c>
      <c r="C222" s="2982"/>
      <c r="D222" s="2982"/>
      <c r="E222" s="2982"/>
      <c r="F222" s="2971">
        <v>0.05</v>
      </c>
      <c r="G222" s="2988"/>
    </row>
    <row r="223" spans="1:7">
      <c r="A223" s="2981" t="s">
        <v>304</v>
      </c>
      <c r="B223" s="2970" t="s">
        <v>2994</v>
      </c>
      <c r="C223" s="2982"/>
      <c r="D223" s="2982"/>
      <c r="E223" s="2982"/>
      <c r="F223" s="2971">
        <v>0.05</v>
      </c>
      <c r="G223" s="2988"/>
    </row>
    <row r="224" spans="1:7">
      <c r="A224" s="2981" t="s">
        <v>304</v>
      </c>
      <c r="B224" s="2970" t="s">
        <v>2999</v>
      </c>
      <c r="C224" s="2982"/>
      <c r="D224" s="2982"/>
      <c r="E224" s="2982"/>
      <c r="F224" s="2971">
        <v>0.05</v>
      </c>
      <c r="G224" s="2988"/>
    </row>
    <row r="225" spans="1:7">
      <c r="A225" s="2981" t="s">
        <v>304</v>
      </c>
      <c r="B225" s="2970" t="s">
        <v>3004</v>
      </c>
      <c r="C225" s="2982"/>
      <c r="D225" s="2982"/>
      <c r="E225" s="2982"/>
      <c r="F225" s="2971">
        <v>0.05</v>
      </c>
      <c r="G225" s="2988"/>
    </row>
    <row r="226" spans="1:7">
      <c r="A226" s="2981" t="s">
        <v>304</v>
      </c>
      <c r="B226" s="2970" t="s">
        <v>3206</v>
      </c>
      <c r="C226" s="2982"/>
      <c r="D226" s="2982"/>
      <c r="E226" s="2982"/>
      <c r="F226" s="2971">
        <v>0.05</v>
      </c>
      <c r="G226" s="2988"/>
    </row>
    <row r="227" spans="1:7">
      <c r="A227" s="2981" t="s">
        <v>304</v>
      </c>
      <c r="B227" s="2970" t="s">
        <v>3207</v>
      </c>
      <c r="C227" s="2982"/>
      <c r="D227" s="2982"/>
      <c r="E227" s="2982"/>
      <c r="F227" s="2971">
        <v>0.05</v>
      </c>
      <c r="G227" s="2988"/>
    </row>
    <row r="228" spans="1:7">
      <c r="A228" s="2981" t="s">
        <v>304</v>
      </c>
      <c r="B228" s="2970" t="s">
        <v>3208</v>
      </c>
      <c r="C228" s="2982"/>
      <c r="D228" s="2982"/>
      <c r="E228" s="2982"/>
      <c r="F228" s="2971">
        <v>0.05</v>
      </c>
      <c r="G228" s="2988"/>
    </row>
    <row r="229" spans="1:7">
      <c r="A229" s="2981" t="s">
        <v>304</v>
      </c>
      <c r="B229" s="2970" t="s">
        <v>3209</v>
      </c>
      <c r="C229" s="2982"/>
      <c r="D229" s="2982"/>
      <c r="E229" s="2982"/>
      <c r="F229" s="2971">
        <v>0.05</v>
      </c>
      <c r="G229" s="2988"/>
    </row>
    <row r="230" spans="1:7">
      <c r="A230" s="2981" t="s">
        <v>304</v>
      </c>
      <c r="B230" s="2970" t="s">
        <v>3210</v>
      </c>
      <c r="C230" s="2982"/>
      <c r="D230" s="2982"/>
      <c r="E230" s="2982"/>
      <c r="F230" s="2971">
        <v>0.05</v>
      </c>
      <c r="G230" s="2988"/>
    </row>
    <row r="231" spans="1:7">
      <c r="A231" s="2981" t="s">
        <v>304</v>
      </c>
      <c r="B231" s="2970" t="s">
        <v>3211</v>
      </c>
      <c r="C231" s="2982"/>
      <c r="D231" s="2982"/>
      <c r="E231" s="2982"/>
      <c r="F231" s="2971">
        <v>0.05</v>
      </c>
      <c r="G231" s="2988"/>
    </row>
    <row r="232" spans="1:7">
      <c r="A232" s="2981" t="s">
        <v>304</v>
      </c>
      <c r="B232" s="2970" t="s">
        <v>3212</v>
      </c>
      <c r="C232" s="2982"/>
      <c r="D232" s="2982"/>
      <c r="E232" s="2982"/>
      <c r="F232" s="2971">
        <v>0.05</v>
      </c>
      <c r="G232" s="2988"/>
    </row>
    <row r="233" spans="1:7" ht="14.25" thickBot="1">
      <c r="A233" s="2984" t="s">
        <v>304</v>
      </c>
      <c r="B233" s="2974" t="s">
        <v>3213</v>
      </c>
      <c r="C233" s="2976"/>
      <c r="D233" s="2976"/>
      <c r="E233" s="2976"/>
      <c r="F233" s="2975">
        <v>0.05</v>
      </c>
      <c r="G233" s="2989"/>
    </row>
    <row r="234" spans="1:7">
      <c r="A234" s="2980" t="s">
        <v>305</v>
      </c>
      <c r="B234" s="2966" t="s">
        <v>2862</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2882</v>
      </c>
      <c r="C238" s="2971">
        <v>0.14899999999999999</v>
      </c>
      <c r="D238" s="2971">
        <v>0.14899999999999999</v>
      </c>
      <c r="E238" s="2971">
        <v>0.15</v>
      </c>
      <c r="F238" s="2971">
        <v>0.15</v>
      </c>
      <c r="G238" s="2972">
        <v>0.15</v>
      </c>
    </row>
    <row r="239" spans="1:7">
      <c r="A239" s="2981" t="s">
        <v>305</v>
      </c>
      <c r="B239" s="2970" t="s">
        <v>2886</v>
      </c>
      <c r="C239" s="2971">
        <v>0.15</v>
      </c>
      <c r="D239" s="2971">
        <v>0.15</v>
      </c>
      <c r="E239" s="2971">
        <v>0.15</v>
      </c>
      <c r="F239" s="2971">
        <v>0.15</v>
      </c>
      <c r="G239" s="2972">
        <v>0.15</v>
      </c>
    </row>
    <row r="240" spans="1:7">
      <c r="A240" s="2981" t="s">
        <v>305</v>
      </c>
      <c r="B240" s="2970" t="s">
        <v>2891</v>
      </c>
      <c r="C240" s="2971">
        <v>0.15</v>
      </c>
      <c r="D240" s="2971">
        <v>0.15</v>
      </c>
      <c r="E240" s="2971">
        <v>0.15</v>
      </c>
      <c r="F240" s="2971">
        <v>0.15</v>
      </c>
      <c r="G240" s="2972">
        <v>0.15</v>
      </c>
    </row>
    <row r="241" spans="1:7">
      <c r="A241" s="2981" t="s">
        <v>305</v>
      </c>
      <c r="B241" s="2970" t="s">
        <v>2895</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2901</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2909</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2914</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2922</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2935</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2944</v>
      </c>
      <c r="C258" s="2971">
        <v>0.14299999999999999</v>
      </c>
      <c r="D258" s="2971">
        <v>0.14299999999999999</v>
      </c>
      <c r="E258" s="2971">
        <v>0.15</v>
      </c>
      <c r="F258" s="2971">
        <v>0.14799999999999999</v>
      </c>
      <c r="G258" s="2972">
        <v>0.14599999999999999</v>
      </c>
    </row>
    <row r="259" spans="1:7">
      <c r="A259" s="2981" t="s">
        <v>305</v>
      </c>
      <c r="B259" s="2970" t="s">
        <v>2948</v>
      </c>
      <c r="C259" s="2971">
        <v>0.14399999999999999</v>
      </c>
      <c r="D259" s="2971">
        <v>0.14399999999999999</v>
      </c>
      <c r="E259" s="2971">
        <v>0.14899999999999999</v>
      </c>
      <c r="F259" s="2971">
        <v>0.14699999999999999</v>
      </c>
      <c r="G259" s="2972">
        <v>0.14599999999999999</v>
      </c>
    </row>
    <row r="260" spans="1:7">
      <c r="A260" s="2981" t="s">
        <v>305</v>
      </c>
      <c r="B260" s="2970" t="s">
        <v>2955</v>
      </c>
      <c r="C260" s="2971">
        <v>0.109</v>
      </c>
      <c r="D260" s="2971">
        <v>0.111</v>
      </c>
      <c r="E260" s="2971">
        <v>0.13100000000000001</v>
      </c>
      <c r="F260" s="2971">
        <v>0.126</v>
      </c>
      <c r="G260" s="2972">
        <v>0.11899999999999999</v>
      </c>
    </row>
    <row r="261" spans="1:7">
      <c r="A261" s="2981" t="s">
        <v>305</v>
      </c>
      <c r="B261" s="2970" t="s">
        <v>2962</v>
      </c>
      <c r="C261" s="2971">
        <v>0.1</v>
      </c>
      <c r="D261" s="2971">
        <v>0.1</v>
      </c>
      <c r="E261" s="2971">
        <v>0.11799999999999999</v>
      </c>
      <c r="F261" s="2971">
        <v>0.108</v>
      </c>
      <c r="G261" s="2972">
        <v>0.107</v>
      </c>
    </row>
    <row r="262" spans="1:7">
      <c r="A262" s="2981" t="s">
        <v>305</v>
      </c>
      <c r="B262" s="2970" t="s">
        <v>2968</v>
      </c>
      <c r="C262" s="2971">
        <v>0.1</v>
      </c>
      <c r="D262" s="2971">
        <v>0.1</v>
      </c>
      <c r="E262" s="2971">
        <v>0.1</v>
      </c>
      <c r="F262" s="2971">
        <v>0.14099999999999999</v>
      </c>
      <c r="G262" s="2972">
        <v>0.1</v>
      </c>
    </row>
    <row r="263" spans="1:7">
      <c r="A263" s="2981" t="s">
        <v>305</v>
      </c>
      <c r="B263" s="2970" t="s">
        <v>2975</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2986</v>
      </c>
      <c r="C265" s="2982"/>
      <c r="D265" s="2982"/>
      <c r="E265" s="2982"/>
      <c r="F265" s="2971">
        <v>0.05</v>
      </c>
      <c r="G265" s="2988"/>
    </row>
    <row r="266" spans="1:7">
      <c r="A266" s="2981" t="s">
        <v>305</v>
      </c>
      <c r="B266" s="2970" t="s">
        <v>2990</v>
      </c>
      <c r="C266" s="2982"/>
      <c r="D266" s="2982"/>
      <c r="E266" s="2982"/>
      <c r="F266" s="2971">
        <v>0.05</v>
      </c>
      <c r="G266" s="2988"/>
    </row>
    <row r="267" spans="1:7">
      <c r="A267" s="2981" t="s">
        <v>305</v>
      </c>
      <c r="B267" s="2970" t="s">
        <v>2995</v>
      </c>
      <c r="C267" s="2982"/>
      <c r="D267" s="2982"/>
      <c r="E267" s="2982"/>
      <c r="F267" s="2971">
        <v>0.05</v>
      </c>
      <c r="G267" s="2988"/>
    </row>
    <row r="268" spans="1:7">
      <c r="A268" s="2981" t="s">
        <v>305</v>
      </c>
      <c r="B268" s="2970" t="s">
        <v>3000</v>
      </c>
      <c r="C268" s="2982"/>
      <c r="D268" s="2982"/>
      <c r="E268" s="2982"/>
      <c r="F268" s="2971">
        <v>0.05</v>
      </c>
      <c r="G268" s="2988"/>
    </row>
    <row r="269" spans="1:7">
      <c r="A269" s="2981" t="s">
        <v>305</v>
      </c>
      <c r="B269" s="2970" t="s">
        <v>3005</v>
      </c>
      <c r="C269" s="2982"/>
      <c r="D269" s="2982"/>
      <c r="E269" s="2982"/>
      <c r="F269" s="2971">
        <v>0.05</v>
      </c>
      <c r="G269" s="2988"/>
    </row>
    <row r="270" spans="1:7">
      <c r="A270" s="2981" t="s">
        <v>305</v>
      </c>
      <c r="B270" s="2970" t="s">
        <v>3010</v>
      </c>
      <c r="C270" s="2982"/>
      <c r="D270" s="2982"/>
      <c r="E270" s="2982"/>
      <c r="F270" s="2971">
        <v>0.05</v>
      </c>
      <c r="G270" s="2988"/>
    </row>
    <row r="271" spans="1:7">
      <c r="A271" s="2981" t="s">
        <v>305</v>
      </c>
      <c r="B271" s="2970" t="s">
        <v>3214</v>
      </c>
      <c r="C271" s="2982"/>
      <c r="D271" s="2982"/>
      <c r="E271" s="2982"/>
      <c r="F271" s="2971">
        <v>0.05</v>
      </c>
      <c r="G271" s="2988"/>
    </row>
    <row r="272" spans="1:7">
      <c r="A272" s="2981" t="s">
        <v>305</v>
      </c>
      <c r="B272" s="2970" t="s">
        <v>3215</v>
      </c>
      <c r="C272" s="2982"/>
      <c r="D272" s="2982"/>
      <c r="E272" s="2982"/>
      <c r="F272" s="2971">
        <v>0.05</v>
      </c>
      <c r="G272" s="2988"/>
    </row>
    <row r="273" spans="1:7">
      <c r="A273" s="2981" t="s">
        <v>305</v>
      </c>
      <c r="B273" s="2970" t="s">
        <v>3216</v>
      </c>
      <c r="C273" s="2982"/>
      <c r="D273" s="2982"/>
      <c r="E273" s="2982"/>
      <c r="F273" s="2971">
        <v>0.05</v>
      </c>
      <c r="G273" s="2988"/>
    </row>
    <row r="274" spans="1:7">
      <c r="A274" s="2981" t="s">
        <v>305</v>
      </c>
      <c r="B274" s="2970" t="s">
        <v>3217</v>
      </c>
      <c r="C274" s="2982"/>
      <c r="D274" s="2982"/>
      <c r="E274" s="2982"/>
      <c r="F274" s="2971">
        <v>0.05</v>
      </c>
      <c r="G274" s="2988"/>
    </row>
    <row r="275" spans="1:7">
      <c r="A275" s="2981" t="s">
        <v>305</v>
      </c>
      <c r="B275" s="2970" t="s">
        <v>3218</v>
      </c>
      <c r="C275" s="2982"/>
      <c r="D275" s="2982"/>
      <c r="E275" s="2982"/>
      <c r="F275" s="2971">
        <v>0.05</v>
      </c>
      <c r="G275" s="2988"/>
    </row>
    <row r="276" spans="1:7" ht="14.25" thickBot="1">
      <c r="A276" s="2984" t="s">
        <v>305</v>
      </c>
      <c r="B276" s="2974" t="s">
        <v>3219</v>
      </c>
      <c r="C276" s="2976"/>
      <c r="D276" s="2976"/>
      <c r="E276" s="2976"/>
      <c r="F276" s="2975">
        <v>0.05</v>
      </c>
      <c r="G276" s="2989"/>
    </row>
    <row r="277" spans="1:7">
      <c r="A277" s="2980" t="s">
        <v>306</v>
      </c>
      <c r="B277" s="2966" t="s">
        <v>2863</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2875</v>
      </c>
      <c r="C279" s="2971">
        <v>0.15</v>
      </c>
      <c r="D279" s="2971">
        <v>0.15</v>
      </c>
      <c r="E279" s="2971">
        <v>0.15</v>
      </c>
      <c r="F279" s="2971">
        <v>0.15</v>
      </c>
      <c r="G279" s="2972">
        <v>0.15</v>
      </c>
    </row>
    <row r="280" spans="1:7">
      <c r="A280" s="2981" t="s">
        <v>306</v>
      </c>
      <c r="B280" s="2970" t="s">
        <v>2879</v>
      </c>
      <c r="C280" s="2971">
        <v>0.15</v>
      </c>
      <c r="D280" s="2971">
        <v>0.15</v>
      </c>
      <c r="E280" s="2971">
        <v>0.15</v>
      </c>
      <c r="F280" s="2971">
        <v>0.15</v>
      </c>
      <c r="G280" s="2972">
        <v>0.15</v>
      </c>
    </row>
    <row r="281" spans="1:7">
      <c r="A281" s="2981" t="s">
        <v>306</v>
      </c>
      <c r="B281" s="2970" t="s">
        <v>2883</v>
      </c>
      <c r="C281" s="2971">
        <v>0.15</v>
      </c>
      <c r="D281" s="2971">
        <v>0.15</v>
      </c>
      <c r="E281" s="2971">
        <v>0.15</v>
      </c>
      <c r="F281" s="2971">
        <v>0.15</v>
      </c>
      <c r="G281" s="2972">
        <v>0.15</v>
      </c>
    </row>
    <row r="282" spans="1:7">
      <c r="A282" s="2981" t="s">
        <v>306</v>
      </c>
      <c r="B282" s="2970" t="s">
        <v>2887</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2902</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2907</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2917</v>
      </c>
      <c r="C293" s="2971">
        <v>0.15</v>
      </c>
      <c r="D293" s="2971">
        <v>0.15</v>
      </c>
      <c r="E293" s="2971">
        <v>0.15</v>
      </c>
      <c r="F293" s="2971">
        <v>0.14499999999999999</v>
      </c>
      <c r="G293" s="2972">
        <v>0.15</v>
      </c>
    </row>
    <row r="294" spans="1:7">
      <c r="A294" s="2981" t="s">
        <v>306</v>
      </c>
      <c r="B294" s="2970" t="s">
        <v>2919</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2936</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2949</v>
      </c>
      <c r="C302" s="2971">
        <v>0.15</v>
      </c>
      <c r="D302" s="2971">
        <v>0.15</v>
      </c>
      <c r="E302" s="2971">
        <v>0.15</v>
      </c>
      <c r="F302" s="2971">
        <v>0.14699999999999999</v>
      </c>
      <c r="G302" s="2972">
        <v>0.15</v>
      </c>
    </row>
    <row r="303" spans="1:7">
      <c r="A303" s="2981" t="s">
        <v>306</v>
      </c>
      <c r="B303" s="2970" t="s">
        <v>2956</v>
      </c>
      <c r="C303" s="2971">
        <v>0.15</v>
      </c>
      <c r="D303" s="2971">
        <v>0.15</v>
      </c>
      <c r="E303" s="2971">
        <v>0.15</v>
      </c>
      <c r="F303" s="2971">
        <v>0.14199999999999999</v>
      </c>
      <c r="G303" s="2972">
        <v>0.15</v>
      </c>
    </row>
    <row r="304" spans="1:7">
      <c r="A304" s="2981" t="s">
        <v>306</v>
      </c>
      <c r="B304" s="2970" t="s">
        <v>2963</v>
      </c>
      <c r="C304" s="2971">
        <v>0.15</v>
      </c>
      <c r="D304" s="2971">
        <v>0.15</v>
      </c>
      <c r="E304" s="2971">
        <v>0.15</v>
      </c>
      <c r="F304" s="2971">
        <v>0.14499999999999999</v>
      </c>
      <c r="G304" s="2972">
        <v>0.15</v>
      </c>
    </row>
    <row r="305" spans="1:7">
      <c r="A305" s="2981" t="s">
        <v>306</v>
      </c>
      <c r="B305" s="2970" t="s">
        <v>2969</v>
      </c>
      <c r="C305" s="2971">
        <v>0.15</v>
      </c>
      <c r="D305" s="2971">
        <v>0.15</v>
      </c>
      <c r="E305" s="2971">
        <v>0.15</v>
      </c>
      <c r="F305" s="2971">
        <v>0.111</v>
      </c>
      <c r="G305" s="2972">
        <v>0.15</v>
      </c>
    </row>
    <row r="306" spans="1:7">
      <c r="A306" s="2981" t="s">
        <v>306</v>
      </c>
      <c r="B306" s="2970" t="s">
        <v>2976</v>
      </c>
      <c r="C306" s="2971">
        <v>0.15</v>
      </c>
      <c r="D306" s="2971">
        <v>0.15</v>
      </c>
      <c r="E306" s="2971">
        <v>0.15</v>
      </c>
      <c r="F306" s="2971">
        <v>0.126</v>
      </c>
      <c r="G306" s="2972">
        <v>0.15</v>
      </c>
    </row>
    <row r="307" spans="1:7">
      <c r="A307" s="2981" t="s">
        <v>306</v>
      </c>
      <c r="B307" s="2970" t="s">
        <v>2981</v>
      </c>
      <c r="C307" s="2971">
        <v>0.15</v>
      </c>
      <c r="D307" s="2971">
        <v>0.15</v>
      </c>
      <c r="E307" s="2971">
        <v>0.15</v>
      </c>
      <c r="F307" s="2971">
        <v>0.12</v>
      </c>
      <c r="G307" s="2972">
        <v>0.15</v>
      </c>
    </row>
    <row r="308" spans="1:7">
      <c r="A308" s="2981" t="s">
        <v>306</v>
      </c>
      <c r="B308" s="2970" t="s">
        <v>2987</v>
      </c>
      <c r="C308" s="2971">
        <v>0.15</v>
      </c>
      <c r="D308" s="2971">
        <v>0.15</v>
      </c>
      <c r="E308" s="2971">
        <v>0.15</v>
      </c>
      <c r="F308" s="2971">
        <v>0.13</v>
      </c>
      <c r="G308" s="2972">
        <v>0.15</v>
      </c>
    </row>
    <row r="309" spans="1:7">
      <c r="A309" s="2981" t="s">
        <v>306</v>
      </c>
      <c r="B309" s="2970" t="s">
        <v>2991</v>
      </c>
      <c r="C309" s="2971">
        <v>0.15</v>
      </c>
      <c r="D309" s="2971">
        <v>0.15</v>
      </c>
      <c r="E309" s="2971">
        <v>0.15</v>
      </c>
      <c r="F309" s="2971">
        <v>0.14099999999999999</v>
      </c>
      <c r="G309" s="2972">
        <v>0.15</v>
      </c>
    </row>
    <row r="310" spans="1:7">
      <c r="A310" s="2981" t="s">
        <v>306</v>
      </c>
      <c r="B310" s="2970" t="s">
        <v>2996</v>
      </c>
      <c r="C310" s="2971">
        <v>0.15</v>
      </c>
      <c r="D310" s="2971">
        <v>0.15</v>
      </c>
      <c r="E310" s="2971">
        <v>0.15</v>
      </c>
      <c r="F310" s="2971">
        <v>0.15</v>
      </c>
      <c r="G310" s="2972">
        <v>0.15</v>
      </c>
    </row>
    <row r="311" spans="1:7">
      <c r="A311" s="2981" t="s">
        <v>306</v>
      </c>
      <c r="B311" s="2970" t="s">
        <v>3001</v>
      </c>
      <c r="C311" s="2971">
        <v>0.13200000000000001</v>
      </c>
      <c r="D311" s="2971">
        <v>0.13300000000000001</v>
      </c>
      <c r="E311" s="2971">
        <v>0.14499999999999999</v>
      </c>
      <c r="F311" s="2971">
        <v>0.14199999999999999</v>
      </c>
      <c r="G311" s="2972">
        <v>0.14000000000000001</v>
      </c>
    </row>
    <row r="312" spans="1:7">
      <c r="A312" s="2981" t="s">
        <v>306</v>
      </c>
      <c r="B312" s="2970" t="s">
        <v>3006</v>
      </c>
      <c r="C312" s="2971">
        <v>0.13800000000000001</v>
      </c>
      <c r="D312" s="2971">
        <v>0.14000000000000001</v>
      </c>
      <c r="E312" s="2971">
        <v>0.14599999999999999</v>
      </c>
      <c r="F312" s="2971">
        <v>0.14899999999999999</v>
      </c>
      <c r="G312" s="2972">
        <v>0.14199999999999999</v>
      </c>
    </row>
    <row r="313" spans="1:7">
      <c r="A313" s="2981" t="s">
        <v>306</v>
      </c>
      <c r="B313" s="2970" t="s">
        <v>3011</v>
      </c>
      <c r="C313" s="2971">
        <v>0.125</v>
      </c>
      <c r="D313" s="2971">
        <v>0.127</v>
      </c>
      <c r="E313" s="2971">
        <v>0.14399999999999999</v>
      </c>
      <c r="F313" s="2971">
        <v>0.115</v>
      </c>
      <c r="G313" s="2972">
        <v>0.13600000000000001</v>
      </c>
    </row>
    <row r="314" spans="1:7">
      <c r="A314" s="2981" t="s">
        <v>306</v>
      </c>
      <c r="B314" s="2970" t="s">
        <v>3220</v>
      </c>
      <c r="C314" s="2987"/>
      <c r="D314" s="2987"/>
      <c r="E314" s="2987"/>
      <c r="F314" s="2971">
        <v>0.05</v>
      </c>
      <c r="G314" s="2988"/>
    </row>
    <row r="315" spans="1:7">
      <c r="A315" s="2981" t="s">
        <v>306</v>
      </c>
      <c r="B315" s="2970" t="s">
        <v>3221</v>
      </c>
      <c r="C315" s="2987"/>
      <c r="D315" s="2987"/>
      <c r="E315" s="2987"/>
      <c r="F315" s="2971">
        <v>0.05</v>
      </c>
      <c r="G315" s="2988"/>
    </row>
    <row r="316" spans="1:7">
      <c r="A316" s="2981" t="s">
        <v>306</v>
      </c>
      <c r="B316" s="2970" t="s">
        <v>3222</v>
      </c>
      <c r="C316" s="2982"/>
      <c r="D316" s="2982"/>
      <c r="E316" s="2982"/>
      <c r="F316" s="2971">
        <v>0.05</v>
      </c>
      <c r="G316" s="2988"/>
    </row>
    <row r="317" spans="1:7">
      <c r="A317" s="2981" t="s">
        <v>306</v>
      </c>
      <c r="B317" s="2970" t="s">
        <v>3223</v>
      </c>
      <c r="C317" s="2982"/>
      <c r="D317" s="2982"/>
      <c r="E317" s="2982"/>
      <c r="F317" s="2971">
        <v>0.05</v>
      </c>
      <c r="G317" s="2988"/>
    </row>
    <row r="318" spans="1:7">
      <c r="A318" s="2981" t="s">
        <v>306</v>
      </c>
      <c r="B318" s="2970" t="s">
        <v>3224</v>
      </c>
      <c r="C318" s="2982"/>
      <c r="D318" s="2982"/>
      <c r="E318" s="2982"/>
      <c r="F318" s="2971">
        <v>0.05</v>
      </c>
      <c r="G318" s="2988"/>
    </row>
    <row r="319" spans="1:7">
      <c r="A319" s="2981" t="s">
        <v>306</v>
      </c>
      <c r="B319" s="2970" t="s">
        <v>3225</v>
      </c>
      <c r="C319" s="2982"/>
      <c r="D319" s="2982"/>
      <c r="E319" s="2982"/>
      <c r="F319" s="2971">
        <v>0.05</v>
      </c>
      <c r="G319" s="2988"/>
    </row>
    <row r="320" spans="1:7">
      <c r="A320" s="2981" t="s">
        <v>306</v>
      </c>
      <c r="B320" s="2970" t="s">
        <v>3226</v>
      </c>
      <c r="C320" s="2982"/>
      <c r="D320" s="2982"/>
      <c r="E320" s="2982"/>
      <c r="F320" s="2971">
        <v>0.05</v>
      </c>
      <c r="G320" s="2988"/>
    </row>
    <row r="321" spans="1:7">
      <c r="A321" s="2981" t="s">
        <v>306</v>
      </c>
      <c r="B321" s="2970" t="s">
        <v>3227</v>
      </c>
      <c r="C321" s="2982"/>
      <c r="D321" s="2982"/>
      <c r="E321" s="2982"/>
      <c r="F321" s="2971">
        <v>0.05</v>
      </c>
      <c r="G321" s="2988"/>
    </row>
    <row r="322" spans="1:7">
      <c r="A322" s="2981" t="s">
        <v>306</v>
      </c>
      <c r="B322" s="2970" t="s">
        <v>3228</v>
      </c>
      <c r="C322" s="2982"/>
      <c r="D322" s="2982"/>
      <c r="E322" s="2982"/>
      <c r="F322" s="2971">
        <v>0.05</v>
      </c>
      <c r="G322" s="2988"/>
    </row>
    <row r="323" spans="1:7">
      <c r="A323" s="2981" t="s">
        <v>306</v>
      </c>
      <c r="B323" s="2970" t="s">
        <v>3229</v>
      </c>
      <c r="C323" s="2982"/>
      <c r="D323" s="2982"/>
      <c r="E323" s="2982"/>
      <c r="F323" s="2971">
        <v>0.05</v>
      </c>
      <c r="G323" s="2988"/>
    </row>
    <row r="324" spans="1:7">
      <c r="A324" s="2981" t="s">
        <v>306</v>
      </c>
      <c r="B324" s="2970" t="s">
        <v>3230</v>
      </c>
      <c r="C324" s="2982"/>
      <c r="D324" s="2982"/>
      <c r="E324" s="2982"/>
      <c r="F324" s="2971">
        <v>0.05</v>
      </c>
      <c r="G324" s="2988"/>
    </row>
    <row r="325" spans="1:7">
      <c r="A325" s="2981" t="s">
        <v>306</v>
      </c>
      <c r="B325" s="2970" t="s">
        <v>3231</v>
      </c>
      <c r="C325" s="2982"/>
      <c r="D325" s="2982"/>
      <c r="E325" s="2982"/>
      <c r="F325" s="2971">
        <v>0.05</v>
      </c>
      <c r="G325" s="2988"/>
    </row>
    <row r="326" spans="1:7" ht="14.25" thickBot="1">
      <c r="A326" s="2984" t="s">
        <v>306</v>
      </c>
      <c r="B326" s="2974" t="s">
        <v>3232</v>
      </c>
      <c r="C326" s="2976"/>
      <c r="D326" s="2976"/>
      <c r="E326" s="2976"/>
      <c r="F326" s="2975">
        <v>0.05</v>
      </c>
      <c r="G326" s="2989"/>
    </row>
    <row r="327" spans="1:7">
      <c r="A327" s="2980" t="s">
        <v>307</v>
      </c>
      <c r="B327" s="2966" t="s">
        <v>2864</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2876</v>
      </c>
      <c r="C329" s="2971">
        <v>0.15</v>
      </c>
      <c r="D329" s="2971">
        <v>0.15</v>
      </c>
      <c r="E329" s="2971">
        <v>0.15</v>
      </c>
      <c r="F329" s="2971">
        <v>0.15</v>
      </c>
      <c r="G329" s="2972">
        <v>0.15</v>
      </c>
    </row>
    <row r="330" spans="1:7">
      <c r="A330" s="2981" t="s">
        <v>307</v>
      </c>
      <c r="B330" s="2970" t="s">
        <v>2880</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2888</v>
      </c>
      <c r="C332" s="2971">
        <v>0.15</v>
      </c>
      <c r="D332" s="2971">
        <v>0.15</v>
      </c>
      <c r="E332" s="2971">
        <v>0.15</v>
      </c>
      <c r="F332" s="2971">
        <v>0.15</v>
      </c>
      <c r="G332" s="2972">
        <v>0.15</v>
      </c>
    </row>
    <row r="333" spans="1:7">
      <c r="A333" s="2981" t="s">
        <v>307</v>
      </c>
      <c r="B333" s="2970" t="s">
        <v>2892</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2898</v>
      </c>
      <c r="C336" s="2971">
        <v>0.15</v>
      </c>
      <c r="D336" s="2971">
        <v>0.15</v>
      </c>
      <c r="E336" s="2971">
        <v>0.15</v>
      </c>
      <c r="F336" s="2971">
        <v>0.14199999999999999</v>
      </c>
      <c r="G336" s="2972">
        <v>0.15</v>
      </c>
    </row>
    <row r="337" spans="1:7">
      <c r="A337" s="2981" t="s">
        <v>307</v>
      </c>
      <c r="B337" s="2970" t="s">
        <v>2903</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2910</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2915</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2923</v>
      </c>
      <c r="C345" s="2971">
        <v>0.15</v>
      </c>
      <c r="D345" s="2971">
        <v>0.15</v>
      </c>
      <c r="E345" s="2971">
        <v>0.15</v>
      </c>
      <c r="F345" s="2971">
        <v>0.13800000000000001</v>
      </c>
      <c r="G345" s="2972">
        <v>0.15</v>
      </c>
    </row>
    <row r="346" spans="1:7">
      <c r="A346" s="2981" t="s">
        <v>307</v>
      </c>
      <c r="B346" s="2970" t="s">
        <v>2925</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2932</v>
      </c>
      <c r="C348" s="2971">
        <v>0.15</v>
      </c>
      <c r="D348" s="2971">
        <v>0.15</v>
      </c>
      <c r="E348" s="2971">
        <v>0.15</v>
      </c>
      <c r="F348" s="2971">
        <v>0.14399999999999999</v>
      </c>
      <c r="G348" s="2972">
        <v>0.15</v>
      </c>
    </row>
    <row r="349" spans="1:7">
      <c r="A349" s="2981" t="s">
        <v>307</v>
      </c>
      <c r="B349" s="2970" t="s">
        <v>2937</v>
      </c>
      <c r="C349" s="2971">
        <v>0.15</v>
      </c>
      <c r="D349" s="2971">
        <v>0.15</v>
      </c>
      <c r="E349" s="2971">
        <v>0.15</v>
      </c>
      <c r="F349" s="2971">
        <v>0.15</v>
      </c>
      <c r="G349" s="2972">
        <v>0.15</v>
      </c>
    </row>
    <row r="350" spans="1:7">
      <c r="A350" s="2981" t="s">
        <v>307</v>
      </c>
      <c r="B350" s="2970" t="s">
        <v>2940</v>
      </c>
      <c r="C350" s="2971">
        <v>0.15</v>
      </c>
      <c r="D350" s="2971">
        <v>0.15</v>
      </c>
      <c r="E350" s="2971">
        <v>0.15</v>
      </c>
      <c r="F350" s="2971">
        <v>0.14699999999999999</v>
      </c>
      <c r="G350" s="2972">
        <v>0.15</v>
      </c>
    </row>
    <row r="351" spans="1:7">
      <c r="A351" s="2981" t="s">
        <v>307</v>
      </c>
      <c r="B351" s="2970" t="s">
        <v>2945</v>
      </c>
      <c r="C351" s="2971">
        <v>0.15</v>
      </c>
      <c r="D351" s="2971">
        <v>0.15</v>
      </c>
      <c r="E351" s="2971">
        <v>0.15</v>
      </c>
      <c r="F351" s="2971">
        <v>0.13</v>
      </c>
      <c r="G351" s="2972">
        <v>0.15</v>
      </c>
    </row>
    <row r="352" spans="1:7">
      <c r="A352" s="2981" t="s">
        <v>307</v>
      </c>
      <c r="B352" s="2970" t="s">
        <v>2950</v>
      </c>
      <c r="C352" s="2971">
        <v>0.15</v>
      </c>
      <c r="D352" s="2971">
        <v>0.15</v>
      </c>
      <c r="E352" s="2971">
        <v>0.15</v>
      </c>
      <c r="F352" s="2971">
        <v>0.14599999999999999</v>
      </c>
      <c r="G352" s="2972">
        <v>0.15</v>
      </c>
    </row>
    <row r="353" spans="1:7">
      <c r="A353" s="2981" t="s">
        <v>307</v>
      </c>
      <c r="B353" s="2970" t="s">
        <v>2957</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2970</v>
      </c>
      <c r="C355" s="2971">
        <v>0.15</v>
      </c>
      <c r="D355" s="2971">
        <v>0.15</v>
      </c>
      <c r="E355" s="2971">
        <v>0.15</v>
      </c>
      <c r="F355" s="2971">
        <v>0.15</v>
      </c>
      <c r="G355" s="2972">
        <v>0.15</v>
      </c>
    </row>
    <row r="356" spans="1:7">
      <c r="A356" s="2981" t="s">
        <v>307</v>
      </c>
      <c r="B356" s="2970" t="s">
        <v>2977</v>
      </c>
      <c r="C356" s="2971">
        <v>0.15</v>
      </c>
      <c r="D356" s="2971">
        <v>0.15</v>
      </c>
      <c r="E356" s="2971">
        <v>0.15</v>
      </c>
      <c r="F356" s="2971">
        <v>0.15</v>
      </c>
      <c r="G356" s="2972">
        <v>0.15</v>
      </c>
    </row>
    <row r="357" spans="1:7" ht="14.25" thickBot="1">
      <c r="A357" s="2984" t="s">
        <v>307</v>
      </c>
      <c r="B357" s="2974" t="s">
        <v>2982</v>
      </c>
      <c r="C357" s="2975">
        <v>0.126</v>
      </c>
      <c r="D357" s="2975">
        <v>0.127</v>
      </c>
      <c r="E357" s="2975">
        <v>0.14299999999999999</v>
      </c>
      <c r="F357" s="2975">
        <v>0.125</v>
      </c>
      <c r="G357" s="2977">
        <v>0.129</v>
      </c>
    </row>
    <row r="358" spans="1:7">
      <c r="A358" s="2980" t="s">
        <v>2851</v>
      </c>
      <c r="B358" s="2966" t="s">
        <v>2865</v>
      </c>
      <c r="C358" s="2967">
        <v>0.15</v>
      </c>
      <c r="D358" s="2967">
        <v>0.15</v>
      </c>
      <c r="E358" s="2967">
        <v>0.15</v>
      </c>
      <c r="F358" s="2967">
        <v>0.15</v>
      </c>
      <c r="G358" s="2968">
        <v>0.15</v>
      </c>
    </row>
    <row r="359" spans="1:7">
      <c r="A359" s="2981" t="s">
        <v>2851</v>
      </c>
      <c r="B359" s="2970" t="s">
        <v>2871</v>
      </c>
      <c r="C359" s="2971">
        <v>0.1</v>
      </c>
      <c r="D359" s="2971">
        <v>0.1</v>
      </c>
      <c r="E359" s="2971">
        <v>0.1</v>
      </c>
      <c r="F359" s="2971">
        <v>0.1</v>
      </c>
      <c r="G359" s="2972">
        <v>0.1</v>
      </c>
    </row>
    <row r="360" spans="1:7">
      <c r="A360" s="2981" t="s">
        <v>2851</v>
      </c>
      <c r="B360" s="2970" t="s">
        <v>2877</v>
      </c>
      <c r="C360" s="2971">
        <v>0.15</v>
      </c>
      <c r="D360" s="2971">
        <v>0.15</v>
      </c>
      <c r="E360" s="2971">
        <v>0.15</v>
      </c>
      <c r="F360" s="2971">
        <v>0.14899999999999999</v>
      </c>
      <c r="G360" s="2972">
        <v>0.15</v>
      </c>
    </row>
    <row r="361" spans="1:7">
      <c r="A361" s="2981" t="s">
        <v>2851</v>
      </c>
      <c r="B361" s="2970" t="s">
        <v>153</v>
      </c>
      <c r="C361" s="2971">
        <v>0.15</v>
      </c>
      <c r="D361" s="2971">
        <v>0.15</v>
      </c>
      <c r="E361" s="2971">
        <v>0.15</v>
      </c>
      <c r="F361" s="2971">
        <v>0.115</v>
      </c>
      <c r="G361" s="2972">
        <v>0.15</v>
      </c>
    </row>
    <row r="362" spans="1:7">
      <c r="A362" s="2981" t="s">
        <v>2851</v>
      </c>
      <c r="B362" s="2970" t="s">
        <v>2884</v>
      </c>
      <c r="C362" s="2971">
        <v>0.15</v>
      </c>
      <c r="D362" s="2971">
        <v>0.15</v>
      </c>
      <c r="E362" s="2971">
        <v>0.15</v>
      </c>
      <c r="F362" s="2971">
        <v>0.106</v>
      </c>
      <c r="G362" s="2972">
        <v>0.15</v>
      </c>
    </row>
    <row r="363" spans="1:7">
      <c r="A363" s="2981" t="s">
        <v>2851</v>
      </c>
      <c r="B363" s="2970" t="s">
        <v>2889</v>
      </c>
      <c r="C363" s="2971">
        <v>0.15</v>
      </c>
      <c r="D363" s="2971">
        <v>0.15</v>
      </c>
      <c r="E363" s="2971">
        <v>0.15</v>
      </c>
      <c r="F363" s="2971">
        <v>0.14699999999999999</v>
      </c>
      <c r="G363" s="2972">
        <v>0.15</v>
      </c>
    </row>
    <row r="364" spans="1:7">
      <c r="A364" s="2981" t="s">
        <v>2851</v>
      </c>
      <c r="B364" s="2970" t="s">
        <v>2893</v>
      </c>
      <c r="C364" s="2971">
        <v>0.15</v>
      </c>
      <c r="D364" s="2971">
        <v>0.15</v>
      </c>
      <c r="E364" s="2971">
        <v>0.15</v>
      </c>
      <c r="F364" s="2971">
        <v>0.14799999999999999</v>
      </c>
      <c r="G364" s="2972">
        <v>0.15</v>
      </c>
    </row>
    <row r="365" spans="1:7">
      <c r="A365" s="2981" t="s">
        <v>2851</v>
      </c>
      <c r="B365" s="2970" t="s">
        <v>200</v>
      </c>
      <c r="C365" s="2971">
        <v>0.15</v>
      </c>
      <c r="D365" s="2971">
        <v>0.15</v>
      </c>
      <c r="E365" s="2971">
        <v>0.15</v>
      </c>
      <c r="F365" s="2971">
        <v>0.15</v>
      </c>
      <c r="G365" s="2972">
        <v>0.15</v>
      </c>
    </row>
    <row r="366" spans="1:7">
      <c r="A366" s="2981" t="s">
        <v>2851</v>
      </c>
      <c r="B366" s="2970" t="s">
        <v>2896</v>
      </c>
      <c r="C366" s="2971">
        <v>0.15</v>
      </c>
      <c r="D366" s="2971">
        <v>0.15</v>
      </c>
      <c r="E366" s="2971">
        <v>0.15</v>
      </c>
      <c r="F366" s="2971">
        <v>0.15</v>
      </c>
      <c r="G366" s="2972">
        <v>0.15</v>
      </c>
    </row>
    <row r="367" spans="1:7">
      <c r="A367" s="2981" t="s">
        <v>2851</v>
      </c>
      <c r="B367" s="2970" t="s">
        <v>2899</v>
      </c>
      <c r="C367" s="2971">
        <v>0.15</v>
      </c>
      <c r="D367" s="2971">
        <v>0.15</v>
      </c>
      <c r="E367" s="2971">
        <v>0.15</v>
      </c>
      <c r="F367" s="2971">
        <v>0.14699999999999999</v>
      </c>
      <c r="G367" s="2972">
        <v>0.15</v>
      </c>
    </row>
    <row r="368" spans="1:7">
      <c r="A368" s="2981" t="s">
        <v>2851</v>
      </c>
      <c r="B368" s="2970" t="s">
        <v>2904</v>
      </c>
      <c r="C368" s="2971">
        <v>0.15</v>
      </c>
      <c r="D368" s="2971">
        <v>0.15</v>
      </c>
      <c r="E368" s="2971">
        <v>0.15</v>
      </c>
      <c r="F368" s="2971">
        <v>0.13600000000000001</v>
      </c>
      <c r="G368" s="2972">
        <v>0.15</v>
      </c>
    </row>
    <row r="369" spans="1:7">
      <c r="A369" s="2981" t="s">
        <v>2851</v>
      </c>
      <c r="B369" s="2970" t="s">
        <v>214</v>
      </c>
      <c r="C369" s="2971">
        <v>0.15</v>
      </c>
      <c r="D369" s="2971">
        <v>0.15</v>
      </c>
      <c r="E369" s="2971">
        <v>0.15</v>
      </c>
      <c r="F369" s="2971">
        <v>0.14399999999999999</v>
      </c>
      <c r="G369" s="2972">
        <v>0.15</v>
      </c>
    </row>
    <row r="370" spans="1:7">
      <c r="A370" s="2981" t="s">
        <v>2851</v>
      </c>
      <c r="B370" s="2970" t="s">
        <v>221</v>
      </c>
      <c r="C370" s="2971">
        <v>0.15</v>
      </c>
      <c r="D370" s="2971">
        <v>0.15</v>
      </c>
      <c r="E370" s="2971">
        <v>0.15</v>
      </c>
      <c r="F370" s="2971">
        <v>0.14599999999999999</v>
      </c>
      <c r="G370" s="2972">
        <v>0.15</v>
      </c>
    </row>
    <row r="371" spans="1:7">
      <c r="A371" s="2981" t="s">
        <v>2851</v>
      </c>
      <c r="B371" s="2970" t="s">
        <v>229</v>
      </c>
      <c r="C371" s="2971">
        <v>0.15</v>
      </c>
      <c r="D371" s="2971">
        <v>0.15</v>
      </c>
      <c r="E371" s="2971">
        <v>0.15</v>
      </c>
      <c r="F371" s="2971">
        <v>0.12</v>
      </c>
      <c r="G371" s="2972">
        <v>0.15</v>
      </c>
    </row>
    <row r="372" spans="1:7">
      <c r="A372" s="2981" t="s">
        <v>2851</v>
      </c>
      <c r="B372" s="2970" t="s">
        <v>2912</v>
      </c>
      <c r="C372" s="2971">
        <v>0.15</v>
      </c>
      <c r="D372" s="2971">
        <v>0.15</v>
      </c>
      <c r="E372" s="2971">
        <v>0.15</v>
      </c>
      <c r="F372" s="2971">
        <v>0.14299999999999999</v>
      </c>
      <c r="G372" s="2972">
        <v>0.15</v>
      </c>
    </row>
    <row r="373" spans="1:7">
      <c r="A373" s="2981" t="s">
        <v>2851</v>
      </c>
      <c r="B373" s="2970" t="s">
        <v>258</v>
      </c>
      <c r="C373" s="2971">
        <v>0.15</v>
      </c>
      <c r="D373" s="2971">
        <v>0.15</v>
      </c>
      <c r="E373" s="2971">
        <v>0.15</v>
      </c>
      <c r="F373" s="2971">
        <v>0.14599999999999999</v>
      </c>
      <c r="G373" s="2972">
        <v>0.15</v>
      </c>
    </row>
    <row r="374" spans="1:7">
      <c r="A374" s="2981" t="s">
        <v>2851</v>
      </c>
      <c r="B374" s="2970" t="s">
        <v>266</v>
      </c>
      <c r="C374" s="2971">
        <v>0.15</v>
      </c>
      <c r="D374" s="2971">
        <v>0.15</v>
      </c>
      <c r="E374" s="2971">
        <v>0.15</v>
      </c>
      <c r="F374" s="2971">
        <v>0.14399999999999999</v>
      </c>
      <c r="G374" s="2972">
        <v>0.15</v>
      </c>
    </row>
    <row r="375" spans="1:7">
      <c r="A375" s="2981" t="s">
        <v>2851</v>
      </c>
      <c r="B375" s="2970" t="s">
        <v>2920</v>
      </c>
      <c r="C375" s="2971">
        <v>0.15</v>
      </c>
      <c r="D375" s="2971">
        <v>0.15</v>
      </c>
      <c r="E375" s="2971">
        <v>0.15</v>
      </c>
      <c r="F375" s="2971">
        <v>0.13</v>
      </c>
      <c r="G375" s="2972">
        <v>0.15</v>
      </c>
    </row>
    <row r="376" spans="1:7">
      <c r="A376" s="2981" t="s">
        <v>2851</v>
      </c>
      <c r="B376" s="2970" t="s">
        <v>277</v>
      </c>
      <c r="C376" s="2971">
        <v>0.15</v>
      </c>
      <c r="D376" s="2971">
        <v>0.15</v>
      </c>
      <c r="E376" s="2971">
        <v>0.15</v>
      </c>
      <c r="F376" s="2971">
        <v>0.14199999999999999</v>
      </c>
      <c r="G376" s="2972">
        <v>0.15</v>
      </c>
    </row>
    <row r="377" spans="1:7" ht="14.25" thickBot="1">
      <c r="A377" s="2984" t="s">
        <v>2851</v>
      </c>
      <c r="B377" s="2974" t="s">
        <v>2926</v>
      </c>
      <c r="C377" s="2975">
        <v>0.15</v>
      </c>
      <c r="D377" s="2975">
        <v>0.15</v>
      </c>
      <c r="E377" s="2975">
        <v>0.15</v>
      </c>
      <c r="F377" s="2975">
        <v>0.14000000000000001</v>
      </c>
      <c r="G377" s="2977">
        <v>0.15</v>
      </c>
    </row>
    <row r="378" spans="1:7">
      <c r="A378" s="2980" t="s">
        <v>2852</v>
      </c>
      <c r="B378" s="2966" t="s">
        <v>2866</v>
      </c>
      <c r="C378" s="2967">
        <v>0.15</v>
      </c>
      <c r="D378" s="2967">
        <v>0.15</v>
      </c>
      <c r="E378" s="2967">
        <v>0.15</v>
      </c>
      <c r="F378" s="2967">
        <v>0.107</v>
      </c>
      <c r="G378" s="2968">
        <v>0.15</v>
      </c>
    </row>
    <row r="379" spans="1:7">
      <c r="A379" s="2981" t="s">
        <v>2852</v>
      </c>
      <c r="B379" s="2970" t="s">
        <v>2872</v>
      </c>
      <c r="C379" s="2971">
        <v>0.15</v>
      </c>
      <c r="D379" s="2971">
        <v>0.15</v>
      </c>
      <c r="E379" s="2971">
        <v>0.15</v>
      </c>
      <c r="F379" s="2971">
        <v>0.115</v>
      </c>
      <c r="G379" s="2972">
        <v>0.14899999999999999</v>
      </c>
    </row>
    <row r="380" spans="1:7">
      <c r="A380" s="2981" t="s">
        <v>2852</v>
      </c>
      <c r="B380" s="2970" t="s">
        <v>2878</v>
      </c>
      <c r="C380" s="2971">
        <v>0.15</v>
      </c>
      <c r="D380" s="2971">
        <v>0.15</v>
      </c>
      <c r="E380" s="2971">
        <v>0.15</v>
      </c>
      <c r="F380" s="2971">
        <v>0.1</v>
      </c>
      <c r="G380" s="2972">
        <v>0.14799999999999999</v>
      </c>
    </row>
    <row r="381" spans="1:7">
      <c r="A381" s="2981" t="s">
        <v>2852</v>
      </c>
      <c r="B381" s="2970" t="s">
        <v>2881</v>
      </c>
      <c r="C381" s="2971">
        <v>0.15</v>
      </c>
      <c r="D381" s="2971">
        <v>0.15</v>
      </c>
      <c r="E381" s="2971">
        <v>0.15</v>
      </c>
      <c r="F381" s="2971">
        <v>0.126</v>
      </c>
      <c r="G381" s="2972">
        <v>0.15</v>
      </c>
    </row>
    <row r="382" spans="1:7">
      <c r="A382" s="2981" t="s">
        <v>2852</v>
      </c>
      <c r="B382" s="2970" t="s">
        <v>2885</v>
      </c>
      <c r="C382" s="2971">
        <v>0.15</v>
      </c>
      <c r="D382" s="2971">
        <v>0.15</v>
      </c>
      <c r="E382" s="2971">
        <v>0.15</v>
      </c>
      <c r="F382" s="2971">
        <v>0.15</v>
      </c>
      <c r="G382" s="2972">
        <v>0.15</v>
      </c>
    </row>
    <row r="383" spans="1:7">
      <c r="A383" s="2981" t="s">
        <v>2852</v>
      </c>
      <c r="B383" s="2970" t="s">
        <v>2890</v>
      </c>
      <c r="C383" s="2971">
        <v>0.15</v>
      </c>
      <c r="D383" s="2971">
        <v>0.15</v>
      </c>
      <c r="E383" s="2971">
        <v>0.15</v>
      </c>
      <c r="F383" s="2971">
        <v>0.14699999999999999</v>
      </c>
      <c r="G383" s="2972">
        <v>0.15</v>
      </c>
    </row>
    <row r="384" spans="1:7" ht="14.25" thickBot="1">
      <c r="A384" s="2991" t="s">
        <v>2852</v>
      </c>
      <c r="B384" s="2992" t="s">
        <v>2894</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514" t="s">
        <v>3233</v>
      </c>
      <c r="B1" s="3514"/>
      <c r="C1" s="3514"/>
      <c r="D1" s="3514"/>
      <c r="E1" s="3514"/>
      <c r="F1" s="3515"/>
    </row>
    <row r="2" spans="1:6">
      <c r="A2" s="2995" t="s">
        <v>3234</v>
      </c>
    </row>
    <row r="3" spans="1:6">
      <c r="A3" s="2995" t="s">
        <v>3235</v>
      </c>
      <c r="F3" s="2996" t="s">
        <v>3236</v>
      </c>
    </row>
    <row r="4" spans="1:6">
      <c r="A4" s="2997" t="s">
        <v>672</v>
      </c>
      <c r="B4" s="2997" t="s">
        <v>673</v>
      </c>
      <c r="C4" s="2997" t="s">
        <v>21</v>
      </c>
      <c r="D4" s="2997" t="s">
        <v>674</v>
      </c>
      <c r="E4" s="2997" t="s">
        <v>3</v>
      </c>
      <c r="F4" s="2997" t="s">
        <v>3237</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0">
        <f>基准地价修正!G23</f>
        <v>45547</v>
      </c>
      <c r="B1" s="2922" t="s">
        <v>3372</v>
      </c>
      <c r="C1" s="2923"/>
      <c r="D1" s="2923"/>
      <c r="E1" s="2923"/>
      <c r="F1" s="2923"/>
      <c r="G1" s="2923"/>
      <c r="H1" s="2923"/>
      <c r="I1" s="2923"/>
      <c r="J1" s="2889"/>
      <c r="K1" s="2923" t="s">
        <v>454</v>
      </c>
      <c r="L1" s="2923"/>
      <c r="M1" s="2923"/>
      <c r="N1" s="2923"/>
      <c r="O1" s="2923"/>
      <c r="P1" s="2923"/>
      <c r="Q1" s="2889"/>
      <c r="R1" s="3516" t="s">
        <v>456</v>
      </c>
      <c r="S1" s="3517"/>
      <c r="T1" s="3517"/>
      <c r="U1" s="3517"/>
      <c r="V1" s="3517"/>
      <c r="W1" s="3517"/>
      <c r="X1" s="2889"/>
      <c r="Y1" s="3516" t="s">
        <v>457</v>
      </c>
      <c r="Z1" s="3517"/>
      <c r="AA1" s="3517"/>
      <c r="AB1" s="3517"/>
      <c r="AC1" s="3517"/>
      <c r="AD1" s="3517"/>
    </row>
    <row r="2" spans="1:30" s="2007" customFormat="1" ht="14.25" thickBot="1">
      <c r="B2" s="2874"/>
      <c r="C2" s="2875"/>
      <c r="D2" s="2008" t="s">
        <v>2811</v>
      </c>
      <c r="E2" s="2009" t="s">
        <v>2812</v>
      </c>
      <c r="F2" s="2009" t="s">
        <v>2813</v>
      </c>
      <c r="G2" s="2009" t="s">
        <v>2814</v>
      </c>
      <c r="H2" s="2009" t="s">
        <v>2815</v>
      </c>
      <c r="I2" s="2009" t="s">
        <v>2632</v>
      </c>
      <c r="J2" s="2876"/>
      <c r="K2" s="2008" t="s">
        <v>2811</v>
      </c>
      <c r="L2" s="2009" t="s">
        <v>2812</v>
      </c>
      <c r="M2" s="2009" t="s">
        <v>2813</v>
      </c>
      <c r="N2" s="2009" t="s">
        <v>2814</v>
      </c>
      <c r="O2" s="2009" t="s">
        <v>2816</v>
      </c>
      <c r="P2" s="2009" t="s">
        <v>2632</v>
      </c>
      <c r="Q2" s="2876"/>
      <c r="R2" s="2008" t="s">
        <v>2811</v>
      </c>
      <c r="S2" s="2009" t="s">
        <v>2812</v>
      </c>
      <c r="T2" s="2009" t="s">
        <v>2813</v>
      </c>
      <c r="U2" s="2009" t="s">
        <v>2817</v>
      </c>
      <c r="V2" s="2009" t="s">
        <v>2818</v>
      </c>
      <c r="W2" s="2009" t="s">
        <v>2632</v>
      </c>
      <c r="X2" s="2876"/>
      <c r="Y2" s="2008" t="s">
        <v>2811</v>
      </c>
      <c r="Z2" s="2009" t="s">
        <v>2812</v>
      </c>
      <c r="AA2" s="2009" t="s">
        <v>2813</v>
      </c>
      <c r="AB2" s="2009" t="s">
        <v>2819</v>
      </c>
      <c r="AC2" s="2009" t="s">
        <v>2818</v>
      </c>
      <c r="AD2" s="2009" t="s">
        <v>2632</v>
      </c>
    </row>
    <row r="3" spans="1:30" s="2879" customFormat="1" ht="12.75">
      <c r="A3" s="2877" t="s">
        <v>2820</v>
      </c>
      <c r="B3" s="2878"/>
      <c r="D3" s="2879">
        <f>ROUND(AVERAGEIF(D4:D19,"&lt;&gt;0"),2)</f>
        <v>0.59</v>
      </c>
      <c r="E3" s="2879">
        <f t="shared" ref="E3:H3" si="0">ROUND(AVERAGEIF(E4:E19,"&lt;&gt;0"),2)</f>
        <v>0.36</v>
      </c>
      <c r="F3" s="2879">
        <f t="shared" si="0"/>
        <v>0.06</v>
      </c>
      <c r="G3" s="2879">
        <f t="shared" si="0"/>
        <v>0.6</v>
      </c>
      <c r="H3" s="2879">
        <f t="shared" si="0"/>
        <v>0.6</v>
      </c>
      <c r="I3" s="2879">
        <f>F3</f>
        <v>0.06</v>
      </c>
      <c r="J3" s="2880"/>
      <c r="K3" s="2881">
        <f>ROUND(AVERAGEIF(K4:K19,"&lt;&gt;0"),4)</f>
        <v>5.8999999999999999E-3</v>
      </c>
      <c r="L3" s="2882">
        <f t="shared" ref="L3:O3" si="1">ROUND(AVERAGEIF(L4:L19,"&lt;&gt;0"),4)</f>
        <v>3.5999999999999999E-3</v>
      </c>
      <c r="M3" s="2882">
        <f t="shared" si="1"/>
        <v>5.9999999999999995E-4</v>
      </c>
      <c r="N3" s="2882">
        <f t="shared" si="1"/>
        <v>6.0000000000000001E-3</v>
      </c>
      <c r="O3" s="2882">
        <f t="shared" si="1"/>
        <v>6.0000000000000001E-3</v>
      </c>
      <c r="P3" s="2882">
        <f>M3</f>
        <v>5.9999999999999995E-4</v>
      </c>
      <c r="Q3" s="2880"/>
      <c r="R3" s="2883">
        <f>ROUND(SUMPRODUCT(PRODUCT(1+K4:K19)),4)</f>
        <v>1.0852999999999999</v>
      </c>
      <c r="S3" s="2884">
        <f t="shared" ref="S3:V3" si="2">ROUND(SUMPRODUCT(PRODUCT(1+L4:L19)),4)</f>
        <v>1.0513999999999999</v>
      </c>
      <c r="T3" s="2884">
        <f t="shared" si="2"/>
        <v>1.0083</v>
      </c>
      <c r="U3" s="2884">
        <f t="shared" si="2"/>
        <v>1.0871999999999999</v>
      </c>
      <c r="V3" s="2884">
        <f t="shared" si="2"/>
        <v>1.0880000000000001</v>
      </c>
      <c r="W3" s="2883">
        <f>T3</f>
        <v>1.0083</v>
      </c>
      <c r="X3" s="2880"/>
      <c r="Y3" s="2885">
        <f>ROUND(AVERAGEIF(Y6:Y19,"&lt;&gt;0"),4)</f>
        <v>8.3999999999999995E-3</v>
      </c>
      <c r="Z3" s="2886">
        <f t="shared" ref="Z3:AC3" si="3">ROUND(AVERAGEIF(Z6:Z19,"&lt;&gt;0"),4)</f>
        <v>3.5000000000000001E-3</v>
      </c>
      <c r="AA3" s="2887">
        <f t="shared" si="3"/>
        <v>8.0000000000000004E-4</v>
      </c>
      <c r="AB3" s="2885">
        <f t="shared" si="3"/>
        <v>9.1000000000000004E-3</v>
      </c>
      <c r="AC3" s="2888">
        <f t="shared" si="3"/>
        <v>6.1000000000000004E-3</v>
      </c>
      <c r="AD3" s="2885">
        <f>AA3</f>
        <v>8.0000000000000004E-4</v>
      </c>
    </row>
    <row r="4" spans="1:30" s="2006" customFormat="1" ht="12.75">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2.75">
      <c r="A5" s="2037" t="s">
        <v>3378</v>
      </c>
      <c r="B5" s="2028">
        <v>2024</v>
      </c>
      <c r="C5" s="2039">
        <v>3</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ROUND(IF(项目基本情况!$B$8="出让",SUMPRODUCT(PRODUCT(1+K5:$K$19)),SUMPRODUCT(PRODUCT(1+K5:$K$18))),4)</f>
        <v>1.0748</v>
      </c>
      <c r="S5" s="2024">
        <f>ROUND(IF(项目基本情况!$B$8="出让",SUMPRODUCT(PRODUCT(1+L5:$L$19)),SUMPRODUCT(PRODUCT(1+L5:$L$18))),4)</f>
        <v>1.0498000000000001</v>
      </c>
      <c r="T5" s="2024">
        <f>ROUND(IF(项目基本情况!$B$8="出让",SUMPRODUCT(PRODUCT(1+M5:$M$19)),SUMPRODUCT(PRODUCT(1+M5:$M$18))),4)</f>
        <v>1.0107999999999999</v>
      </c>
      <c r="U5" s="2024">
        <f>ROUND(IF(项目基本情况!$B$8="出让",SUMPRODUCT(PRODUCT(1+N5:$N$19)),SUMPRODUCT(PRODUCT(1+N5:$N$18))),4)</f>
        <v>1.0752999999999999</v>
      </c>
      <c r="V5" s="2024">
        <f>ROUND(IF(项目基本情况!$B$8="出让",SUMPRODUCT(PRODUCT(1+O5:$O$19)),SUMPRODUCT(PRODUCT(1+O5:$O$18))),4)</f>
        <v>1.0841000000000001</v>
      </c>
      <c r="W5" s="2024">
        <f>T5</f>
        <v>1.0107999999999999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2.75">
      <c r="A6" s="2900" t="s">
        <v>3379</v>
      </c>
      <c r="B6" s="2901">
        <v>2024</v>
      </c>
      <c r="C6" s="2902">
        <v>2</v>
      </c>
      <c r="D6" s="2903">
        <v>-0.59</v>
      </c>
      <c r="E6" s="2903">
        <v>-0.21</v>
      </c>
      <c r="F6" s="2903">
        <v>-1.38</v>
      </c>
      <c r="G6" s="2903">
        <v>-1.24</v>
      </c>
      <c r="H6" s="2904">
        <v>0.34</v>
      </c>
      <c r="I6" s="2905">
        <f t="shared" ref="I6:I19" si="15">F6</f>
        <v>-1.38</v>
      </c>
      <c r="J6" s="2906"/>
      <c r="K6" s="2907">
        <f t="shared" ref="K6:O19" si="16">D6/100</f>
        <v>-5.8999999999999999E-3</v>
      </c>
      <c r="L6" s="2908">
        <f t="shared" si="16"/>
        <v>-2.0999999999999999E-3</v>
      </c>
      <c r="M6" s="2908">
        <f t="shared" si="16"/>
        <v>-1.38E-2</v>
      </c>
      <c r="N6" s="2908">
        <f t="shared" si="16"/>
        <v>-1.24E-2</v>
      </c>
      <c r="O6" s="2908">
        <f t="shared" si="16"/>
        <v>3.4000000000000002E-3</v>
      </c>
      <c r="P6" s="2908">
        <f>M6</f>
        <v>-1.38E-2</v>
      </c>
      <c r="Q6" s="2906"/>
      <c r="R6" s="2906">
        <f>ROUND(IF(项目基本情况!$B$8="出让",SUMPRODUCT(PRODUCT(1+K6:$K$19)),SUMPRODUCT(PRODUCT(1+K6:$K$18))),4)</f>
        <v>1.0748</v>
      </c>
      <c r="S6" s="2906">
        <f>ROUND(IF(项目基本情况!$B$8="出让",SUMPRODUCT(PRODUCT(1+L6:$L$19)),SUMPRODUCT(PRODUCT(1+L6:$L$18))),4)</f>
        <v>1.0498000000000001</v>
      </c>
      <c r="T6" s="2906">
        <f>ROUND(IF(项目基本情况!$B$8="出让",SUMPRODUCT(PRODUCT(1+M6:$M$19)),SUMPRODUCT(PRODUCT(1+M6:$M$18))),4)</f>
        <v>1.0107999999999999</v>
      </c>
      <c r="U6" s="2906">
        <f>ROUND(IF(项目基本情况!$B$8="出让",SUMPRODUCT(PRODUCT(1+N6:$N$19)),SUMPRODUCT(PRODUCT(1+N6:$N$18))),4)</f>
        <v>1.0752999999999999</v>
      </c>
      <c r="V6" s="2906">
        <f>ROUND(IF(项目基本情况!$B$8="出让",SUMPRODUCT(PRODUCT(1+O6:$O$19)),SUMPRODUCT(PRODUCT(1+O6:$O$18))),4)</f>
        <v>1.0841000000000001</v>
      </c>
      <c r="W6" s="2906">
        <f>T6</f>
        <v>1.0107999999999999</v>
      </c>
      <c r="X6" s="2906"/>
      <c r="Y6" s="2908">
        <f>IF(D6=0,0,ROUND(AVERAGE(D6:D19)/100,4))</f>
        <v>5.8999999999999999E-3</v>
      </c>
      <c r="Z6" s="2908">
        <f t="shared" ref="Z6:AC6" si="17">IF(E6=0,0,ROUND(AVERAGE(E6:E19)/100,4))</f>
        <v>3.5999999999999999E-3</v>
      </c>
      <c r="AA6" s="2908">
        <f t="shared" si="17"/>
        <v>5.9999999999999995E-4</v>
      </c>
      <c r="AB6" s="2908">
        <f t="shared" si="17"/>
        <v>6.0000000000000001E-3</v>
      </c>
      <c r="AC6" s="2908">
        <f t="shared" si="17"/>
        <v>6.0000000000000001E-3</v>
      </c>
      <c r="AD6" s="2908">
        <f t="shared" ref="AD6:AD18" si="18">AA6</f>
        <v>5.9999999999999995E-4</v>
      </c>
    </row>
    <row r="7" spans="1:30" s="2042" customFormat="1" ht="12.75">
      <c r="A7" s="2898" t="s">
        <v>3381</v>
      </c>
      <c r="B7" s="2028">
        <v>2024</v>
      </c>
      <c r="C7" s="2039">
        <v>1</v>
      </c>
      <c r="D7" s="2004">
        <v>0.08</v>
      </c>
      <c r="E7" s="2004">
        <v>0.46</v>
      </c>
      <c r="F7" s="2004">
        <v>-0.16</v>
      </c>
      <c r="G7" s="2004">
        <v>0.26</v>
      </c>
      <c r="H7" s="2910">
        <v>0.59</v>
      </c>
      <c r="I7" s="2005">
        <v>0</v>
      </c>
      <c r="J7" s="2899"/>
      <c r="K7" s="2040">
        <f t="shared" ref="K7" si="19">D7/100</f>
        <v>8.0000000000000004E-4</v>
      </c>
      <c r="L7" s="2025">
        <f t="shared" ref="L7" si="20">E7/100</f>
        <v>4.5999999999999999E-3</v>
      </c>
      <c r="M7" s="2025">
        <f t="shared" ref="M7" si="21">F7/100</f>
        <v>-1.6000000000000001E-3</v>
      </c>
      <c r="N7" s="2025">
        <f t="shared" ref="N7" si="22">G7/100</f>
        <v>2.5999999999999999E-3</v>
      </c>
      <c r="O7" s="2025">
        <f t="shared" ref="O7" si="23">H7/100</f>
        <v>5.8999999999999999E-3</v>
      </c>
      <c r="P7" s="2025">
        <f t="shared" ref="P7" si="24">M7</f>
        <v>-1.6000000000000001E-3</v>
      </c>
      <c r="Q7" s="2899"/>
      <c r="R7" s="2024">
        <f>ROUND(IF(项目基本情况!$B$8="出让",SUMPRODUCT(PRODUCT(1+K7:$K$19)),SUMPRODUCT(PRODUCT(1+K7:$K$18))),4)</f>
        <v>1.0811999999999999</v>
      </c>
      <c r="S7" s="2024">
        <f>ROUND(IF(项目基本情况!$B$8="出让",SUMPRODUCT(PRODUCT(1+L7:$L$19)),SUMPRODUCT(PRODUCT(1+L7:$L$18))),4)</f>
        <v>1.052</v>
      </c>
      <c r="T7" s="2024">
        <f>ROUND(IF(项目基本情况!$B$8="出让",SUMPRODUCT(PRODUCT(1+M7:$M$19)),SUMPRODUCT(PRODUCT(1+M7:$M$18))),4)</f>
        <v>1.0249999999999999</v>
      </c>
      <c r="U7" s="2024">
        <f>ROUND(IF(项目基本情况!$B$8="出让",SUMPRODUCT(PRODUCT(1+N7:$N$19)),SUMPRODUCT(PRODUCT(1+N7:$N$18))),4)</f>
        <v>1.0888</v>
      </c>
      <c r="V7" s="2024">
        <f>ROUND(IF(项目基本情况!$B$8="出让",SUMPRODUCT(PRODUCT(1+O7:$O$19)),SUMPRODUCT(PRODUCT(1+O7:$O$18))),4)</f>
        <v>1.0804</v>
      </c>
      <c r="W7" s="2024">
        <f t="shared" ref="W7" si="25">T7</f>
        <v>1.0249999999999999</v>
      </c>
      <c r="X7" s="2899"/>
      <c r="Y7" s="2025"/>
      <c r="Z7" s="2025"/>
      <c r="AA7" s="2025"/>
      <c r="AB7" s="2025"/>
      <c r="AC7" s="2025"/>
      <c r="AD7" s="2025"/>
    </row>
    <row r="8" spans="1:30" s="2042" customFormat="1" ht="12.75">
      <c r="A8" s="2898" t="s">
        <v>3376</v>
      </c>
      <c r="B8" s="2028">
        <v>2023</v>
      </c>
      <c r="C8" s="2039">
        <v>4</v>
      </c>
      <c r="D8" s="2004">
        <v>0.19</v>
      </c>
      <c r="E8" s="2004">
        <v>0.24</v>
      </c>
      <c r="F8" s="2004">
        <v>-0.16</v>
      </c>
      <c r="G8" s="2004">
        <v>0.17</v>
      </c>
      <c r="H8" s="2910">
        <v>0.61</v>
      </c>
      <c r="I8" s="2005">
        <f>F8</f>
        <v>-0.16</v>
      </c>
      <c r="J8" s="2899"/>
      <c r="K8" s="2040">
        <f t="shared" si="16"/>
        <v>1.9E-3</v>
      </c>
      <c r="L8" s="2025">
        <f t="shared" si="16"/>
        <v>2.3999999999999998E-3</v>
      </c>
      <c r="M8" s="2025">
        <f t="shared" si="16"/>
        <v>-1.6000000000000001E-3</v>
      </c>
      <c r="N8" s="2025">
        <f t="shared" si="16"/>
        <v>1.7000000000000001E-3</v>
      </c>
      <c r="O8" s="2025">
        <f t="shared" si="16"/>
        <v>6.0999999999999995E-3</v>
      </c>
      <c r="P8" s="2025">
        <f t="shared" ref="P8" si="26">M8</f>
        <v>-1.6000000000000001E-3</v>
      </c>
      <c r="Q8" s="2899"/>
      <c r="R8" s="2024">
        <f>ROUND(IF(项目基本情况!$B$8="出让",SUMPRODUCT(PRODUCT(1+K8:$K$19)),SUMPRODUCT(PRODUCT(1+K8:$K$18))),4)</f>
        <v>1.0804</v>
      </c>
      <c r="S8" s="2024">
        <f>ROUND(IF(项目基本情况!$B$8="出让",SUMPRODUCT(PRODUCT(1+L8:$L$19)),SUMPRODUCT(PRODUCT(1+L8:$L$18))),4)</f>
        <v>1.0471999999999999</v>
      </c>
      <c r="T8" s="2024">
        <f>ROUND(IF(项目基本情况!$B$8="出让",SUMPRODUCT(PRODUCT(1+M8:$M$19)),SUMPRODUCT(PRODUCT(1+M8:$M$18))),4)</f>
        <v>1.0266</v>
      </c>
      <c r="U8" s="2024">
        <f>ROUND(IF(项目基本情况!$B$8="出让",SUMPRODUCT(PRODUCT(1+N8:$N$19)),SUMPRODUCT(PRODUCT(1+N8:$N$18))),4)</f>
        <v>1.0859000000000001</v>
      </c>
      <c r="V8" s="2024">
        <f>ROUND(IF(项目基本情况!$B$8="出让",SUMPRODUCT(PRODUCT(1+O8:$O$19)),SUMPRODUCT(PRODUCT(1+O8:$O$18))),4)</f>
        <v>1.0741000000000001</v>
      </c>
      <c r="W8" s="2024">
        <f t="shared" ref="W8" si="27">T8</f>
        <v>1.0266</v>
      </c>
      <c r="X8" s="2899"/>
      <c r="Y8" s="2025"/>
      <c r="Z8" s="2025"/>
      <c r="AA8" s="2025"/>
      <c r="AB8" s="2025"/>
      <c r="AC8" s="2025"/>
      <c r="AD8" s="2025"/>
    </row>
    <row r="9" spans="1:30" s="2042" customFormat="1" ht="12.75">
      <c r="A9" s="2898" t="s">
        <v>3375</v>
      </c>
      <c r="B9" s="2028">
        <v>2023</v>
      </c>
      <c r="C9" s="2039">
        <v>3</v>
      </c>
      <c r="D9" s="2004">
        <v>0.25</v>
      </c>
      <c r="E9" s="2004">
        <v>0.5</v>
      </c>
      <c r="F9" s="2004">
        <v>0.31</v>
      </c>
      <c r="G9" s="2004">
        <v>0.21</v>
      </c>
      <c r="H9" s="2910">
        <v>0.43</v>
      </c>
      <c r="I9" s="2005">
        <f t="shared" si="15"/>
        <v>0.31</v>
      </c>
      <c r="J9" s="2899"/>
      <c r="K9" s="2040">
        <f t="shared" ref="K9:K11" si="28">D9/100</f>
        <v>2.5000000000000001E-3</v>
      </c>
      <c r="L9" s="2025">
        <f t="shared" ref="L9:L11" si="29">E9/100</f>
        <v>5.0000000000000001E-3</v>
      </c>
      <c r="M9" s="2025">
        <f t="shared" ref="M9:M11" si="30">F9/100</f>
        <v>3.0999999999999999E-3</v>
      </c>
      <c r="N9" s="2025">
        <f t="shared" ref="N9:N11" si="31">G9/100</f>
        <v>2.0999999999999999E-3</v>
      </c>
      <c r="O9" s="2025">
        <f t="shared" ref="O9:O11" si="32">H9/100</f>
        <v>4.3E-3</v>
      </c>
      <c r="P9" s="2025">
        <f t="shared" ref="P9:P11" si="33">M9</f>
        <v>3.0999999999999999E-3</v>
      </c>
      <c r="Q9" s="2899"/>
      <c r="R9" s="2024">
        <f>ROUND(IF(项目基本情况!$B$8="出让",SUMPRODUCT(PRODUCT(1+K9:$K$19)),SUMPRODUCT(PRODUCT(1+K9:$K$18))),4)</f>
        <v>1.0783</v>
      </c>
      <c r="S9" s="2024">
        <f>ROUND(IF(项目基本情况!$B$8="出让",SUMPRODUCT(PRODUCT(1+L9:$L$19)),SUMPRODUCT(PRODUCT(1+L9:$L$18))),4)</f>
        <v>1.0447</v>
      </c>
      <c r="T9" s="2024">
        <f>ROUND(IF(项目基本情况!$B$8="出让",SUMPRODUCT(PRODUCT(1+M9:$M$19)),SUMPRODUCT(PRODUCT(1+M9:$M$18))),4)</f>
        <v>1.0282</v>
      </c>
      <c r="U9" s="2024">
        <f>ROUND(IF(项目基本情况!$B$8="出让",SUMPRODUCT(PRODUCT(1+N9:$N$19)),SUMPRODUCT(PRODUCT(1+N9:$N$18))),4)</f>
        <v>1.0841000000000001</v>
      </c>
      <c r="V9" s="2024">
        <f>ROUND(IF(项目基本情况!$B$8="出让",SUMPRODUCT(PRODUCT(1+O9:$O$19)),SUMPRODUCT(PRODUCT(1+O9:$O$18))),4)</f>
        <v>1.0674999999999999</v>
      </c>
      <c r="W9" s="2024">
        <f t="shared" ref="W9:W10" si="34">T9</f>
        <v>1.0282</v>
      </c>
      <c r="X9" s="2899"/>
      <c r="Y9" s="2025"/>
      <c r="Z9" s="2025"/>
      <c r="AA9" s="2025"/>
      <c r="AB9" s="2025"/>
      <c r="AC9" s="2025"/>
      <c r="AD9" s="2025"/>
    </row>
    <row r="10" spans="1:30" s="2042" customFormat="1" ht="12.75">
      <c r="A10" s="2898" t="s">
        <v>3371</v>
      </c>
      <c r="B10" s="2028">
        <v>2023</v>
      </c>
      <c r="C10" s="2039">
        <v>2</v>
      </c>
      <c r="D10" s="2004">
        <v>0.91</v>
      </c>
      <c r="E10" s="2004">
        <v>0.66</v>
      </c>
      <c r="F10" s="2004">
        <v>0.47</v>
      </c>
      <c r="G10" s="2004">
        <v>0.96</v>
      </c>
      <c r="H10" s="2910">
        <v>0.71</v>
      </c>
      <c r="I10" s="2005">
        <f t="shared" si="15"/>
        <v>0.47</v>
      </c>
      <c r="J10" s="2899"/>
      <c r="K10" s="2040">
        <f t="shared" si="28"/>
        <v>9.1000000000000004E-3</v>
      </c>
      <c r="L10" s="2025">
        <f t="shared" si="29"/>
        <v>6.6E-3</v>
      </c>
      <c r="M10" s="2025">
        <f t="shared" si="30"/>
        <v>4.6999999999999993E-3</v>
      </c>
      <c r="N10" s="2025">
        <f t="shared" si="31"/>
        <v>9.5999999999999992E-3</v>
      </c>
      <c r="O10" s="2025">
        <f t="shared" si="32"/>
        <v>7.0999999999999995E-3</v>
      </c>
      <c r="P10" s="2025">
        <f t="shared" si="33"/>
        <v>4.6999999999999993E-3</v>
      </c>
      <c r="Q10" s="2899"/>
      <c r="R10" s="2024">
        <f>ROUND(IF(项目基本情况!$B$8="出让",SUMPRODUCT(PRODUCT(1+K10:$K$19)),SUMPRODUCT(PRODUCT(1+K10:$K$18))),4)</f>
        <v>1.0755999999999999</v>
      </c>
      <c r="S10" s="2024">
        <f>ROUND(IF(项目基本情况!$B$8="出让",SUMPRODUCT(PRODUCT(1+L10:$L$19)),SUMPRODUCT(PRODUCT(1+L10:$L$18))),4)</f>
        <v>1.0395000000000001</v>
      </c>
      <c r="T10" s="2024">
        <f>ROUND(IF(项目基本情况!$B$8="出让",SUMPRODUCT(PRODUCT(1+M10:$M$19)),SUMPRODUCT(PRODUCT(1+M10:$M$18))),4)</f>
        <v>1.0250999999999999</v>
      </c>
      <c r="U10" s="2024">
        <f>ROUND(IF(项目基本情况!$B$8="出让",SUMPRODUCT(PRODUCT(1+N10:$N$19)),SUMPRODUCT(PRODUCT(1+N10:$N$18))),4)</f>
        <v>1.0818000000000001</v>
      </c>
      <c r="V10" s="2024">
        <f>ROUND(IF(项目基本情况!$B$8="出让",SUMPRODUCT(PRODUCT(1+O10:$O$19)),SUMPRODUCT(PRODUCT(1+O10:$O$18))),4)</f>
        <v>1.0629999999999999</v>
      </c>
      <c r="W10" s="2024">
        <f t="shared" si="34"/>
        <v>1.0250999999999999</v>
      </c>
      <c r="X10" s="2899"/>
      <c r="Y10" s="2025"/>
      <c r="Z10" s="2025"/>
      <c r="AA10" s="2025"/>
      <c r="AB10" s="2025"/>
      <c r="AC10" s="2025"/>
      <c r="AD10" s="2025"/>
    </row>
    <row r="11" spans="1:30" s="2042" customFormat="1" ht="12.75">
      <c r="A11" s="2898" t="s">
        <v>3370</v>
      </c>
      <c r="B11" s="2028">
        <v>2023</v>
      </c>
      <c r="C11" s="2039">
        <v>1</v>
      </c>
      <c r="D11" s="2004">
        <v>0.89</v>
      </c>
      <c r="E11" s="2004">
        <v>0.74</v>
      </c>
      <c r="F11" s="2004">
        <v>0.56999999999999995</v>
      </c>
      <c r="G11" s="2004">
        <v>0.92</v>
      </c>
      <c r="H11" s="2910">
        <v>0.5</v>
      </c>
      <c r="I11" s="2005">
        <f t="shared" si="15"/>
        <v>0.56999999999999995</v>
      </c>
      <c r="J11" s="2899"/>
      <c r="K11" s="2040">
        <f t="shared" si="28"/>
        <v>8.8999999999999999E-3</v>
      </c>
      <c r="L11" s="2025">
        <f t="shared" si="29"/>
        <v>7.4000000000000003E-3</v>
      </c>
      <c r="M11" s="2025">
        <f t="shared" si="30"/>
        <v>5.6999999999999993E-3</v>
      </c>
      <c r="N11" s="2025">
        <f t="shared" si="31"/>
        <v>9.1999999999999998E-3</v>
      </c>
      <c r="O11" s="2025">
        <f t="shared" si="32"/>
        <v>5.0000000000000001E-3</v>
      </c>
      <c r="P11" s="2025">
        <f t="shared" si="33"/>
        <v>5.6999999999999993E-3</v>
      </c>
      <c r="Q11" s="2899"/>
      <c r="R11" s="2024">
        <f>ROUND(IF(项目基本情况!$B$8="出让",SUMPRODUCT(PRODUCT(1+K11:$K$19)),SUMPRODUCT(PRODUCT(1+K11:$K$18))),4)</f>
        <v>1.0659000000000001</v>
      </c>
      <c r="S11" s="2024">
        <f>ROUND(IF(项目基本情况!$B$8="出让",SUMPRODUCT(PRODUCT(1+L11:$L$19)),SUMPRODUCT(PRODUCT(1+L11:$L$18))),4)</f>
        <v>1.0326</v>
      </c>
      <c r="T11" s="2024">
        <f>ROUND(IF(项目基本情况!$B$8="出让",SUMPRODUCT(PRODUCT(1+M11:$M$19)),SUMPRODUCT(PRODUCT(1+M11:$M$18))),4)</f>
        <v>1.0203</v>
      </c>
      <c r="U11" s="2024">
        <f>ROUND(IF(项目基本情况!$B$8="出让",SUMPRODUCT(PRODUCT(1+N11:$N$19)),SUMPRODUCT(PRODUCT(1+N11:$N$18))),4)</f>
        <v>1.0714999999999999</v>
      </c>
      <c r="V11" s="2024">
        <f>ROUND(IF(项目基本情况!$B$8="出让",SUMPRODUCT(PRODUCT(1+O11:$O$19)),SUMPRODUCT(PRODUCT(1+O11:$O$18))),4)</f>
        <v>1.0555000000000001</v>
      </c>
      <c r="W11" s="2024">
        <f t="shared" ref="W11:W18" si="35">T11</f>
        <v>1.0203</v>
      </c>
      <c r="X11" s="2899"/>
      <c r="Y11" s="2025"/>
      <c r="Z11" s="2025"/>
      <c r="AA11" s="2025"/>
      <c r="AB11" s="2025"/>
      <c r="AC11" s="2025"/>
      <c r="AD11" s="2025"/>
    </row>
    <row r="12" spans="1:30" s="2042" customFormat="1" ht="12.75">
      <c r="A12" s="2898" t="s">
        <v>3369</v>
      </c>
      <c r="B12" s="2028">
        <v>2022</v>
      </c>
      <c r="C12" s="2039">
        <v>4</v>
      </c>
      <c r="D12" s="2004">
        <v>0.62</v>
      </c>
      <c r="E12" s="2004">
        <v>0.2</v>
      </c>
      <c r="F12" s="2004">
        <v>0.11</v>
      </c>
      <c r="G12" s="2004">
        <v>0.69</v>
      </c>
      <c r="H12" s="2910">
        <v>0.53</v>
      </c>
      <c r="I12" s="2005">
        <f t="shared" si="15"/>
        <v>0.11</v>
      </c>
      <c r="J12" s="2899"/>
      <c r="K12" s="2040">
        <f t="shared" si="16"/>
        <v>6.1999999999999998E-3</v>
      </c>
      <c r="L12" s="2025">
        <f t="shared" si="16"/>
        <v>2E-3</v>
      </c>
      <c r="M12" s="2025">
        <f t="shared" si="16"/>
        <v>1.1000000000000001E-3</v>
      </c>
      <c r="N12" s="2025">
        <f t="shared" si="16"/>
        <v>6.8999999999999999E-3</v>
      </c>
      <c r="O12" s="2025">
        <f t="shared" si="16"/>
        <v>5.3E-3</v>
      </c>
      <c r="P12" s="2025">
        <f t="shared" ref="P12:P19" si="36">M12</f>
        <v>1.1000000000000001E-3</v>
      </c>
      <c r="Q12" s="2899"/>
      <c r="R12" s="2024">
        <f>ROUND(IF(项目基本情况!$B$8="出让",SUMPRODUCT(PRODUCT(1+K12:$K$19)),SUMPRODUCT(PRODUCT(1+K12:$K$18))),4)</f>
        <v>1.0565</v>
      </c>
      <c r="S12" s="2024">
        <f>ROUND(IF(项目基本情况!$B$8="出让",SUMPRODUCT(PRODUCT(1+L12:$L$19)),SUMPRODUCT(PRODUCT(1+L12:$L$18))),4)</f>
        <v>1.0250999999999999</v>
      </c>
      <c r="T12" s="2024">
        <f>ROUND(IF(项目基本情况!$B$8="出让",SUMPRODUCT(PRODUCT(1+M12:$M$19)),SUMPRODUCT(PRODUCT(1+M12:$M$18))),4)</f>
        <v>1.0145</v>
      </c>
      <c r="U12" s="2024">
        <f>ROUND(IF(项目基本情况!$B$8="出让",SUMPRODUCT(PRODUCT(1+N12:$N$19)),SUMPRODUCT(PRODUCT(1+N12:$N$18))),4)</f>
        <v>1.0618000000000001</v>
      </c>
      <c r="V12" s="2024">
        <f>ROUND(IF(项目基本情况!$B$8="出让",SUMPRODUCT(PRODUCT(1+O12:$O$19)),SUMPRODUCT(PRODUCT(1+O12:$O$18))),4)</f>
        <v>1.0502</v>
      </c>
      <c r="W12" s="2024">
        <f t="shared" si="35"/>
        <v>1.0145</v>
      </c>
      <c r="X12" s="2899"/>
      <c r="Y12" s="2025">
        <f>IF(D12=0,0,ROUND(AVERAGE(D12:D20)/100,4))</f>
        <v>8.0999999999999996E-3</v>
      </c>
      <c r="Z12" s="2025">
        <f t="shared" ref="Z12:AC12" si="37">IF(E12=0,0,ROUND(AVERAGE(E12:E19)/100,4))</f>
        <v>3.3E-3</v>
      </c>
      <c r="AA12" s="2025">
        <f t="shared" si="37"/>
        <v>1.5E-3</v>
      </c>
      <c r="AB12" s="2025">
        <f t="shared" si="37"/>
        <v>8.8999999999999999E-3</v>
      </c>
      <c r="AC12" s="2025">
        <f t="shared" si="37"/>
        <v>6.6E-3</v>
      </c>
      <c r="AD12" s="2025">
        <f t="shared" si="18"/>
        <v>1.5E-3</v>
      </c>
    </row>
    <row r="13" spans="1:30" s="2042" customFormat="1" ht="12.75">
      <c r="A13" s="2898" t="s">
        <v>3365</v>
      </c>
      <c r="B13" s="2028">
        <v>2022</v>
      </c>
      <c r="C13" s="2039">
        <v>3</v>
      </c>
      <c r="D13" s="2004">
        <v>0.66</v>
      </c>
      <c r="E13" s="2004">
        <v>0.32</v>
      </c>
      <c r="F13" s="2004">
        <v>0.23</v>
      </c>
      <c r="G13" s="2004">
        <v>0.72</v>
      </c>
      <c r="H13" s="2910">
        <v>0.63</v>
      </c>
      <c r="I13" s="2005">
        <f t="shared" si="15"/>
        <v>0.23</v>
      </c>
      <c r="J13" s="2899"/>
      <c r="K13" s="2040">
        <f t="shared" si="16"/>
        <v>6.6E-3</v>
      </c>
      <c r="L13" s="2025">
        <f t="shared" si="16"/>
        <v>3.2000000000000002E-3</v>
      </c>
      <c r="M13" s="2025">
        <f t="shared" si="16"/>
        <v>2.3E-3</v>
      </c>
      <c r="N13" s="2025">
        <f t="shared" si="16"/>
        <v>7.1999999999999998E-3</v>
      </c>
      <c r="O13" s="2025">
        <f t="shared" si="16"/>
        <v>6.3E-3</v>
      </c>
      <c r="P13" s="2025">
        <f t="shared" si="36"/>
        <v>2.3E-3</v>
      </c>
      <c r="Q13" s="2899"/>
      <c r="R13" s="2024">
        <f>ROUND(IF(项目基本情况!$B$8="出让",SUMPRODUCT(PRODUCT(1+K13:$K$19)),SUMPRODUCT(PRODUCT(1+K13:$K$18))),4)</f>
        <v>1.05</v>
      </c>
      <c r="S13" s="2024">
        <f>ROUND(IF(项目基本情况!$B$8="出让",SUMPRODUCT(PRODUCT(1+L13:$L$19)),SUMPRODUCT(PRODUCT(1+L13:$L$18))),4)</f>
        <v>1.0229999999999999</v>
      </c>
      <c r="T13" s="2024">
        <f>ROUND(IF(项目基本情况!$B$8="出让",SUMPRODUCT(PRODUCT(1+M13:$M$19)),SUMPRODUCT(PRODUCT(1+M13:$M$18))),4)</f>
        <v>1.0134000000000001</v>
      </c>
      <c r="U13" s="2024">
        <f>ROUND(IF(项目基本情况!$B$8="出让",SUMPRODUCT(PRODUCT(1+N13:$N$19)),SUMPRODUCT(PRODUCT(1+N13:$N$18))),4)</f>
        <v>1.0545</v>
      </c>
      <c r="V13" s="2024">
        <f>ROUND(IF(项目基本情况!$B$8="出让",SUMPRODUCT(PRODUCT(1+O13:$O$19)),SUMPRODUCT(PRODUCT(1+O13:$O$18))),4)</f>
        <v>1.0447</v>
      </c>
      <c r="W13" s="2024">
        <f t="shared" si="35"/>
        <v>1.0134000000000001</v>
      </c>
      <c r="X13" s="2899"/>
      <c r="Y13" s="2025">
        <f>IF(D13=0,0,ROUND(AVERAGE(D13:D19)/100,4))</f>
        <v>8.3999999999999995E-3</v>
      </c>
      <c r="Z13" s="2025">
        <f t="shared" ref="Z13:AC13" si="38">IF(E13=0,0,ROUND(AVERAGE(E13:E19)/100,4))</f>
        <v>3.5000000000000001E-3</v>
      </c>
      <c r="AA13" s="2025">
        <f t="shared" si="38"/>
        <v>1.5E-3</v>
      </c>
      <c r="AB13" s="2025">
        <f t="shared" si="38"/>
        <v>9.1999999999999998E-3</v>
      </c>
      <c r="AC13" s="2025">
        <f t="shared" si="38"/>
        <v>6.7999999999999996E-3</v>
      </c>
      <c r="AD13" s="2025">
        <f t="shared" si="18"/>
        <v>1.5E-3</v>
      </c>
    </row>
    <row r="14" spans="1:30" s="2042" customFormat="1" ht="12.75">
      <c r="A14" s="2898" t="s">
        <v>3356</v>
      </c>
      <c r="B14" s="2028">
        <v>2022</v>
      </c>
      <c r="C14" s="2039">
        <v>2</v>
      </c>
      <c r="D14" s="2004">
        <v>0.93</v>
      </c>
      <c r="E14" s="2004">
        <v>0.15</v>
      </c>
      <c r="F14" s="2004">
        <v>0.01</v>
      </c>
      <c r="G14" s="2004">
        <v>1.05</v>
      </c>
      <c r="H14" s="2910">
        <v>1.08</v>
      </c>
      <c r="I14" s="2005">
        <f t="shared" si="15"/>
        <v>0.01</v>
      </c>
      <c r="J14" s="2899"/>
      <c r="K14" s="2040">
        <f t="shared" si="16"/>
        <v>9.300000000000001E-3</v>
      </c>
      <c r="L14" s="2025">
        <f t="shared" si="16"/>
        <v>1.5E-3</v>
      </c>
      <c r="M14" s="2025">
        <f t="shared" si="16"/>
        <v>1E-4</v>
      </c>
      <c r="N14" s="2025">
        <f t="shared" si="16"/>
        <v>1.0500000000000001E-2</v>
      </c>
      <c r="O14" s="2025">
        <f t="shared" si="16"/>
        <v>1.0800000000000001E-2</v>
      </c>
      <c r="P14" s="2025">
        <f t="shared" si="36"/>
        <v>1E-4</v>
      </c>
      <c r="Q14" s="2899"/>
      <c r="R14" s="2024">
        <f>ROUND(IF(项目基本情况!$B$8="出让",SUMPRODUCT(PRODUCT(1+K14:$K$19)),SUMPRODUCT(PRODUCT(1+K14:$K$18))),4)</f>
        <v>1.0430999999999999</v>
      </c>
      <c r="S14" s="2024">
        <f>ROUND(IF(项目基本情况!$B$8="出让",SUMPRODUCT(PRODUCT(1+L14:$L$19)),SUMPRODUCT(PRODUCT(1+L14:$L$18))),4)</f>
        <v>1.0197000000000001</v>
      </c>
      <c r="T14" s="2024">
        <f>ROUND(IF(项目基本情况!$B$8="出让",SUMPRODUCT(PRODUCT(1+M14:$M$19)),SUMPRODUCT(PRODUCT(1+M14:$M$18))),4)</f>
        <v>1.0109999999999999</v>
      </c>
      <c r="U14" s="2024">
        <f>ROUND(IF(项目基本情况!$B$8="出让",SUMPRODUCT(PRODUCT(1+N14:$N$19)),SUMPRODUCT(PRODUCT(1+N14:$N$18))),4)</f>
        <v>1.0468999999999999</v>
      </c>
      <c r="V14" s="2024">
        <f>ROUND(IF(项目基本情况!$B$8="出让",SUMPRODUCT(PRODUCT(1+O14:$O$19)),SUMPRODUCT(PRODUCT(1+O14:$O$18))),4)</f>
        <v>1.0382</v>
      </c>
      <c r="W14" s="2024">
        <f t="shared" si="35"/>
        <v>1.0109999999999999</v>
      </c>
      <c r="X14" s="2899"/>
      <c r="Y14" s="2025">
        <f>IF(D14=0,0,ROUND(AVERAGE(D14:D19)/100,4))</f>
        <v>8.6999999999999994E-3</v>
      </c>
      <c r="Z14" s="2025">
        <f t="shared" ref="Z14:AC14" si="39">IF(E14=0,0,ROUND(AVERAGE(E14:E19)/100,4))</f>
        <v>3.5000000000000001E-3</v>
      </c>
      <c r="AA14" s="2025">
        <f t="shared" si="39"/>
        <v>1.4E-3</v>
      </c>
      <c r="AB14" s="2025">
        <f t="shared" si="39"/>
        <v>9.4999999999999998E-3</v>
      </c>
      <c r="AC14" s="2025">
        <f t="shared" si="39"/>
        <v>6.8999999999999999E-3</v>
      </c>
      <c r="AD14" s="2025">
        <f t="shared" si="18"/>
        <v>1.4E-3</v>
      </c>
    </row>
    <row r="15" spans="1:30" s="2042" customFormat="1" ht="12.75">
      <c r="A15" s="2898" t="s">
        <v>2821</v>
      </c>
      <c r="B15" s="2028">
        <v>2022</v>
      </c>
      <c r="C15" s="2039">
        <v>1</v>
      </c>
      <c r="D15" s="2004">
        <v>0.89</v>
      </c>
      <c r="E15" s="2004">
        <v>0.44</v>
      </c>
      <c r="F15" s="2004">
        <v>0.37</v>
      </c>
      <c r="G15" s="2004">
        <v>0.96</v>
      </c>
      <c r="H15" s="2910">
        <v>0.64</v>
      </c>
      <c r="I15" s="2005">
        <f t="shared" si="15"/>
        <v>0.37</v>
      </c>
      <c r="J15" s="2899"/>
      <c r="K15" s="2040">
        <f t="shared" si="16"/>
        <v>8.8999999999999999E-3</v>
      </c>
      <c r="L15" s="2025">
        <f t="shared" si="16"/>
        <v>4.4000000000000003E-3</v>
      </c>
      <c r="M15" s="2025">
        <f t="shared" si="16"/>
        <v>3.7000000000000002E-3</v>
      </c>
      <c r="N15" s="2025">
        <f t="shared" si="16"/>
        <v>9.5999999999999992E-3</v>
      </c>
      <c r="O15" s="2025">
        <f t="shared" si="16"/>
        <v>6.4000000000000003E-3</v>
      </c>
      <c r="P15" s="2025">
        <f t="shared" si="36"/>
        <v>3.7000000000000002E-3</v>
      </c>
      <c r="Q15" s="2899"/>
      <c r="R15" s="2024">
        <f>ROUND(IF(项目基本情况!$B$8="出让",SUMPRODUCT(PRODUCT(1+K15:$K$19)),SUMPRODUCT(PRODUCT(1+K15:$K$18))),4)</f>
        <v>1.0335000000000001</v>
      </c>
      <c r="S15" s="2024">
        <f>ROUND(IF(项目基本情况!$B$8="出让",SUMPRODUCT(PRODUCT(1+L15:$L$19)),SUMPRODUCT(PRODUCT(1+L15:$L$18))),4)</f>
        <v>1.0182</v>
      </c>
      <c r="T15" s="2024">
        <f>ROUND(IF(项目基本情况!$B$8="出让",SUMPRODUCT(PRODUCT(1+M15:$M$19)),SUMPRODUCT(PRODUCT(1+M15:$M$18))),4)</f>
        <v>1.0108999999999999</v>
      </c>
      <c r="U15" s="2024">
        <f>ROUND(IF(项目基本情况!$B$8="出让",SUMPRODUCT(PRODUCT(1+N15:$N$19)),SUMPRODUCT(PRODUCT(1+N15:$N$18))),4)</f>
        <v>1.0361</v>
      </c>
      <c r="V15" s="2024">
        <f>ROUND(IF(项目基本情况!$B$8="出让",SUMPRODUCT(PRODUCT(1+O15:$O$19)),SUMPRODUCT(PRODUCT(1+O15:$O$18))),4)</f>
        <v>1.0270999999999999</v>
      </c>
      <c r="W15" s="2024">
        <f t="shared" si="35"/>
        <v>1.0108999999999999</v>
      </c>
      <c r="X15" s="2899"/>
      <c r="Y15" s="2025">
        <f>IF(D15=0,0,ROUND(AVERAGE(D15:D19)/100,4))</f>
        <v>8.6E-3</v>
      </c>
      <c r="Z15" s="2025">
        <f t="shared" ref="Z15:AC15" si="40">IF(E15=0,0,ROUND(AVERAGE(E15:E19)/100,4))</f>
        <v>3.8999999999999998E-3</v>
      </c>
      <c r="AA15" s="2025">
        <f t="shared" si="40"/>
        <v>1.6999999999999999E-3</v>
      </c>
      <c r="AB15" s="2025">
        <f t="shared" si="40"/>
        <v>9.2999999999999992E-3</v>
      </c>
      <c r="AC15" s="2025">
        <f t="shared" si="40"/>
        <v>6.1000000000000004E-3</v>
      </c>
      <c r="AD15" s="2025">
        <f t="shared" si="18"/>
        <v>1.6999999999999999E-3</v>
      </c>
    </row>
    <row r="16" spans="1:30" s="2042" customFormat="1" ht="12.75">
      <c r="A16" s="2898" t="s">
        <v>2822</v>
      </c>
      <c r="B16" s="2028">
        <v>2021</v>
      </c>
      <c r="C16" s="2039">
        <v>4</v>
      </c>
      <c r="D16" s="2004">
        <v>1.03</v>
      </c>
      <c r="E16" s="2004">
        <v>0.24</v>
      </c>
      <c r="F16" s="2004">
        <v>7.0000000000000007E-2</v>
      </c>
      <c r="G16" s="2004">
        <v>1.17</v>
      </c>
      <c r="H16" s="2910">
        <v>0.55000000000000004</v>
      </c>
      <c r="I16" s="2005">
        <f t="shared" si="15"/>
        <v>7.0000000000000007E-2</v>
      </c>
      <c r="J16" s="2899"/>
      <c r="K16" s="2040">
        <f t="shared" si="16"/>
        <v>1.03E-2</v>
      </c>
      <c r="L16" s="2025">
        <f t="shared" si="16"/>
        <v>2.3999999999999998E-3</v>
      </c>
      <c r="M16" s="2025">
        <f t="shared" si="16"/>
        <v>7.000000000000001E-4</v>
      </c>
      <c r="N16" s="2025">
        <f t="shared" si="16"/>
        <v>1.1699999999999999E-2</v>
      </c>
      <c r="O16" s="2025">
        <f t="shared" si="16"/>
        <v>5.5000000000000005E-3</v>
      </c>
      <c r="P16" s="2025">
        <f t="shared" si="36"/>
        <v>7.000000000000001E-4</v>
      </c>
      <c r="Q16" s="2899"/>
      <c r="R16" s="2024">
        <f>ROUND(IF(项目基本情况!$B$8="出让",SUMPRODUCT(PRODUCT(1+K16:$K$19)),SUMPRODUCT(PRODUCT(1+K16:$K$18))),4)</f>
        <v>1.0244</v>
      </c>
      <c r="S16" s="2024">
        <f>ROUND(IF(项目基本情况!$B$8="出让",SUMPRODUCT(PRODUCT(1+L16:$L$19)),SUMPRODUCT(PRODUCT(1+L16:$L$18))),4)</f>
        <v>1.0138</v>
      </c>
      <c r="T16" s="2024">
        <f>ROUND(IF(项目基本情况!$B$8="出让",SUMPRODUCT(PRODUCT(1+M16:$M$19)),SUMPRODUCT(PRODUCT(1+M16:$M$18))),4)</f>
        <v>1.0072000000000001</v>
      </c>
      <c r="U16" s="2024">
        <f>ROUND(IF(项目基本情况!$B$8="出让",SUMPRODUCT(PRODUCT(1+N16:$N$19)),SUMPRODUCT(PRODUCT(1+N16:$N$18))),4)</f>
        <v>1.0262</v>
      </c>
      <c r="V16" s="2024">
        <f>ROUND(IF(项目基本情况!$B$8="出让",SUMPRODUCT(PRODUCT(1+O16:$O$19)),SUMPRODUCT(PRODUCT(1+O16:$O$18))),4)</f>
        <v>1.0205</v>
      </c>
      <c r="W16" s="2024">
        <f t="shared" si="35"/>
        <v>1.0072000000000001</v>
      </c>
      <c r="X16" s="2899"/>
      <c r="Y16" s="2025">
        <f>IF(D16=0,0,ROUND(AVERAGE(D16:D19)/100,4))</f>
        <v>8.5000000000000006E-3</v>
      </c>
      <c r="Z16" s="2025">
        <f t="shared" ref="Z16:AC16" si="41">IF(E16=0,0,ROUND(AVERAGE(E16:E19)/100,4))</f>
        <v>3.8E-3</v>
      </c>
      <c r="AA16" s="2025">
        <f t="shared" si="41"/>
        <v>1.1999999999999999E-3</v>
      </c>
      <c r="AB16" s="2025">
        <f t="shared" si="41"/>
        <v>9.2999999999999992E-3</v>
      </c>
      <c r="AC16" s="2025">
        <f t="shared" si="41"/>
        <v>6.0000000000000001E-3</v>
      </c>
      <c r="AD16" s="2025">
        <f t="shared" si="18"/>
        <v>1.1999999999999999E-3</v>
      </c>
    </row>
    <row r="17" spans="1:30" s="2042" customFormat="1" ht="12.75">
      <c r="A17" s="2898" t="s">
        <v>2823</v>
      </c>
      <c r="B17" s="2028">
        <v>2021</v>
      </c>
      <c r="C17" s="2039">
        <v>3</v>
      </c>
      <c r="D17" s="2004">
        <v>0.47</v>
      </c>
      <c r="E17" s="2004">
        <v>0.41</v>
      </c>
      <c r="F17" s="2004">
        <v>0.24</v>
      </c>
      <c r="G17" s="2004">
        <v>0.48</v>
      </c>
      <c r="H17" s="2910">
        <v>0.48</v>
      </c>
      <c r="I17" s="2005">
        <f t="shared" si="15"/>
        <v>0.24</v>
      </c>
      <c r="J17" s="2899"/>
      <c r="K17" s="2040">
        <f t="shared" si="16"/>
        <v>4.6999999999999993E-3</v>
      </c>
      <c r="L17" s="2025">
        <f t="shared" si="16"/>
        <v>4.0999999999999995E-3</v>
      </c>
      <c r="M17" s="2025">
        <f t="shared" si="16"/>
        <v>2.3999999999999998E-3</v>
      </c>
      <c r="N17" s="2025">
        <f t="shared" si="16"/>
        <v>4.7999999999999996E-3</v>
      </c>
      <c r="O17" s="2025">
        <f t="shared" si="16"/>
        <v>4.7999999999999996E-3</v>
      </c>
      <c r="P17" s="2025">
        <f t="shared" si="36"/>
        <v>2.3999999999999998E-3</v>
      </c>
      <c r="Q17" s="2899"/>
      <c r="R17" s="2024">
        <f>ROUND(IF(项目基本情况!$B$8="出让",SUMPRODUCT(PRODUCT(1+K17:$K$19)),SUMPRODUCT(PRODUCT(1+K17:$K$18))),4)</f>
        <v>1.0139</v>
      </c>
      <c r="S17" s="2024">
        <f>ROUND(IF(项目基本情况!$B$8="出让",SUMPRODUCT(PRODUCT(1+L17:$L$19)),SUMPRODUCT(PRODUCT(1+L17:$L$18))),4)</f>
        <v>1.0113000000000001</v>
      </c>
      <c r="T17" s="2024">
        <f>ROUND(IF(项目基本情况!$B$8="出让",SUMPRODUCT(PRODUCT(1+M17:$M$19)),SUMPRODUCT(PRODUCT(1+M17:$M$18))),4)</f>
        <v>1.0065</v>
      </c>
      <c r="U17" s="2024">
        <f>ROUND(IF(项目基本情况!$B$8="出让",SUMPRODUCT(PRODUCT(1+N17:$N$19)),SUMPRODUCT(PRODUCT(1+N17:$N$18))),4)</f>
        <v>1.0143</v>
      </c>
      <c r="V17" s="2024">
        <f>ROUND(IF(项目基本情况!$B$8="出让",SUMPRODUCT(PRODUCT(1+O17:$O$19)),SUMPRODUCT(PRODUCT(1+O17:$O$18))),4)</f>
        <v>1.0148999999999999</v>
      </c>
      <c r="W17" s="2024">
        <f t="shared" si="35"/>
        <v>1.0065</v>
      </c>
      <c r="X17" s="2899"/>
      <c r="Y17" s="2025">
        <f>IF(D17=0,0,ROUND(AVERAGE(D17:D19)/100,4))</f>
        <v>7.9000000000000008E-3</v>
      </c>
      <c r="Z17" s="2025">
        <f>IF(E17=0,0,ROUND(AVERAGE(E17:E19)/100,4))</f>
        <v>4.3E-3</v>
      </c>
      <c r="AA17" s="2025">
        <f>IF(F17=0,0,ROUND(AVERAGE(F17:F19)/100,4))</f>
        <v>1.2999999999999999E-3</v>
      </c>
      <c r="AB17" s="2025">
        <f>IF(G17=0,0,ROUND(AVERAGE(G17:G19)/100,4))</f>
        <v>8.5000000000000006E-3</v>
      </c>
      <c r="AC17" s="2025">
        <f>IF(H17=0,0,ROUND(AVERAGE(H17:H19)/100,4))</f>
        <v>6.1999999999999998E-3</v>
      </c>
      <c r="AD17" s="2025">
        <f t="shared" si="18"/>
        <v>1.2999999999999999E-3</v>
      </c>
    </row>
    <row r="18" spans="1:30" s="2042" customFormat="1" ht="12.75">
      <c r="A18" s="2898" t="s">
        <v>2824</v>
      </c>
      <c r="B18" s="2028">
        <v>2021</v>
      </c>
      <c r="C18" s="2039">
        <v>2</v>
      </c>
      <c r="D18" s="2004">
        <v>0.92</v>
      </c>
      <c r="E18" s="2004">
        <v>0.72</v>
      </c>
      <c r="F18" s="2004">
        <v>0.41</v>
      </c>
      <c r="G18" s="2004">
        <v>0.95</v>
      </c>
      <c r="H18" s="2910">
        <v>1.01</v>
      </c>
      <c r="I18" s="2005">
        <f t="shared" si="15"/>
        <v>0.41</v>
      </c>
      <c r="J18" s="2899"/>
      <c r="K18" s="2040">
        <f t="shared" si="16"/>
        <v>9.1999999999999998E-3</v>
      </c>
      <c r="L18" s="2025">
        <f t="shared" si="16"/>
        <v>7.1999999999999998E-3</v>
      </c>
      <c r="M18" s="2025">
        <f t="shared" si="16"/>
        <v>4.0999999999999995E-3</v>
      </c>
      <c r="N18" s="2025">
        <f t="shared" si="16"/>
        <v>9.4999999999999998E-3</v>
      </c>
      <c r="O18" s="2025">
        <f t="shared" si="16"/>
        <v>1.01E-2</v>
      </c>
      <c r="P18" s="2025">
        <f t="shared" si="36"/>
        <v>4.0999999999999995E-3</v>
      </c>
      <c r="Q18" s="2899"/>
      <c r="R18" s="2024">
        <f>ROUND(IF(项目基本情况!$B$8="出让",SUMPRODUCT(PRODUCT(1+K18:$K$19)),SUMPRODUCT(PRODUCT(1+K18:$K$18))),4)</f>
        <v>1.0092000000000001</v>
      </c>
      <c r="S18" s="2024">
        <f>ROUND(IF(项目基本情况!$B$8="出让",SUMPRODUCT(PRODUCT(1+L18:$L$19)),SUMPRODUCT(PRODUCT(1+L18:$L$18))),4)</f>
        <v>1.0072000000000001</v>
      </c>
      <c r="T18" s="2024">
        <f>ROUND(IF(项目基本情况!$B$8="出让",SUMPRODUCT(PRODUCT(1+M18:$M$19)),SUMPRODUCT(PRODUCT(1+M18:$M$18))),4)</f>
        <v>1.0041</v>
      </c>
      <c r="U18" s="2024">
        <f>ROUND(IF(项目基本情况!$B$8="出让",SUMPRODUCT(PRODUCT(1+N18:$N$19)),SUMPRODUCT(PRODUCT(1+N18:$N$18))),4)</f>
        <v>1.0095000000000001</v>
      </c>
      <c r="V18" s="2024">
        <f>ROUND(IF(项目基本情况!$B$8="出让",SUMPRODUCT(PRODUCT(1+O18:$O$19)),SUMPRODUCT(PRODUCT(1+O18:$O$18))),4)</f>
        <v>1.0101</v>
      </c>
      <c r="W18" s="2024">
        <f t="shared" si="35"/>
        <v>1.0041</v>
      </c>
      <c r="X18" s="2899"/>
      <c r="Y18" s="2025">
        <f>IF(D18=0,0,ROUND(AVERAGE(D18:D19)/100,4))</f>
        <v>9.4999999999999998E-3</v>
      </c>
      <c r="Z18" s="2025">
        <f>IF(E18=0,0,ROUND(AVERAGE(E18:E19)/100,4))</f>
        <v>4.4000000000000003E-3</v>
      </c>
      <c r="AA18" s="2025">
        <f>IF(F18=0,0,ROUND(AVERAGE(F18:F19)/100,4))</f>
        <v>8.0000000000000004E-4</v>
      </c>
      <c r="AB18" s="2025">
        <f>IF(G18=0,0,ROUND(AVERAGE(G18:G19)/100,4))</f>
        <v>1.03E-2</v>
      </c>
      <c r="AC18" s="2025">
        <f>IF(H18=0,0,ROUND(AVERAGE(H18:H19)/100,4))</f>
        <v>6.8999999999999999E-3</v>
      </c>
      <c r="AD18" s="2025">
        <f t="shared" si="18"/>
        <v>8.0000000000000004E-4</v>
      </c>
    </row>
    <row r="19" spans="1:30" s="2921" customFormat="1" thickBot="1">
      <c r="A19" s="2911" t="s">
        <v>2825</v>
      </c>
      <c r="B19" s="2912">
        <v>2021</v>
      </c>
      <c r="C19" s="2913">
        <v>1</v>
      </c>
      <c r="D19" s="2914">
        <v>0.97</v>
      </c>
      <c r="E19" s="2914">
        <v>0.16</v>
      </c>
      <c r="F19" s="2914">
        <v>-0.25</v>
      </c>
      <c r="G19" s="2914">
        <v>1.1100000000000001</v>
      </c>
      <c r="H19" s="2915">
        <v>0.36</v>
      </c>
      <c r="I19" s="2916">
        <f t="shared" si="15"/>
        <v>-0.25</v>
      </c>
      <c r="J19" s="2917"/>
      <c r="K19" s="2918">
        <f t="shared" si="16"/>
        <v>9.7000000000000003E-3</v>
      </c>
      <c r="L19" s="2919">
        <f t="shared" si="16"/>
        <v>1.6000000000000001E-3</v>
      </c>
      <c r="M19" s="2919">
        <f>F19/100</f>
        <v>-2.5000000000000001E-3</v>
      </c>
      <c r="N19" s="2919">
        <f t="shared" si="16"/>
        <v>1.11E-2</v>
      </c>
      <c r="O19" s="2919">
        <f t="shared" si="16"/>
        <v>3.5999999999999999E-3</v>
      </c>
      <c r="P19" s="2919">
        <f t="shared" si="36"/>
        <v>-2.5000000000000001E-3</v>
      </c>
      <c r="Q19" s="2917"/>
      <c r="R19" s="2920">
        <v>1</v>
      </c>
      <c r="S19" s="2920">
        <v>1</v>
      </c>
      <c r="T19" s="2920">
        <v>1</v>
      </c>
      <c r="U19" s="2920">
        <v>1</v>
      </c>
      <c r="V19" s="2920">
        <v>1</v>
      </c>
      <c r="W19" s="2920">
        <f t="shared" ref="W19" si="42">T19</f>
        <v>1</v>
      </c>
      <c r="X19" s="2917"/>
      <c r="Y19" s="2919">
        <f>IF(D19=0,0,ROUND(AVERAGE(D19:D19)/100,4))</f>
        <v>9.7000000000000003E-3</v>
      </c>
      <c r="Z19" s="2919">
        <f>IF(E19=0,0,ROUND(AVERAGE(E19:E19)/100,4))</f>
        <v>1.6000000000000001E-3</v>
      </c>
      <c r="AA19" s="2919">
        <f>IF(F19=0,0,ROUND(AVERAGE(F19:F19)/100,4))</f>
        <v>-2.5000000000000001E-3</v>
      </c>
      <c r="AB19" s="2919">
        <f>IF(G19=0,0,ROUND(AVERAGE(G19:G19)/100,4))</f>
        <v>1.11E-2</v>
      </c>
      <c r="AC19" s="2919">
        <f>IF(H19=0,0,ROUND(AVERAGE(H19:H19)/100,4))</f>
        <v>3.5999999999999999E-3</v>
      </c>
      <c r="AD19" s="2919">
        <f>AA19</f>
        <v>-2.5000000000000001E-3</v>
      </c>
    </row>
    <row r="20" spans="1:30" ht="14.25" thickTop="1"/>
    <row r="21" spans="1:30">
      <c r="A21" s="3136" t="s">
        <v>3367</v>
      </c>
    </row>
    <row r="22" spans="1:30">
      <c r="I22" s="1402" t="s">
        <v>2826</v>
      </c>
    </row>
    <row r="24" spans="1:30" s="2006" customFormat="1" ht="12.75">
      <c r="B24" s="2922" t="s">
        <v>3373</v>
      </c>
      <c r="C24" s="2923"/>
      <c r="D24" s="2923"/>
      <c r="E24" s="2923"/>
      <c r="F24" s="2923"/>
      <c r="G24" s="2923"/>
      <c r="H24" s="2923"/>
      <c r="I24" s="2923"/>
      <c r="J24" s="2889"/>
      <c r="K24" s="2923" t="s">
        <v>2827</v>
      </c>
      <c r="L24" s="2923"/>
      <c r="M24" s="2923"/>
      <c r="N24" s="2923"/>
      <c r="O24" s="2923"/>
      <c r="P24" s="2923"/>
      <c r="Q24" s="2889"/>
      <c r="R24" s="3516" t="s">
        <v>2828</v>
      </c>
      <c r="S24" s="3517"/>
      <c r="T24" s="3517"/>
      <c r="U24" s="3517"/>
      <c r="V24" s="3517"/>
      <c r="W24" s="3517"/>
      <c r="X24" s="2889"/>
      <c r="Y24" s="3516" t="s">
        <v>2829</v>
      </c>
      <c r="Z24" s="3517"/>
      <c r="AA24" s="3517"/>
      <c r="AB24" s="3517"/>
      <c r="AC24" s="3517"/>
      <c r="AD24" s="3517"/>
    </row>
    <row r="25" spans="1:30" s="2007" customFormat="1" ht="14.25" thickBot="1">
      <c r="B25" s="2874"/>
      <c r="C25" s="2875"/>
      <c r="D25" s="2008" t="s">
        <v>2830</v>
      </c>
      <c r="E25" s="2009" t="s">
        <v>2831</v>
      </c>
      <c r="F25" s="2009" t="s">
        <v>2832</v>
      </c>
      <c r="G25" s="2009" t="s">
        <v>2833</v>
      </c>
      <c r="H25" s="2009"/>
      <c r="I25" s="2009" t="s">
        <v>2834</v>
      </c>
      <c r="J25" s="2876"/>
      <c r="K25" s="2008" t="s">
        <v>2830</v>
      </c>
      <c r="L25" s="2009" t="s">
        <v>2831</v>
      </c>
      <c r="M25" s="2009" t="s">
        <v>2832</v>
      </c>
      <c r="N25" s="2009" t="s">
        <v>2833</v>
      </c>
      <c r="O25" s="2009"/>
      <c r="P25" s="2009" t="s">
        <v>2834</v>
      </c>
      <c r="Q25" s="2876"/>
      <c r="R25" s="2008" t="s">
        <v>2830</v>
      </c>
      <c r="S25" s="2009" t="s">
        <v>2831</v>
      </c>
      <c r="T25" s="2009" t="s">
        <v>2832</v>
      </c>
      <c r="U25" s="2009" t="s">
        <v>2833</v>
      </c>
      <c r="V25" s="2009"/>
      <c r="W25" s="2009" t="s">
        <v>2834</v>
      </c>
      <c r="X25" s="2876"/>
      <c r="Y25" s="2008" t="s">
        <v>2830</v>
      </c>
      <c r="Z25" s="2009" t="s">
        <v>2831</v>
      </c>
      <c r="AA25" s="2009" t="s">
        <v>2832</v>
      </c>
      <c r="AB25" s="2009" t="s">
        <v>2833</v>
      </c>
      <c r="AC25" s="2009"/>
      <c r="AD25" s="2009" t="s">
        <v>2834</v>
      </c>
    </row>
    <row r="26" spans="1:30" s="2879" customFormat="1" ht="12.75">
      <c r="A26" s="2877" t="s">
        <v>2835</v>
      </c>
      <c r="B26" s="2878"/>
      <c r="E26" s="2879">
        <f t="shared" ref="E26:G26" si="43">ROUND(AVERAGEIF(E27:E42,"&lt;&gt;0"),2)</f>
        <v>0.33</v>
      </c>
      <c r="F26" s="2879">
        <f t="shared" si="43"/>
        <v>0.24</v>
      </c>
      <c r="G26" s="2879">
        <f t="shared" si="43"/>
        <v>0.62</v>
      </c>
      <c r="I26" s="2879">
        <f>F26</f>
        <v>0.24</v>
      </c>
      <c r="J26" s="2880"/>
      <c r="K26" s="2881"/>
      <c r="L26" s="2882">
        <f t="shared" ref="L26:N26" si="44">ROUND(AVERAGEIF(L27:L42,"&lt;&gt;0"),4)</f>
        <v>3.3E-3</v>
      </c>
      <c r="M26" s="2882">
        <f t="shared" si="44"/>
        <v>2.3999999999999998E-3</v>
      </c>
      <c r="N26" s="2882">
        <f t="shared" si="44"/>
        <v>6.1999999999999998E-3</v>
      </c>
      <c r="O26" s="2882"/>
      <c r="P26" s="2882">
        <f>M26</f>
        <v>2.3999999999999998E-3</v>
      </c>
      <c r="Q26" s="2880"/>
      <c r="R26" s="2883"/>
      <c r="S26" s="2884">
        <f>ROUND(SUMPRODUCT(PRODUCT(1+L27:L42)),4)</f>
        <v>1.0468999999999999</v>
      </c>
      <c r="T26" s="2884">
        <f t="shared" ref="T26:U26" si="45">ROUND(SUMPRODUCT(PRODUCT(1+M27:M42)),4)</f>
        <v>1.0347</v>
      </c>
      <c r="U26" s="2884">
        <f t="shared" si="45"/>
        <v>1.0895999999999999</v>
      </c>
      <c r="V26" s="2884"/>
      <c r="W26" s="2883">
        <f>T26</f>
        <v>1.0347</v>
      </c>
      <c r="X26" s="2880"/>
      <c r="Y26" s="2885"/>
      <c r="Z26" s="2886">
        <f t="shared" ref="Z26:AB26" si="46">ROUND(AVERAGEIF(Z27:Z42,"&lt;&gt;0"),4)</f>
        <v>4.1999999999999997E-3</v>
      </c>
      <c r="AA26" s="2887">
        <f t="shared" si="46"/>
        <v>3.3999999999999998E-3</v>
      </c>
      <c r="AB26" s="2885">
        <f t="shared" si="46"/>
        <v>8.6E-3</v>
      </c>
      <c r="AC26" s="2888"/>
      <c r="AD26" s="2885">
        <f>AA26</f>
        <v>3.3999999999999998E-3</v>
      </c>
    </row>
    <row r="27" spans="1:30" s="2006" customFormat="1" ht="12.75">
      <c r="B27" s="2022"/>
      <c r="J27" s="2889"/>
      <c r="K27" s="2890"/>
      <c r="L27" s="2891"/>
      <c r="M27" s="2891"/>
      <c r="N27" s="2891"/>
      <c r="O27" s="2891"/>
      <c r="P27" s="2891"/>
      <c r="Q27" s="2889"/>
      <c r="R27" s="2024"/>
      <c r="S27" s="2892"/>
      <c r="T27" s="2893"/>
      <c r="U27" s="2024"/>
      <c r="V27" s="2894"/>
      <c r="W27" s="2024"/>
      <c r="X27" s="2889"/>
      <c r="Y27" s="2025"/>
      <c r="Z27" s="2895"/>
      <c r="AA27" s="2896"/>
      <c r="AB27" s="2025"/>
      <c r="AC27" s="2897"/>
      <c r="AD27" s="2025"/>
    </row>
    <row r="28" spans="1:30" s="2042" customFormat="1" ht="12.75">
      <c r="A28" s="2037" t="s">
        <v>3378</v>
      </c>
      <c r="B28" s="2028">
        <v>2024</v>
      </c>
      <c r="C28" s="2039">
        <v>3</v>
      </c>
      <c r="D28" s="2004"/>
      <c r="E28" s="2004">
        <v>0</v>
      </c>
      <c r="F28" s="2004">
        <v>0</v>
      </c>
      <c r="G28" s="2004">
        <v>0</v>
      </c>
      <c r="H28" s="2004"/>
      <c r="I28" s="2005">
        <f t="shared" ref="I28" si="47">F28</f>
        <v>0</v>
      </c>
      <c r="J28" s="2899"/>
      <c r="K28" s="2040"/>
      <c r="L28" s="2025">
        <f t="shared" ref="L28" si="48">E28/100</f>
        <v>0</v>
      </c>
      <c r="M28" s="2025">
        <f t="shared" ref="M28" si="49">F28/100</f>
        <v>0</v>
      </c>
      <c r="N28" s="2025">
        <f t="shared" ref="N28" si="50">G28/100</f>
        <v>0</v>
      </c>
      <c r="O28" s="2025"/>
      <c r="P28" s="2025">
        <f>M28</f>
        <v>0</v>
      </c>
      <c r="Q28" s="2899"/>
      <c r="R28" s="2024"/>
      <c r="S28" s="2024">
        <f>ROUND(IF(项目基本情况!$B$8="出让",SUMPRODUCT(PRODUCT(1+L28:L$42)),SUMPRODUCT(PRODUCT(1+L28:L$41))),4)</f>
        <v>1.0432999999999999</v>
      </c>
      <c r="T28" s="2024">
        <f>ROUND(IF(项目基本情况!$B$8="出让",SUMPRODUCT(PRODUCT(1+M28:M$42)),SUMPRODUCT(PRODUCT(1+M28:M$41))),4)</f>
        <v>1.0298</v>
      </c>
      <c r="U28" s="2024">
        <f>ROUND(IF(项目基本情况!$B$8="出让",SUMPRODUCT(PRODUCT(1+N28:N$42)),SUMPRODUCT(PRODUCT(1+N28:N$41))),4)</f>
        <v>1.079</v>
      </c>
      <c r="V28" s="2024"/>
      <c r="W28" s="2024">
        <f>T28</f>
        <v>1.0298</v>
      </c>
      <c r="X28" s="2899"/>
      <c r="Y28" s="2025"/>
      <c r="Z28" s="2895">
        <f t="shared" ref="Z28:AB29" si="51">IF(E28=0,0,ROUND(AVERAGE(E28:E41)/100,4))</f>
        <v>0</v>
      </c>
      <c r="AA28" s="2895">
        <f t="shared" si="51"/>
        <v>0</v>
      </c>
      <c r="AB28" s="2895">
        <f t="shared" si="51"/>
        <v>0</v>
      </c>
      <c r="AC28" s="2897"/>
      <c r="AD28" s="2025">
        <f>IF(I28=0,0,ROUND(AVERAGE(I28:I41)/100,4))</f>
        <v>0</v>
      </c>
    </row>
    <row r="29" spans="1:30" s="2909" customFormat="1" ht="12.75">
      <c r="A29" s="2900" t="s">
        <v>3379</v>
      </c>
      <c r="B29" s="2901">
        <v>2024</v>
      </c>
      <c r="C29" s="2902">
        <v>2</v>
      </c>
      <c r="D29" s="2903"/>
      <c r="E29" s="2903">
        <v>-0.31</v>
      </c>
      <c r="F29" s="2903">
        <v>-0.39</v>
      </c>
      <c r="G29" s="2903">
        <v>1.23</v>
      </c>
      <c r="H29" s="2904"/>
      <c r="I29" s="2905">
        <f t="shared" ref="I29:I42" si="52">F29</f>
        <v>-0.39</v>
      </c>
      <c r="J29" s="2906"/>
      <c r="K29" s="2907"/>
      <c r="L29" s="2908">
        <f t="shared" ref="L29:N42" si="53">E29/100</f>
        <v>-3.0999999999999999E-3</v>
      </c>
      <c r="M29" s="2908">
        <f t="shared" si="53"/>
        <v>-3.9000000000000003E-3</v>
      </c>
      <c r="N29" s="2908">
        <f t="shared" si="53"/>
        <v>1.23E-2</v>
      </c>
      <c r="O29" s="2908"/>
      <c r="P29" s="2908">
        <f>M29</f>
        <v>-3.9000000000000003E-3</v>
      </c>
      <c r="Q29" s="2906"/>
      <c r="R29" s="2906"/>
      <c r="S29" s="2906">
        <f>ROUND(IF(项目基本情况!$B$8="出让",SUMPRODUCT(PRODUCT(1+L29:L$42)),SUMPRODUCT(PRODUCT(1+L29:L$41))),4)</f>
        <v>1.0432999999999999</v>
      </c>
      <c r="T29" s="2906">
        <f>ROUND(IF(项目基本情况!$B$8="出让",SUMPRODUCT(PRODUCT(1+M29:M$42)),SUMPRODUCT(PRODUCT(1+M29:M$41))),4)</f>
        <v>1.0298</v>
      </c>
      <c r="U29" s="2906">
        <f>ROUND(IF(项目基本情况!$B$8="出让",SUMPRODUCT(PRODUCT(1+N29:N$42)),SUMPRODUCT(PRODUCT(1+N29:N$41))),4)</f>
        <v>1.079</v>
      </c>
      <c r="V29" s="2906"/>
      <c r="W29" s="2906">
        <f>T29</f>
        <v>1.0298</v>
      </c>
      <c r="X29" s="2906"/>
      <c r="Y29" s="2908"/>
      <c r="Z29" s="2924">
        <f t="shared" si="51"/>
        <v>3.3E-3</v>
      </c>
      <c r="AA29" s="2925">
        <f t="shared" si="51"/>
        <v>2.3999999999999998E-3</v>
      </c>
      <c r="AB29" s="2908">
        <f t="shared" si="51"/>
        <v>6.1999999999999998E-3</v>
      </c>
      <c r="AC29" s="2926"/>
      <c r="AD29" s="2908">
        <f>IF(I29=0,0,ROUND(AVERAGE(I29:I42)/100,4))</f>
        <v>2.3999999999999998E-3</v>
      </c>
    </row>
    <row r="30" spans="1:30" s="2042" customFormat="1" ht="12.75">
      <c r="A30" s="2898" t="s">
        <v>3380</v>
      </c>
      <c r="B30" s="2028">
        <v>2024</v>
      </c>
      <c r="C30" s="2039">
        <v>1</v>
      </c>
      <c r="D30" s="2004"/>
      <c r="E30" s="2004">
        <v>0.25</v>
      </c>
      <c r="F30" s="2004">
        <v>0.4</v>
      </c>
      <c r="G30" s="2004">
        <v>-0.63</v>
      </c>
      <c r="H30" s="2910"/>
      <c r="I30" s="2005">
        <f t="shared" ref="I30:I31" si="54">F30</f>
        <v>0.4</v>
      </c>
      <c r="J30" s="2899"/>
      <c r="K30" s="2040"/>
      <c r="L30" s="2025">
        <f t="shared" ref="L30" si="55">E30/100</f>
        <v>2.5000000000000001E-3</v>
      </c>
      <c r="M30" s="2025">
        <f t="shared" ref="M30" si="56">F30/100</f>
        <v>4.0000000000000001E-3</v>
      </c>
      <c r="N30" s="2025">
        <f t="shared" ref="N30" si="57">G30/100</f>
        <v>-6.3E-3</v>
      </c>
      <c r="O30" s="2025"/>
      <c r="P30" s="2025">
        <f t="shared" ref="P30" si="58">M30</f>
        <v>4.0000000000000001E-3</v>
      </c>
      <c r="Q30" s="2899"/>
      <c r="R30" s="2024"/>
      <c r="S30" s="2024">
        <f>ROUND(IF(项目基本情况!$B$8="出让",SUMPRODUCT(PRODUCT(1+L30:L$42)),SUMPRODUCT(PRODUCT(1+L30:L$41))),4)</f>
        <v>1.0465</v>
      </c>
      <c r="T30" s="2024">
        <f>ROUND(IF(项目基本情况!$B$8="出让",SUMPRODUCT(PRODUCT(1+M30:M$42)),SUMPRODUCT(PRODUCT(1+M30:M$41))),4)</f>
        <v>1.0338000000000001</v>
      </c>
      <c r="U30" s="2024">
        <f>ROUND(IF(项目基本情况!$B$8="出让",SUMPRODUCT(PRODUCT(1+N30:N$42)),SUMPRODUCT(PRODUCT(1+N30:N$41))),4)</f>
        <v>1.0659000000000001</v>
      </c>
      <c r="V30" s="2024"/>
      <c r="W30" s="2024">
        <f t="shared" ref="W30" si="59">T30</f>
        <v>1.0338000000000001</v>
      </c>
      <c r="X30" s="2899"/>
      <c r="Y30" s="2025"/>
      <c r="Z30" s="2895"/>
      <c r="AA30" s="2896"/>
      <c r="AB30" s="2025"/>
      <c r="AC30" s="2897"/>
      <c r="AD30" s="2025"/>
    </row>
    <row r="31" spans="1:30" s="2042" customFormat="1" ht="12.75">
      <c r="A31" s="2898" t="s">
        <v>3377</v>
      </c>
      <c r="B31" s="2028">
        <v>2023</v>
      </c>
      <c r="C31" s="2039">
        <v>4</v>
      </c>
      <c r="D31" s="2004"/>
      <c r="E31" s="2004">
        <v>7.0000000000000007E-2</v>
      </c>
      <c r="F31" s="2004">
        <v>0.09</v>
      </c>
      <c r="G31" s="2004">
        <v>0.03</v>
      </c>
      <c r="H31" s="2910"/>
      <c r="I31" s="2005">
        <f t="shared" si="54"/>
        <v>0.09</v>
      </c>
      <c r="J31" s="2899"/>
      <c r="K31" s="2040"/>
      <c r="L31" s="2025">
        <f t="shared" si="53"/>
        <v>7.000000000000001E-4</v>
      </c>
      <c r="M31" s="2025">
        <f t="shared" si="53"/>
        <v>8.9999999999999998E-4</v>
      </c>
      <c r="N31" s="2025">
        <f t="shared" si="53"/>
        <v>2.9999999999999997E-4</v>
      </c>
      <c r="O31" s="2025"/>
      <c r="P31" s="2025">
        <f t="shared" ref="P31" si="60">M31</f>
        <v>8.9999999999999998E-4</v>
      </c>
      <c r="Q31" s="2899"/>
      <c r="R31" s="2024"/>
      <c r="S31" s="2024">
        <f>ROUND(IF(项目基本情况!$B$8="出让",SUMPRODUCT(PRODUCT(1+L31:L$42)),SUMPRODUCT(PRODUCT(1+L31:L$41))),4)</f>
        <v>1.0439000000000001</v>
      </c>
      <c r="T31" s="2024">
        <f>ROUND(IF(项目基本情况!$B$8="出让",SUMPRODUCT(PRODUCT(1+M31:M$42)),SUMPRODUCT(PRODUCT(1+M31:M$41))),4)</f>
        <v>1.0297000000000001</v>
      </c>
      <c r="U31" s="2024">
        <f>ROUND(IF(项目基本情况!$B$8="出让",SUMPRODUCT(PRODUCT(1+N31:N$42)),SUMPRODUCT(PRODUCT(1+N31:N$41))),4)</f>
        <v>1.0727</v>
      </c>
      <c r="V31" s="2024"/>
      <c r="W31" s="2024">
        <f t="shared" ref="W31" si="61">T31</f>
        <v>1.0297000000000001</v>
      </c>
      <c r="X31" s="2899"/>
      <c r="Y31" s="2025"/>
      <c r="Z31" s="2895"/>
      <c r="AA31" s="2896"/>
      <c r="AB31" s="2025"/>
      <c r="AC31" s="2897"/>
      <c r="AD31" s="2025"/>
    </row>
    <row r="32" spans="1:30" s="2042" customFormat="1" ht="12.75">
      <c r="A32" s="2898" t="s">
        <v>3375</v>
      </c>
      <c r="B32" s="2028">
        <v>2023</v>
      </c>
      <c r="C32" s="2039">
        <v>3</v>
      </c>
      <c r="D32" s="2004"/>
      <c r="E32" s="2004">
        <v>0.35</v>
      </c>
      <c r="F32" s="2004">
        <v>0.17</v>
      </c>
      <c r="G32" s="2004">
        <v>0.52</v>
      </c>
      <c r="H32" s="2910"/>
      <c r="I32" s="2005">
        <f t="shared" si="52"/>
        <v>0.17</v>
      </c>
      <c r="J32" s="2899"/>
      <c r="K32" s="2040"/>
      <c r="L32" s="2025">
        <f t="shared" ref="L32:L34" si="62">E32/100</f>
        <v>3.4999999999999996E-3</v>
      </c>
      <c r="M32" s="2025">
        <f t="shared" ref="M32:M34" si="63">F32/100</f>
        <v>1.7000000000000001E-3</v>
      </c>
      <c r="N32" s="2025">
        <f t="shared" ref="N32:N34" si="64">G32/100</f>
        <v>5.1999999999999998E-3</v>
      </c>
      <c r="O32" s="2025"/>
      <c r="P32" s="2025">
        <f t="shared" ref="P32:P34" si="65">M32</f>
        <v>1.7000000000000001E-3</v>
      </c>
      <c r="Q32" s="2899"/>
      <c r="R32" s="2024"/>
      <c r="S32" s="2024">
        <f>ROUND(IF(项目基本情况!$B$8="出让",SUMPRODUCT(PRODUCT(1+L32:L$42)),SUMPRODUCT(PRODUCT(1+L32:L$41))),4)</f>
        <v>1.0431999999999999</v>
      </c>
      <c r="T32" s="2024">
        <f>ROUND(IF(项目基本情况!$B$8="出让",SUMPRODUCT(PRODUCT(1+M32:M$42)),SUMPRODUCT(PRODUCT(1+M32:M$41))),4)</f>
        <v>1.0286999999999999</v>
      </c>
      <c r="U32" s="2024">
        <f>ROUND(IF(项目基本情况!$B$8="出让",SUMPRODUCT(PRODUCT(1+N32:N$42)),SUMPRODUCT(PRODUCT(1+N32:N$41))),4)</f>
        <v>1.0723</v>
      </c>
      <c r="V32" s="2024"/>
      <c r="W32" s="2024">
        <f t="shared" ref="W32:W34" si="66">T32</f>
        <v>1.0286999999999999</v>
      </c>
      <c r="X32" s="2899"/>
      <c r="Y32" s="2025"/>
      <c r="Z32" s="2895"/>
      <c r="AA32" s="2896"/>
      <c r="AB32" s="2025"/>
      <c r="AC32" s="2897"/>
      <c r="AD32" s="2025"/>
    </row>
    <row r="33" spans="1:30" s="2042" customFormat="1" ht="12.75">
      <c r="A33" s="2898" t="s">
        <v>3374</v>
      </c>
      <c r="B33" s="2028">
        <v>2023</v>
      </c>
      <c r="C33" s="2039">
        <v>2</v>
      </c>
      <c r="D33" s="2004"/>
      <c r="E33" s="2004">
        <v>0.5</v>
      </c>
      <c r="F33" s="2004">
        <v>0.45</v>
      </c>
      <c r="G33" s="2004">
        <v>0.89</v>
      </c>
      <c r="H33" s="2910"/>
      <c r="I33" s="2005">
        <f t="shared" si="52"/>
        <v>0.45</v>
      </c>
      <c r="J33" s="2899"/>
      <c r="K33" s="2040"/>
      <c r="L33" s="2025">
        <f t="shared" si="62"/>
        <v>5.0000000000000001E-3</v>
      </c>
      <c r="M33" s="2025">
        <f t="shared" si="63"/>
        <v>4.5000000000000005E-3</v>
      </c>
      <c r="N33" s="2025">
        <f t="shared" si="64"/>
        <v>8.8999999999999999E-3</v>
      </c>
      <c r="O33" s="2025"/>
      <c r="P33" s="2025">
        <f t="shared" si="65"/>
        <v>4.5000000000000005E-3</v>
      </c>
      <c r="Q33" s="2899"/>
      <c r="R33" s="2024"/>
      <c r="S33" s="2024">
        <f>ROUND(IF(项目基本情况!$B$8="出让",SUMPRODUCT(PRODUCT(1+L33:L$42)),SUMPRODUCT(PRODUCT(1+L33:L$41))),4)</f>
        <v>1.0396000000000001</v>
      </c>
      <c r="T33" s="2024">
        <f>ROUND(IF(项目基本情况!$B$8="出让",SUMPRODUCT(PRODUCT(1+M33:M$42)),SUMPRODUCT(PRODUCT(1+M33:M$41))),4)</f>
        <v>1.0269999999999999</v>
      </c>
      <c r="U33" s="2024">
        <f>ROUND(IF(项目基本情况!$B$8="出让",SUMPRODUCT(PRODUCT(1+N33:N$42)),SUMPRODUCT(PRODUCT(1+N33:N$41))),4)</f>
        <v>1.0668</v>
      </c>
      <c r="V33" s="2024"/>
      <c r="W33" s="2024">
        <f t="shared" si="66"/>
        <v>1.0269999999999999</v>
      </c>
      <c r="X33" s="2899"/>
      <c r="Y33" s="2025"/>
      <c r="Z33" s="2895"/>
      <c r="AA33" s="2896"/>
      <c r="AB33" s="2025"/>
      <c r="AC33" s="2897"/>
      <c r="AD33" s="2025"/>
    </row>
    <row r="34" spans="1:30" s="2042" customFormat="1" ht="12.75">
      <c r="A34" s="2898" t="s">
        <v>3370</v>
      </c>
      <c r="B34" s="2028">
        <v>2023</v>
      </c>
      <c r="C34" s="2039">
        <v>1</v>
      </c>
      <c r="D34" s="2004"/>
      <c r="E34" s="2004">
        <v>0.55000000000000004</v>
      </c>
      <c r="F34" s="2004">
        <v>0.59</v>
      </c>
      <c r="G34" s="2004">
        <v>0.64</v>
      </c>
      <c r="H34" s="2910"/>
      <c r="I34" s="2005">
        <f t="shared" si="52"/>
        <v>0.59</v>
      </c>
      <c r="J34" s="2899"/>
      <c r="K34" s="2040"/>
      <c r="L34" s="2025">
        <f t="shared" si="62"/>
        <v>5.5000000000000005E-3</v>
      </c>
      <c r="M34" s="2025">
        <f t="shared" si="63"/>
        <v>5.8999999999999999E-3</v>
      </c>
      <c r="N34" s="2025">
        <f t="shared" si="64"/>
        <v>6.4000000000000003E-3</v>
      </c>
      <c r="O34" s="2025"/>
      <c r="P34" s="2025">
        <f t="shared" si="65"/>
        <v>5.8999999999999999E-3</v>
      </c>
      <c r="Q34" s="2899"/>
      <c r="R34" s="2024"/>
      <c r="S34" s="2024">
        <f>ROUND(IF(项目基本情况!$B$8="出让",SUMPRODUCT(PRODUCT(1+L34:L$42)),SUMPRODUCT(PRODUCT(1+L34:L$41))),4)</f>
        <v>1.0344</v>
      </c>
      <c r="T34" s="2024">
        <f>ROUND(IF(项目基本情况!$B$8="出让",SUMPRODUCT(PRODUCT(1+M34:M$42)),SUMPRODUCT(PRODUCT(1+M34:M$41))),4)</f>
        <v>1.0224</v>
      </c>
      <c r="U34" s="2024">
        <f>ROUND(IF(项目基本情况!$B$8="出让",SUMPRODUCT(PRODUCT(1+N34:N$42)),SUMPRODUCT(PRODUCT(1+N34:N$41))),4)</f>
        <v>1.0573999999999999</v>
      </c>
      <c r="V34" s="2024"/>
      <c r="W34" s="2024">
        <f t="shared" si="66"/>
        <v>1.0224</v>
      </c>
      <c r="X34" s="2899"/>
      <c r="Y34" s="2025"/>
      <c r="Z34" s="2895"/>
      <c r="AA34" s="2896"/>
      <c r="AB34" s="2025"/>
      <c r="AC34" s="2897"/>
      <c r="AD34" s="2025"/>
    </row>
    <row r="35" spans="1:30" s="2042" customFormat="1" ht="12.75">
      <c r="A35" s="2898" t="s">
        <v>3369</v>
      </c>
      <c r="B35" s="2028">
        <v>2022</v>
      </c>
      <c r="C35" s="2039">
        <v>4</v>
      </c>
      <c r="D35" s="2004"/>
      <c r="E35" s="2004">
        <v>0.45</v>
      </c>
      <c r="F35" s="2004">
        <v>0.2</v>
      </c>
      <c r="G35" s="2004">
        <v>0.38</v>
      </c>
      <c r="H35" s="2910"/>
      <c r="I35" s="2005">
        <f t="shared" si="52"/>
        <v>0.2</v>
      </c>
      <c r="J35" s="2899"/>
      <c r="K35" s="2040"/>
      <c r="L35" s="2025">
        <f t="shared" si="53"/>
        <v>4.5000000000000005E-3</v>
      </c>
      <c r="M35" s="2025">
        <f t="shared" si="53"/>
        <v>2E-3</v>
      </c>
      <c r="N35" s="2025">
        <f t="shared" si="53"/>
        <v>3.8E-3</v>
      </c>
      <c r="O35" s="2025"/>
      <c r="P35" s="2025">
        <f t="shared" ref="P35:P42" si="67">M35</f>
        <v>2E-3</v>
      </c>
      <c r="Q35" s="2899"/>
      <c r="R35" s="2024"/>
      <c r="S35" s="2024">
        <f>ROUND(IF(项目基本情况!$B$8="出让",SUMPRODUCT(PRODUCT(1+L35:L$42)),SUMPRODUCT(PRODUCT(1+L35:L$41))),4)</f>
        <v>1.0286999999999999</v>
      </c>
      <c r="T35" s="2024">
        <f>ROUND(IF(项目基本情况!$B$8="出让",SUMPRODUCT(PRODUCT(1+M35:M$42)),SUMPRODUCT(PRODUCT(1+M35:M$41))),4)</f>
        <v>1.0164</v>
      </c>
      <c r="U35" s="2024">
        <f>ROUND(IF(项目基本情况!$B$8="出让",SUMPRODUCT(PRODUCT(1+N35:N$42)),SUMPRODUCT(PRODUCT(1+N35:N$41))),4)</f>
        <v>1.0506</v>
      </c>
      <c r="V35" s="2024"/>
      <c r="W35" s="2024">
        <f t="shared" ref="W35:W42" si="68">T35</f>
        <v>1.0164</v>
      </c>
      <c r="X35" s="2899"/>
      <c r="Y35" s="2025"/>
      <c r="Z35" s="2895">
        <f t="shared" ref="Z35:AD42" si="69">IF(E35=0,0,ROUND(AVERAGE(E35:E43)/100,4))</f>
        <v>4.0000000000000001E-3</v>
      </c>
      <c r="AA35" s="2896">
        <f t="shared" si="69"/>
        <v>2.5999999999999999E-3</v>
      </c>
      <c r="AB35" s="2025">
        <f t="shared" si="69"/>
        <v>7.4000000000000003E-3</v>
      </c>
      <c r="AC35" s="2897"/>
      <c r="AD35" s="2025">
        <f t="shared" si="69"/>
        <v>2.5999999999999999E-3</v>
      </c>
    </row>
    <row r="36" spans="1:30" s="2042" customFormat="1" ht="12.75">
      <c r="A36" s="2898" t="s">
        <v>3366</v>
      </c>
      <c r="B36" s="2028">
        <v>2022</v>
      </c>
      <c r="C36" s="2039">
        <v>3</v>
      </c>
      <c r="D36" s="2004"/>
      <c r="E36" s="2004">
        <v>0.3</v>
      </c>
      <c r="F36" s="2004">
        <v>0.28999999999999998</v>
      </c>
      <c r="G36" s="2004">
        <v>0.83</v>
      </c>
      <c r="H36" s="2910"/>
      <c r="I36" s="2005">
        <f t="shared" si="52"/>
        <v>0.28999999999999998</v>
      </c>
      <c r="J36" s="2899"/>
      <c r="K36" s="2040"/>
      <c r="L36" s="2025">
        <f t="shared" si="53"/>
        <v>3.0000000000000001E-3</v>
      </c>
      <c r="M36" s="2025">
        <f t="shared" si="53"/>
        <v>2.8999999999999998E-3</v>
      </c>
      <c r="N36" s="2025">
        <f t="shared" si="53"/>
        <v>8.3000000000000001E-3</v>
      </c>
      <c r="O36" s="2025"/>
      <c r="P36" s="2025">
        <f t="shared" si="67"/>
        <v>2.8999999999999998E-3</v>
      </c>
      <c r="Q36" s="2899"/>
      <c r="R36" s="2024"/>
      <c r="S36" s="2024">
        <f>ROUND(IF(项目基本情况!$B$8="出让",SUMPRODUCT(PRODUCT(1+L36:L$42)),SUMPRODUCT(PRODUCT(1+L36:L$41))),4)</f>
        <v>1.0241</v>
      </c>
      <c r="T36" s="2024">
        <f>ROUND(IF(项目基本情况!$B$8="出让",SUMPRODUCT(PRODUCT(1+M36:M$42)),SUMPRODUCT(PRODUCT(1+M36:M$41))),4)</f>
        <v>1.0144</v>
      </c>
      <c r="U36" s="2024">
        <f>ROUND(IF(项目基本情况!$B$8="出让",SUMPRODUCT(PRODUCT(1+N36:N$42)),SUMPRODUCT(PRODUCT(1+N36:N$41))),4)</f>
        <v>1.0467</v>
      </c>
      <c r="V36" s="2024"/>
      <c r="W36" s="2024">
        <f t="shared" si="68"/>
        <v>1.0144</v>
      </c>
      <c r="X36" s="2899"/>
      <c r="Y36" s="2025"/>
      <c r="Z36" s="2895">
        <f t="shared" si="69"/>
        <v>3.8999999999999998E-3</v>
      </c>
      <c r="AA36" s="2896">
        <f t="shared" si="69"/>
        <v>2.7000000000000001E-3</v>
      </c>
      <c r="AB36" s="2025">
        <f t="shared" si="69"/>
        <v>7.9000000000000008E-3</v>
      </c>
      <c r="AC36" s="2897"/>
      <c r="AD36" s="2025">
        <f t="shared" si="69"/>
        <v>2.7000000000000001E-3</v>
      </c>
    </row>
    <row r="37" spans="1:30" s="2042" customFormat="1" ht="12.75">
      <c r="A37" s="2898" t="s">
        <v>3356</v>
      </c>
      <c r="B37" s="2028">
        <v>2022</v>
      </c>
      <c r="C37" s="2039">
        <v>2</v>
      </c>
      <c r="D37" s="2004"/>
      <c r="E37" s="2004">
        <v>-0.11</v>
      </c>
      <c r="F37" s="2004">
        <v>-0.13</v>
      </c>
      <c r="G37" s="2004">
        <v>0.53</v>
      </c>
      <c r="H37" s="2910"/>
      <c r="I37" s="2005">
        <f t="shared" si="52"/>
        <v>-0.13</v>
      </c>
      <c r="J37" s="2899"/>
      <c r="K37" s="2040"/>
      <c r="L37" s="2025">
        <f t="shared" si="53"/>
        <v>-1.1000000000000001E-3</v>
      </c>
      <c r="M37" s="2025">
        <f t="shared" si="53"/>
        <v>-1.2999999999999999E-3</v>
      </c>
      <c r="N37" s="2025">
        <f t="shared" si="53"/>
        <v>5.3E-3</v>
      </c>
      <c r="O37" s="2025"/>
      <c r="P37" s="2025">
        <f t="shared" si="67"/>
        <v>-1.2999999999999999E-3</v>
      </c>
      <c r="Q37" s="2899"/>
      <c r="R37" s="2024"/>
      <c r="S37" s="2024">
        <f>ROUND(IF(项目基本情况!$B$8="出让",SUMPRODUCT(PRODUCT(1+L37:L$42)),SUMPRODUCT(PRODUCT(1+L37:L$41))),4)</f>
        <v>1.0210999999999999</v>
      </c>
      <c r="T37" s="2024">
        <f>ROUND(IF(项目基本情况!$B$8="出让",SUMPRODUCT(PRODUCT(1+M37:M$42)),SUMPRODUCT(PRODUCT(1+M37:M$41))),4)</f>
        <v>1.0114000000000001</v>
      </c>
      <c r="U37" s="2024">
        <f>ROUND(IF(项目基本情况!$B$8="出让",SUMPRODUCT(PRODUCT(1+N37:N$42)),SUMPRODUCT(PRODUCT(1+N37:N$41))),4)</f>
        <v>1.0381</v>
      </c>
      <c r="V37" s="2024"/>
      <c r="W37" s="2024">
        <f t="shared" si="68"/>
        <v>1.0114000000000001</v>
      </c>
      <c r="X37" s="2899"/>
      <c r="Y37" s="2025"/>
      <c r="Z37" s="2895">
        <f t="shared" si="69"/>
        <v>4.1000000000000003E-3</v>
      </c>
      <c r="AA37" s="2896">
        <f t="shared" si="69"/>
        <v>2.7000000000000001E-3</v>
      </c>
      <c r="AB37" s="2025">
        <f t="shared" si="69"/>
        <v>7.9000000000000008E-3</v>
      </c>
      <c r="AC37" s="2897"/>
      <c r="AD37" s="2025">
        <f t="shared" si="69"/>
        <v>2.7000000000000001E-3</v>
      </c>
    </row>
    <row r="38" spans="1:30" s="2042" customFormat="1" ht="12.75">
      <c r="A38" s="2898" t="s">
        <v>2836</v>
      </c>
      <c r="B38" s="2028">
        <v>2022</v>
      </c>
      <c r="C38" s="2039">
        <v>1</v>
      </c>
      <c r="D38" s="2004"/>
      <c r="E38" s="2004">
        <v>0.6</v>
      </c>
      <c r="F38" s="2004">
        <v>0.45</v>
      </c>
      <c r="G38" s="2004">
        <v>0.53</v>
      </c>
      <c r="H38" s="2910"/>
      <c r="I38" s="2005">
        <f t="shared" si="52"/>
        <v>0.45</v>
      </c>
      <c r="J38" s="2899"/>
      <c r="K38" s="2040"/>
      <c r="L38" s="2025">
        <f t="shared" si="53"/>
        <v>6.0000000000000001E-3</v>
      </c>
      <c r="M38" s="2025">
        <f t="shared" si="53"/>
        <v>4.5000000000000005E-3</v>
      </c>
      <c r="N38" s="2025">
        <f t="shared" si="53"/>
        <v>5.3E-3</v>
      </c>
      <c r="O38" s="2025"/>
      <c r="P38" s="2025">
        <f t="shared" si="67"/>
        <v>4.5000000000000005E-3</v>
      </c>
      <c r="Q38" s="2899"/>
      <c r="R38" s="2024"/>
      <c r="S38" s="2024">
        <f>ROUND(IF(项目基本情况!$B$8="出让",SUMPRODUCT(PRODUCT(1+L38:L$42)),SUMPRODUCT(PRODUCT(1+L38:L$41))),4)</f>
        <v>1.0222</v>
      </c>
      <c r="T38" s="2024">
        <f>ROUND(IF(项目基本情况!$B$8="出让",SUMPRODUCT(PRODUCT(1+M38:M$42)),SUMPRODUCT(PRODUCT(1+M38:M$41))),4)</f>
        <v>1.0127999999999999</v>
      </c>
      <c r="U38" s="2024">
        <f>ROUND(IF(项目基本情况!$B$8="出让",SUMPRODUCT(PRODUCT(1+N38:N$42)),SUMPRODUCT(PRODUCT(1+N38:N$41))),4)</f>
        <v>1.0326</v>
      </c>
      <c r="V38" s="2024"/>
      <c r="W38" s="2024">
        <f t="shared" si="68"/>
        <v>1.0127999999999999</v>
      </c>
      <c r="X38" s="2899"/>
      <c r="Y38" s="2025"/>
      <c r="Z38" s="2895">
        <f t="shared" si="69"/>
        <v>5.1000000000000004E-3</v>
      </c>
      <c r="AA38" s="2896">
        <f t="shared" si="69"/>
        <v>3.5000000000000001E-3</v>
      </c>
      <c r="AB38" s="2025">
        <f t="shared" si="69"/>
        <v>8.3999999999999995E-3</v>
      </c>
      <c r="AC38" s="2897"/>
      <c r="AD38" s="2025">
        <f t="shared" si="69"/>
        <v>3.5000000000000001E-3</v>
      </c>
    </row>
    <row r="39" spans="1:30" s="2042" customFormat="1" ht="12.75">
      <c r="A39" s="2898" t="s">
        <v>2837</v>
      </c>
      <c r="B39" s="2028">
        <v>2021</v>
      </c>
      <c r="C39" s="2039">
        <v>4</v>
      </c>
      <c r="D39" s="2004"/>
      <c r="E39" s="2004">
        <v>0.57999999999999996</v>
      </c>
      <c r="F39" s="2004">
        <v>0.08</v>
      </c>
      <c r="G39" s="2004">
        <v>0.68</v>
      </c>
      <c r="H39" s="2910"/>
      <c r="I39" s="2005">
        <f t="shared" si="52"/>
        <v>0.08</v>
      </c>
      <c r="J39" s="2899"/>
      <c r="K39" s="2040"/>
      <c r="L39" s="2025">
        <f t="shared" si="53"/>
        <v>5.7999999999999996E-3</v>
      </c>
      <c r="M39" s="2025">
        <f t="shared" si="53"/>
        <v>8.0000000000000004E-4</v>
      </c>
      <c r="N39" s="2025">
        <f t="shared" si="53"/>
        <v>6.8000000000000005E-3</v>
      </c>
      <c r="O39" s="2025"/>
      <c r="P39" s="2025">
        <f t="shared" si="67"/>
        <v>8.0000000000000004E-4</v>
      </c>
      <c r="Q39" s="2899"/>
      <c r="R39" s="2024"/>
      <c r="S39" s="2024">
        <f>ROUND(IF(项目基本情况!$B$8="出让",SUMPRODUCT(PRODUCT(1+L39:L$42)),SUMPRODUCT(PRODUCT(1+L39:L$41))),4)</f>
        <v>1.0161</v>
      </c>
      <c r="T39" s="2024">
        <f>ROUND(IF(项目基本情况!$B$8="出让",SUMPRODUCT(PRODUCT(1+M39:M$42)),SUMPRODUCT(PRODUCT(1+M39:M$41))),4)</f>
        <v>1.0082</v>
      </c>
      <c r="U39" s="2024">
        <f>ROUND(IF(项目基本情况!$B$8="出让",SUMPRODUCT(PRODUCT(1+N39:N$42)),SUMPRODUCT(PRODUCT(1+N39:N$41))),4)</f>
        <v>1.0270999999999999</v>
      </c>
      <c r="V39" s="2024"/>
      <c r="W39" s="2024">
        <f t="shared" si="68"/>
        <v>1.0082</v>
      </c>
      <c r="X39" s="2899"/>
      <c r="Y39" s="2025"/>
      <c r="Z39" s="2895">
        <f t="shared" si="69"/>
        <v>4.8999999999999998E-3</v>
      </c>
      <c r="AA39" s="2896">
        <f t="shared" si="69"/>
        <v>3.3E-3</v>
      </c>
      <c r="AB39" s="2025">
        <f t="shared" si="69"/>
        <v>9.1999999999999998E-3</v>
      </c>
      <c r="AC39" s="2897"/>
      <c r="AD39" s="2025">
        <f t="shared" si="69"/>
        <v>3.3E-3</v>
      </c>
    </row>
    <row r="40" spans="1:30" s="2042" customFormat="1" ht="12.75">
      <c r="A40" s="2898" t="s">
        <v>2838</v>
      </c>
      <c r="B40" s="2028">
        <v>2021</v>
      </c>
      <c r="C40" s="2039">
        <v>3</v>
      </c>
      <c r="D40" s="2004"/>
      <c r="E40" s="2004">
        <v>0.47</v>
      </c>
      <c r="F40" s="2004">
        <v>0.28000000000000003</v>
      </c>
      <c r="G40" s="2004">
        <v>0.91</v>
      </c>
      <c r="H40" s="2910"/>
      <c r="I40" s="2005">
        <f t="shared" si="52"/>
        <v>0.28000000000000003</v>
      </c>
      <c r="J40" s="2899"/>
      <c r="K40" s="2040"/>
      <c r="L40" s="2025">
        <f t="shared" si="53"/>
        <v>4.6999999999999993E-3</v>
      </c>
      <c r="M40" s="2025">
        <f t="shared" si="53"/>
        <v>2.8000000000000004E-3</v>
      </c>
      <c r="N40" s="2025">
        <f t="shared" si="53"/>
        <v>9.1000000000000004E-3</v>
      </c>
      <c r="O40" s="2025"/>
      <c r="P40" s="2025">
        <f t="shared" si="67"/>
        <v>2.8000000000000004E-3</v>
      </c>
      <c r="Q40" s="2899"/>
      <c r="R40" s="2024"/>
      <c r="S40" s="2024">
        <f>ROUND(IF(项目基本情况!$B$8="出让",SUMPRODUCT(PRODUCT(1+L40:L$42)),SUMPRODUCT(PRODUCT(1+L40:L$41))),4)</f>
        <v>1.0102</v>
      </c>
      <c r="T40" s="2024">
        <f>ROUND(IF(项目基本情况!$B$8="出让",SUMPRODUCT(PRODUCT(1+M40:M$42)),SUMPRODUCT(PRODUCT(1+M40:M$41))),4)</f>
        <v>1.0074000000000001</v>
      </c>
      <c r="U40" s="2024">
        <f>ROUND(IF(项目基本情况!$B$8="出让",SUMPRODUCT(PRODUCT(1+N40:N$42)),SUMPRODUCT(PRODUCT(1+N40:N$41))),4)</f>
        <v>1.0202</v>
      </c>
      <c r="V40" s="2024"/>
      <c r="W40" s="2024">
        <f t="shared" si="68"/>
        <v>1.0074000000000001</v>
      </c>
      <c r="X40" s="2899"/>
      <c r="Y40" s="2025"/>
      <c r="Z40" s="2895">
        <f t="shared" si="69"/>
        <v>4.5999999999999999E-3</v>
      </c>
      <c r="AA40" s="2896">
        <f t="shared" si="69"/>
        <v>4.1000000000000003E-3</v>
      </c>
      <c r="AB40" s="2025">
        <f t="shared" si="69"/>
        <v>0.01</v>
      </c>
      <c r="AC40" s="2897"/>
      <c r="AD40" s="2025">
        <f t="shared" si="69"/>
        <v>4.1000000000000003E-3</v>
      </c>
    </row>
    <row r="41" spans="1:30" s="2042" customFormat="1" ht="12.75">
      <c r="A41" s="2898" t="s">
        <v>2839</v>
      </c>
      <c r="B41" s="2028">
        <v>2021</v>
      </c>
      <c r="C41" s="2039">
        <v>2</v>
      </c>
      <c r="D41" s="2004"/>
      <c r="E41" s="2004">
        <v>0.55000000000000004</v>
      </c>
      <c r="F41" s="2004">
        <v>0.46</v>
      </c>
      <c r="G41" s="2004">
        <v>1.1000000000000001</v>
      </c>
      <c r="H41" s="2910"/>
      <c r="I41" s="2005">
        <f t="shared" si="52"/>
        <v>0.46</v>
      </c>
      <c r="J41" s="2899"/>
      <c r="K41" s="2040"/>
      <c r="L41" s="2025">
        <f t="shared" si="53"/>
        <v>5.5000000000000005E-3</v>
      </c>
      <c r="M41" s="2025">
        <f t="shared" si="53"/>
        <v>4.5999999999999999E-3</v>
      </c>
      <c r="N41" s="2025">
        <f t="shared" si="53"/>
        <v>1.1000000000000001E-2</v>
      </c>
      <c r="O41" s="2025"/>
      <c r="P41" s="2025">
        <f t="shared" si="67"/>
        <v>4.5999999999999999E-3</v>
      </c>
      <c r="Q41" s="2899"/>
      <c r="R41" s="2024"/>
      <c r="S41" s="2024">
        <f>ROUND(IF(项目基本情况!$B$8="出让",SUMPRODUCT(PRODUCT(1+L41:L$42)),SUMPRODUCT(PRODUCT(1+L41:L$41))),4)</f>
        <v>1.0055000000000001</v>
      </c>
      <c r="T41" s="2024">
        <f>ROUND(IF(项目基本情况!$B$8="出让",SUMPRODUCT(PRODUCT(1+M41:M$42)),SUMPRODUCT(PRODUCT(1+M41:M$41))),4)</f>
        <v>1.0045999999999999</v>
      </c>
      <c r="U41" s="2024">
        <f>ROUND(IF(项目基本情况!$B$8="出让",SUMPRODUCT(PRODUCT(1+N41:N$42)),SUMPRODUCT(PRODUCT(1+N41:N$41))),4)</f>
        <v>1.0109999999999999</v>
      </c>
      <c r="V41" s="2024"/>
      <c r="W41" s="2024">
        <f t="shared" si="68"/>
        <v>1.0045999999999999</v>
      </c>
      <c r="X41" s="2899"/>
      <c r="Y41" s="2025"/>
      <c r="Z41" s="2895">
        <f t="shared" si="69"/>
        <v>4.4999999999999997E-3</v>
      </c>
      <c r="AA41" s="2896">
        <f t="shared" si="69"/>
        <v>4.7000000000000002E-3</v>
      </c>
      <c r="AB41" s="2025">
        <f t="shared" si="69"/>
        <v>1.04E-2</v>
      </c>
      <c r="AC41" s="2897"/>
      <c r="AD41" s="2025">
        <f t="shared" si="69"/>
        <v>4.7000000000000002E-3</v>
      </c>
    </row>
    <row r="42" spans="1:30" s="2921" customFormat="1" thickBot="1">
      <c r="A42" s="2911" t="s">
        <v>2825</v>
      </c>
      <c r="B42" s="2912">
        <v>2021</v>
      </c>
      <c r="C42" s="2913">
        <v>1</v>
      </c>
      <c r="D42" s="2914"/>
      <c r="E42" s="2914">
        <v>0.35</v>
      </c>
      <c r="F42" s="2914">
        <v>0.48</v>
      </c>
      <c r="G42" s="2914">
        <v>0.98</v>
      </c>
      <c r="H42" s="2915"/>
      <c r="I42" s="2916">
        <f t="shared" si="52"/>
        <v>0.48</v>
      </c>
      <c r="J42" s="2917"/>
      <c r="K42" s="2918"/>
      <c r="L42" s="2919">
        <f t="shared" si="53"/>
        <v>3.4999999999999996E-3</v>
      </c>
      <c r="M42" s="2919">
        <f>F42/100</f>
        <v>4.7999999999999996E-3</v>
      </c>
      <c r="N42" s="2919">
        <f t="shared" si="53"/>
        <v>9.7999999999999997E-3</v>
      </c>
      <c r="O42" s="2919"/>
      <c r="P42" s="2919">
        <f t="shared" si="67"/>
        <v>4.7999999999999996E-3</v>
      </c>
      <c r="Q42" s="2917"/>
      <c r="R42" s="2920"/>
      <c r="S42" s="2920">
        <v>1</v>
      </c>
      <c r="T42" s="2920">
        <v>1</v>
      </c>
      <c r="U42" s="2920">
        <v>1</v>
      </c>
      <c r="V42" s="2920"/>
      <c r="W42" s="2920">
        <f t="shared" si="68"/>
        <v>1</v>
      </c>
      <c r="X42" s="2917"/>
      <c r="Y42" s="2919"/>
      <c r="Z42" s="2927">
        <f t="shared" si="69"/>
        <v>3.5000000000000001E-3</v>
      </c>
      <c r="AA42" s="2928">
        <f t="shared" si="69"/>
        <v>4.7999999999999996E-3</v>
      </c>
      <c r="AB42" s="2919">
        <f t="shared" si="69"/>
        <v>9.7999999999999997E-3</v>
      </c>
      <c r="AC42" s="2929"/>
      <c r="AD42" s="2919">
        <f t="shared" si="69"/>
        <v>4.7999999999999996E-3</v>
      </c>
    </row>
    <row r="43" spans="1:30" ht="14.25" thickTop="1"/>
    <row r="44" spans="1:30">
      <c r="A44" s="3136"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2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45547</v>
      </c>
      <c r="D1" s="1214" t="s">
        <v>603</v>
      </c>
      <c r="E1" s="1209">
        <f>'数据-取费表'!B22</f>
        <v>1</v>
      </c>
      <c r="F1" s="1214" t="s">
        <v>604</v>
      </c>
      <c r="G1" s="1210">
        <f ca="1">INDIRECT("d"&amp;$K$1)/100</f>
        <v>3.3500000000000002E-2</v>
      </c>
      <c r="H1" s="1214" t="s">
        <v>634</v>
      </c>
      <c r="I1" s="1210">
        <f ca="1">F4/100</f>
        <v>1.4999999999999999E-2</v>
      </c>
      <c r="J1" s="1215">
        <f>IF(C1&gt;C13,0,MATCH(C1,C$13:C$113,-1))+IF(SUMIF(C13:C113,C1,D13:D113)=0,13,12)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44701</v>
      </c>
      <c r="D18" s="1202">
        <v>3.7</v>
      </c>
      <c r="E18" s="1202">
        <f>D18</f>
        <v>3.7</v>
      </c>
      <c r="F18" s="1202">
        <f>D18</f>
        <v>3.7</v>
      </c>
      <c r="G18" s="1202">
        <f>D18</f>
        <v>3.7</v>
      </c>
      <c r="H18" s="1202">
        <v>4.45</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4.25">
      <c r="B25" s="1197" t="s">
        <v>2310</v>
      </c>
      <c r="C25" s="1204">
        <v>43697</v>
      </c>
      <c r="D25" s="2567">
        <v>4.25</v>
      </c>
      <c r="E25" s="2567">
        <v>4.25</v>
      </c>
      <c r="F25" s="2567">
        <v>4.25</v>
      </c>
      <c r="G25" s="2567">
        <v>4.25</v>
      </c>
      <c r="H25" s="2567">
        <v>4.8499999999999996</v>
      </c>
      <c r="I25" s="2567"/>
      <c r="J25" s="2567"/>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2570"/>
      <c r="C26" s="2571">
        <v>42301</v>
      </c>
      <c r="D26" s="2572">
        <v>4.3499999999999996</v>
      </c>
      <c r="E26" s="2572">
        <v>4.3499999999999996</v>
      </c>
      <c r="F26" s="2572">
        <v>4.75</v>
      </c>
      <c r="G26" s="2572">
        <v>4.75</v>
      </c>
      <c r="H26" s="2572">
        <v>4.9000000000000004</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800" t="s">
        <v>925</v>
      </c>
      <c r="E3" s="800" t="s">
        <v>931</v>
      </c>
      <c r="F3" s="800" t="s">
        <v>925</v>
      </c>
      <c r="G3" s="800" t="s">
        <v>926</v>
      </c>
      <c r="H3" s="800" t="s">
        <v>925</v>
      </c>
      <c r="I3" s="800" t="s">
        <v>926</v>
      </c>
    </row>
    <row r="4" spans="1:9" ht="30">
      <c r="A4" s="1400" t="str">
        <f>项目基本情况!S2</f>
        <v>北京市平谷区兴谷街道兴谷路29号院房地产</v>
      </c>
      <c r="B4" s="800">
        <f>项目基本情况!C17</f>
        <v>6436.4900000000007</v>
      </c>
      <c r="C4" s="800">
        <f>项目基本情况!C18</f>
        <v>9558.83</v>
      </c>
      <c r="D4" s="800">
        <f ca="1">结果表!D118</f>
        <v>1755</v>
      </c>
      <c r="E4" s="800">
        <f ca="1">结果表!E118</f>
        <v>2727</v>
      </c>
      <c r="F4" s="800">
        <f ca="1">结果表!F118</f>
        <v>1975</v>
      </c>
      <c r="G4" s="800">
        <f ca="1">结果表!G118</f>
        <v>3068</v>
      </c>
      <c r="H4" s="800">
        <f ca="1">结果表!H118</f>
        <v>3730</v>
      </c>
      <c r="I4" s="800">
        <f ca="1">结果表!I118</f>
        <v>5795</v>
      </c>
    </row>
    <row r="5" spans="1:9" ht="30" customHeight="1">
      <c r="A5" s="3203" t="s">
        <v>927</v>
      </c>
      <c r="B5" s="3203"/>
      <c r="C5" s="3203"/>
      <c r="D5" s="3203" t="str">
        <f ca="1">结果表!D119</f>
        <v>壹仟柒佰伍拾伍万元整</v>
      </c>
      <c r="E5" s="3203"/>
      <c r="F5" s="3203" t="str">
        <f ca="1">结果表!F119</f>
        <v>壹仟玖佰柒拾伍万元整</v>
      </c>
      <c r="G5" s="3203"/>
      <c r="H5" s="3203" t="str">
        <f ca="1">结果表!H119</f>
        <v>叁仟柒佰叁拾万元整</v>
      </c>
      <c r="I5" s="3203"/>
    </row>
    <row r="6" spans="1:9" ht="15.75">
      <c r="A6" s="3204" t="str">
        <f>结果表!A120</f>
        <v>估价师知悉的法定优先受偿款</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房地产抵押价值</v>
      </c>
      <c r="B8" s="3204"/>
      <c r="C8" s="3204"/>
      <c r="D8" s="3204">
        <f ca="1">结果表!D122</f>
        <v>3730</v>
      </c>
      <c r="E8" s="3204"/>
      <c r="F8" s="3204"/>
      <c r="G8" s="3204"/>
      <c r="H8" s="3204"/>
      <c r="I8" s="3204"/>
    </row>
    <row r="9" spans="1:9" ht="15">
      <c r="A9" s="3203" t="s">
        <v>927</v>
      </c>
      <c r="B9" s="3203"/>
      <c r="C9" s="3203"/>
      <c r="D9" s="3203" t="str">
        <f ca="1">结果表!D123</f>
        <v>叁仟柒佰叁拾万元整</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抵押净值</v>
      </c>
      <c r="B12" s="3204"/>
      <c r="C12" s="3204"/>
      <c r="D12" s="3204">
        <f ca="1">结果表!D126</f>
        <v>3311</v>
      </c>
      <c r="E12" s="3204"/>
      <c r="F12" s="3204"/>
      <c r="G12" s="3204"/>
      <c r="H12" s="3204"/>
      <c r="I12" s="3204"/>
    </row>
    <row r="13" spans="1:9" ht="15.75" thickBot="1">
      <c r="A13" s="3208" t="s">
        <v>927</v>
      </c>
      <c r="B13" s="3208"/>
      <c r="C13" s="3208"/>
      <c r="D13" s="3208" t="str">
        <f ca="1">结果表!D127</f>
        <v>叁仟叁佰壹拾壹万元整</v>
      </c>
      <c r="E13" s="3208"/>
      <c r="F13" s="3208"/>
      <c r="G13" s="3208"/>
      <c r="H13" s="3208"/>
      <c r="I13" s="3208"/>
    </row>
    <row r="14" spans="1:9" ht="15" thickTop="1">
      <c r="A14" s="3209" t="s">
        <v>932</v>
      </c>
      <c r="B14" s="3209"/>
      <c r="C14" s="3209"/>
      <c r="D14" s="3209"/>
      <c r="E14" s="3209"/>
      <c r="F14" s="3209"/>
      <c r="G14" s="3209"/>
      <c r="H14" s="3209"/>
      <c r="I14" s="3209"/>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949</v>
      </c>
      <c r="B1" s="3210"/>
      <c r="C1" s="3210"/>
      <c r="D1" s="3210"/>
    </row>
    <row r="2" spans="1:4" ht="18">
      <c r="A2" s="3211" t="s">
        <v>933</v>
      </c>
      <c r="B2" s="3211"/>
      <c r="C2" s="3211"/>
      <c r="D2" s="3211"/>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1" t="s">
        <v>939</v>
      </c>
      <c r="B6" s="3211"/>
      <c r="C6" s="3211"/>
      <c r="D6" s="321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已设定抵押。上述抵押权设定日期为2023年8月3日，权利人为北京农业融资担保公司，权利范围为平谷区兴谷街道兴谷路29号院，权利价值为3720000。</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4" t="s">
        <v>956</v>
      </c>
      <c r="B15" s="3219" t="s">
        <v>109</v>
      </c>
      <c r="C15" s="3220"/>
    </row>
    <row r="16" spans="1:7" ht="13.5">
      <c r="A16" s="3225"/>
      <c r="B16" s="3219" t="s">
        <v>42</v>
      </c>
      <c r="C16" s="3220"/>
    </row>
    <row r="17" spans="1:3" ht="13.5">
      <c r="A17" s="3225"/>
      <c r="B17" s="3222" t="s">
        <v>957</v>
      </c>
      <c r="C17" s="1426" t="s">
        <v>956</v>
      </c>
    </row>
    <row r="18" spans="1:3" ht="13.5">
      <c r="A18" s="3225"/>
      <c r="B18" s="3222"/>
      <c r="C18" s="1426" t="s">
        <v>958</v>
      </c>
    </row>
    <row r="19" spans="1:3" ht="13.5">
      <c r="A19" s="3225"/>
      <c r="B19" s="3222"/>
      <c r="C19" s="1426" t="s">
        <v>959</v>
      </c>
    </row>
    <row r="20" spans="1:3" ht="13.5">
      <c r="A20" s="3226"/>
      <c r="B20" s="3221" t="s">
        <v>960</v>
      </c>
      <c r="C20" s="3220"/>
    </row>
    <row r="21" spans="1:3" ht="13.5">
      <c r="A21" s="1427" t="s">
        <v>961</v>
      </c>
      <c r="B21" s="1428"/>
      <c r="C21" s="1429"/>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6" t="s">
        <v>967</v>
      </c>
    </row>
    <row r="26" spans="1:3" ht="13.5">
      <c r="A26" s="3223"/>
      <c r="B26" s="3222"/>
      <c r="C26" s="1426" t="s">
        <v>968</v>
      </c>
    </row>
    <row r="27" spans="1:3" ht="13.5">
      <c r="A27" s="3223"/>
      <c r="B27" s="3222"/>
      <c r="C27" s="1426" t="s">
        <v>969</v>
      </c>
    </row>
    <row r="28" spans="1:3" ht="13.5">
      <c r="A28" s="3223"/>
      <c r="B28" s="3222"/>
      <c r="C28" s="1426" t="s">
        <v>970</v>
      </c>
    </row>
    <row r="29" spans="1:3" ht="13.5">
      <c r="A29" s="3223"/>
      <c r="B29" s="3222"/>
      <c r="C29" s="1426" t="s">
        <v>971</v>
      </c>
    </row>
    <row r="30" spans="1:3" ht="13.5">
      <c r="A30" s="3223"/>
      <c r="B30" s="3222"/>
      <c r="C30" s="1426" t="s">
        <v>972</v>
      </c>
    </row>
    <row r="31" spans="1:3" ht="13.5">
      <c r="A31" s="3223"/>
      <c r="B31" s="3222"/>
      <c r="C31" s="1426" t="s">
        <v>973</v>
      </c>
    </row>
    <row r="32" spans="1:3" ht="13.5">
      <c r="A32" s="3223"/>
      <c r="B32" s="3222"/>
      <c r="C32" s="1426" t="s">
        <v>974</v>
      </c>
    </row>
    <row r="33" spans="1:3" ht="13.5">
      <c r="A33" s="3223"/>
      <c r="B33" s="322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2138</v>
      </c>
      <c r="B2" s="2154">
        <f ca="1">TODAY()</f>
        <v>45547</v>
      </c>
      <c r="C2" s="2155" t="s">
        <v>2139</v>
      </c>
      <c r="D2" s="2155"/>
      <c r="E2" s="2155"/>
      <c r="F2" s="2151"/>
      <c r="G2" s="2151"/>
      <c r="H2" s="2151"/>
    </row>
    <row r="3" spans="1:8" ht="24" customHeight="1">
      <c r="A3" s="2156" t="s">
        <v>2140</v>
      </c>
      <c r="B3" s="1216" t="s">
        <v>2141</v>
      </c>
      <c r="C3" s="1216" t="s">
        <v>2142</v>
      </c>
      <c r="D3" s="2157" t="s">
        <v>2143</v>
      </c>
      <c r="E3" s="2158" t="s">
        <v>2144</v>
      </c>
      <c r="F3" s="1216" t="s">
        <v>2145</v>
      </c>
      <c r="G3" s="1216" t="s">
        <v>2142</v>
      </c>
      <c r="H3" s="2157" t="s">
        <v>2146</v>
      </c>
    </row>
    <row r="4" spans="1:8" ht="24" customHeight="1">
      <c r="A4" s="1216" t="s">
        <v>2147</v>
      </c>
      <c r="B4" s="1216">
        <f ca="1">IF(C4&lt;B2,"已过期",1119970066)</f>
        <v>1119970066</v>
      </c>
      <c r="C4" s="2159">
        <v>45937</v>
      </c>
      <c r="D4" s="2160" t="str">
        <f ca="1">A4&amp;"（注册号："&amp;B4&amp;"）"</f>
        <v>梁津（注册号：1119970066）</v>
      </c>
      <c r="E4" s="2161" t="s">
        <v>2147</v>
      </c>
      <c r="F4" s="1216">
        <f ca="1">IF(G4&lt;B2,"已过期",96010014)</f>
        <v>96010014</v>
      </c>
      <c r="G4" s="2162">
        <v>47118</v>
      </c>
      <c r="H4" s="2163" t="str">
        <f ca="1">E4&amp;"（注册号："&amp;F4&amp;"）"</f>
        <v>梁津（注册号：96010014）</v>
      </c>
    </row>
    <row r="5" spans="1:8" ht="24" customHeight="1">
      <c r="A5" s="1216" t="s">
        <v>2148</v>
      </c>
      <c r="B5" s="1216">
        <f ca="1">IF(C5&lt;B2,"已过期",1119970111)</f>
        <v>1119970111</v>
      </c>
      <c r="C5" s="2159">
        <v>45937</v>
      </c>
      <c r="D5" s="2160" t="str">
        <f t="shared" ref="D5:D15" ca="1" si="0">A5&amp;"（注册号："&amp;B5&amp;"）"</f>
        <v>叶凌（注册号：1119970111）</v>
      </c>
      <c r="E5" s="2161" t="s">
        <v>2148</v>
      </c>
      <c r="F5" s="1216">
        <f ca="1">IF(G5&lt;B2,"已过期",94010078)</f>
        <v>94010078</v>
      </c>
      <c r="G5" s="2162">
        <v>46387</v>
      </c>
      <c r="H5" s="2163" t="str">
        <f t="shared" ref="H5:H16" ca="1" si="1">E5&amp;"（注册号："&amp;F5&amp;"）"</f>
        <v>叶凌（注册号：94010078）</v>
      </c>
    </row>
    <row r="6" spans="1:8" ht="24" customHeight="1">
      <c r="A6" s="1216" t="s">
        <v>2149</v>
      </c>
      <c r="B6" s="1216" t="str">
        <f ca="1">IF(C6&lt;B2,"已过期",1120050019)</f>
        <v>已过期</v>
      </c>
      <c r="C6" s="2159">
        <v>45410</v>
      </c>
      <c r="D6" s="2160" t="str">
        <f t="shared" ca="1" si="0"/>
        <v>王鹏（注册号：已过期）</v>
      </c>
      <c r="E6" s="2161" t="s">
        <v>2149</v>
      </c>
      <c r="F6" s="1216">
        <f ca="1">IF(G6&lt;B2,"已过期",2002110030)</f>
        <v>2002110030</v>
      </c>
      <c r="G6" s="2162">
        <v>46387</v>
      </c>
      <c r="H6" s="2163" t="str">
        <f t="shared" ca="1" si="1"/>
        <v>王鹏（注册号：2002110030）</v>
      </c>
    </row>
    <row r="7" spans="1:8" ht="24" customHeight="1">
      <c r="A7" s="1216" t="s">
        <v>2150</v>
      </c>
      <c r="B7" s="1216">
        <f ca="1">IF(C7&lt;B2,"已过期",1120000080)</f>
        <v>1120000080</v>
      </c>
      <c r="C7" s="2159">
        <v>45937</v>
      </c>
      <c r="D7" s="2160" t="str">
        <f t="shared" ca="1" si="0"/>
        <v>欧红伟（注册号：1120000080）</v>
      </c>
      <c r="E7" s="2161" t="s">
        <v>2150</v>
      </c>
      <c r="F7" s="1216">
        <f ca="1">IF(G7&lt;B2,"已过期",2000110082)</f>
        <v>2000110082</v>
      </c>
      <c r="G7" s="2162">
        <v>46387</v>
      </c>
      <c r="H7" s="2163" t="str">
        <f t="shared" ca="1" si="1"/>
        <v>欧红伟（注册号：2000110082）</v>
      </c>
    </row>
    <row r="8" spans="1:8" ht="24" customHeight="1">
      <c r="A8" s="1216" t="s">
        <v>2151</v>
      </c>
      <c r="B8" s="1216">
        <f ca="1">IF(C8&lt;B2,"已过期",1419970001)</f>
        <v>1419970001</v>
      </c>
      <c r="C8" s="2159">
        <v>45937</v>
      </c>
      <c r="D8" s="2160" t="str">
        <f t="shared" ca="1" si="0"/>
        <v>吴薇（注册号：1419970001）</v>
      </c>
      <c r="E8" s="2161" t="s">
        <v>2151</v>
      </c>
      <c r="F8" s="1216">
        <f ca="1">IF(G8&lt;B2,"已过期",2002110125)</f>
        <v>2002110125</v>
      </c>
      <c r="G8" s="2162">
        <v>47118</v>
      </c>
      <c r="H8" s="2163" t="str">
        <f t="shared" ca="1" si="1"/>
        <v>吴薇（注册号：2002110125）</v>
      </c>
    </row>
    <row r="9" spans="1:8" ht="24" customHeight="1">
      <c r="A9" s="1216" t="s">
        <v>2152</v>
      </c>
      <c r="B9" s="1216">
        <f ca="1">IF(C9&lt;B2,"已过期",1120060040)</f>
        <v>1120060040</v>
      </c>
      <c r="C9" s="2164">
        <v>45592</v>
      </c>
      <c r="D9" s="2160" t="str">
        <f t="shared" ca="1" si="0"/>
        <v>陈颖（注册号：1120060040）</v>
      </c>
      <c r="E9" s="2161" t="s">
        <v>2152</v>
      </c>
      <c r="F9" s="1216">
        <f ca="1">IF(G9&lt;B2,"已过期",2004110096)</f>
        <v>2004110096</v>
      </c>
      <c r="G9" s="2162">
        <v>47118</v>
      </c>
      <c r="H9" s="2163" t="str">
        <f t="shared" ca="1" si="1"/>
        <v>陈颖（注册号：2004110096）</v>
      </c>
    </row>
    <row r="10" spans="1:8" ht="24" customHeight="1">
      <c r="A10" s="1216" t="s">
        <v>2153</v>
      </c>
      <c r="B10" s="1216">
        <f ca="1">IF(C10&lt;B2,"已过期",1120100036)</f>
        <v>1120100036</v>
      </c>
      <c r="C10" s="2164">
        <v>45752</v>
      </c>
      <c r="D10" s="2160" t="str">
        <f t="shared" ca="1" si="0"/>
        <v>崔锴（注册号：1120100036）</v>
      </c>
      <c r="E10" s="2161" t="s">
        <v>2153</v>
      </c>
      <c r="F10" s="1216">
        <f ca="1">IF(G10&lt;B2,"已过期",2010110070)</f>
        <v>2010110070</v>
      </c>
      <c r="G10" s="2162">
        <v>47907</v>
      </c>
      <c r="H10" s="2163" t="str">
        <f t="shared" ca="1" si="1"/>
        <v>崔锴（注册号：2010110070）</v>
      </c>
    </row>
    <row r="11" spans="1:8" ht="24" customHeight="1">
      <c r="A11" s="1216" t="s">
        <v>2154</v>
      </c>
      <c r="B11" s="1216">
        <f ca="1">IF(C11&lt;B2,"已过期",1120070131)</f>
        <v>1120070131</v>
      </c>
      <c r="C11" s="2159">
        <v>45937</v>
      </c>
      <c r="D11" s="2160" t="str">
        <f t="shared" ca="1" si="0"/>
        <v>郑燚（注册号：1120070131）</v>
      </c>
      <c r="E11" s="2161" t="s">
        <v>2154</v>
      </c>
      <c r="F11" s="1216">
        <f ca="1">IF(G11&lt;B2,"已过期",2014110011)</f>
        <v>2014110011</v>
      </c>
      <c r="G11" s="2162">
        <v>49302</v>
      </c>
      <c r="H11" s="2163" t="str">
        <f t="shared" ca="1" si="1"/>
        <v>郑燚（注册号：2014110011）</v>
      </c>
    </row>
    <row r="12" spans="1:8" ht="24" customHeight="1">
      <c r="A12" s="1216" t="s">
        <v>2155</v>
      </c>
      <c r="B12" s="1216">
        <f ca="1">IF(C12&lt;B2,"已过期",1120040230)</f>
        <v>1120040230</v>
      </c>
      <c r="C12" s="2164">
        <v>45937</v>
      </c>
      <c r="D12" s="2160" t="str">
        <f t="shared" ca="1" si="0"/>
        <v>苏海（注册号：1120040230）</v>
      </c>
      <c r="E12" s="2161" t="s">
        <v>2155</v>
      </c>
      <c r="F12" s="1216">
        <f ca="1">IF(G12&lt;B2,"已过期",98030020)</f>
        <v>98030020</v>
      </c>
      <c r="G12" s="2162">
        <v>47118</v>
      </c>
      <c r="H12" s="2163" t="str">
        <f t="shared" ca="1" si="1"/>
        <v>苏海（注册号：98030020）</v>
      </c>
    </row>
    <row r="13" spans="1:8" ht="24" customHeight="1">
      <c r="A13" s="1216" t="s">
        <v>2156</v>
      </c>
      <c r="B13" s="1216" t="str">
        <f ca="1">IF(C13&lt;B2,"已过期",1120020033)</f>
        <v>已过期</v>
      </c>
      <c r="C13" s="2159">
        <v>45375</v>
      </c>
      <c r="D13" s="2160" t="str">
        <f t="shared" ca="1" si="0"/>
        <v>刘敬东（注册号：已过期）</v>
      </c>
      <c r="E13" s="2161" t="s">
        <v>2156</v>
      </c>
      <c r="F13" s="1216">
        <f ca="1">IF(G13&lt;B2,"已过期",2000110137)</f>
        <v>2000110137</v>
      </c>
      <c r="G13" s="2162">
        <v>46387</v>
      </c>
      <c r="H13" s="2163" t="str">
        <f t="shared" ca="1" si="1"/>
        <v>刘敬东（注册号：2000110137）</v>
      </c>
    </row>
    <row r="14" spans="1:8" ht="24" customHeight="1">
      <c r="A14" s="1216" t="s">
        <v>2157</v>
      </c>
      <c r="B14" s="1216" t="str">
        <f ca="1">IF(C14&lt;B2,"已过期",1119980106)</f>
        <v>已过期</v>
      </c>
      <c r="C14" s="2164">
        <v>44969</v>
      </c>
      <c r="D14" s="2160" t="str">
        <f t="shared" ca="1" si="0"/>
        <v>刘俊财（注册号：已过期）</v>
      </c>
      <c r="E14" s="2161" t="s">
        <v>2157</v>
      </c>
      <c r="F14" s="1216">
        <f ca="1">IF(G14&lt;B2,"已过期",96010063)</f>
        <v>96010063</v>
      </c>
      <c r="G14" s="2162">
        <v>47483</v>
      </c>
      <c r="H14" s="2163" t="str">
        <f t="shared" ca="1" si="1"/>
        <v>刘俊财（注册号：96010063）</v>
      </c>
    </row>
    <row r="15" spans="1:8" ht="24" customHeight="1">
      <c r="A15" s="1216" t="s">
        <v>2438</v>
      </c>
      <c r="B15" s="1216">
        <v>1120210056</v>
      </c>
      <c r="C15" s="2164">
        <v>45410</v>
      </c>
      <c r="D15" s="2160" t="str">
        <f t="shared" si="0"/>
        <v>宁小鳗（注册号：1120210056）</v>
      </c>
      <c r="E15" s="2161" t="s">
        <v>2158</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7" t="s">
        <v>2159</v>
      </c>
      <c r="B17" s="3227"/>
      <c r="C17" s="3227"/>
      <c r="D17" s="3227"/>
      <c r="E17" s="3227"/>
      <c r="F17" s="3227"/>
      <c r="G17" s="3227"/>
      <c r="H17" s="3227"/>
    </row>
    <row r="18" spans="1:8" ht="24" customHeight="1">
      <c r="A18" s="3228" t="s">
        <v>2160</v>
      </c>
      <c r="B18" s="3228"/>
      <c r="C18" s="3228"/>
      <c r="D18" s="2157"/>
      <c r="E18" s="3229" t="s">
        <v>2161</v>
      </c>
      <c r="F18" s="3228"/>
      <c r="G18" s="3228"/>
    </row>
    <row r="19" spans="1:8" s="2167" customFormat="1" ht="24" customHeight="1">
      <c r="A19" s="2166" t="s">
        <v>2162</v>
      </c>
      <c r="B19" s="1216" t="s">
        <v>2163</v>
      </c>
      <c r="C19" s="1216" t="s">
        <v>2142</v>
      </c>
      <c r="D19" s="2157"/>
      <c r="E19" s="2161" t="s">
        <v>2162</v>
      </c>
      <c r="F19" s="1216" t="s">
        <v>2163</v>
      </c>
      <c r="G19" s="1216" t="s">
        <v>2142</v>
      </c>
    </row>
    <row r="20" spans="1:8" s="2167" customFormat="1" ht="24" customHeight="1">
      <c r="A20" s="2168" t="s">
        <v>2164</v>
      </c>
      <c r="B20" s="2168" t="s">
        <v>2165</v>
      </c>
      <c r="C20" s="2162">
        <v>45898</v>
      </c>
      <c r="D20" s="2169"/>
      <c r="E20" s="2170" t="s">
        <v>2166</v>
      </c>
      <c r="F20" s="2173" t="s">
        <v>2439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信息台账</vt:lpstr>
      <vt:lpstr>结果表</vt:lpstr>
      <vt:lpstr>成本法</vt:lpstr>
      <vt:lpstr>成本法 (元)</vt:lpstr>
      <vt:lpstr>假设开发法</vt:lpstr>
      <vt:lpstr>收益法</vt:lpstr>
      <vt:lpstr>收益法 (元)</vt:lpstr>
      <vt:lpstr>土地案例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2024-09-12T07:33:24Z</dcterms:modified>
</cp:coreProperties>
</file>