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0" windowHeight="1095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比较法-仓储" sheetId="36" r:id="rId31"/>
    <sheet name="不动产比较法-车位" sheetId="35"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典型户型修正" sheetId="31" state="hidden" r:id="rId39"/>
    <sheet name="存贷款利率" sheetId="65" state="hidden" r:id="rId40"/>
    <sheet name="资料" sheetId="69" r:id="rId41"/>
    <sheet name="指标" sheetId="70" r:id="rId42"/>
    <sheet name="土地案例" sheetId="71" r:id="rId43"/>
    <sheet name="案例" sheetId="72"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0"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0">'不动产比较法-仓储'!$A$1:$K$42,'不动产比较法-仓储'!$A$45:$M$96</definedName>
    <definedName name="_xlnm.Print_Area" localSheetId="3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29">'不动产比较法-住宅'!$A$1:$K$54,'不动产比较法-住宅'!$A$57:$M$131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6" l="1"/>
  <c r="AF13" i="3" l="1"/>
  <c r="AL13" i="3"/>
  <c r="AD13" i="3"/>
  <c r="C28" i="9"/>
  <c r="C27" i="9"/>
  <c r="B27" i="9"/>
  <c r="C40" i="39" l="1"/>
  <c r="D26" i="70"/>
  <c r="AN13" i="3"/>
  <c r="B31" i="70"/>
  <c r="AT13" i="3"/>
  <c r="AJ13" i="3"/>
  <c r="AH13" i="3"/>
  <c r="M13" i="3"/>
  <c r="K13" i="3"/>
  <c r="B3" i="70"/>
  <c r="L8" i="1" l="1"/>
  <c r="L14" i="1" s="1"/>
  <c r="I37" i="35"/>
  <c r="G37" i="35"/>
  <c r="E37" i="35"/>
  <c r="E92" i="35"/>
  <c r="D92" i="35"/>
  <c r="C31" i="35"/>
  <c r="G88" i="36"/>
  <c r="F88" i="36"/>
  <c r="E88" i="36"/>
  <c r="D88" i="36"/>
  <c r="I35" i="36"/>
  <c r="G35" i="36"/>
  <c r="E35" i="36"/>
  <c r="I5" i="36"/>
  <c r="G5" i="36"/>
  <c r="E5" i="36"/>
  <c r="I31" i="35"/>
  <c r="G31" i="35"/>
  <c r="E31" i="35"/>
  <c r="I5" i="35"/>
  <c r="E5" i="35"/>
  <c r="I47" i="21"/>
  <c r="I5" i="21"/>
  <c r="G5" i="21"/>
  <c r="E5" i="21"/>
  <c r="F122" i="21"/>
  <c r="E122" i="21"/>
  <c r="D122" i="21"/>
  <c r="C122" i="21"/>
  <c r="G116" i="21"/>
  <c r="F116" i="21"/>
  <c r="E116" i="21"/>
  <c r="D116" i="21"/>
  <c r="C116" i="21"/>
  <c r="AA44" i="72"/>
  <c r="AA17" i="72"/>
  <c r="AA6" i="72"/>
  <c r="B8" i="72"/>
  <c r="G5" i="35" s="1"/>
  <c r="Z45" i="72"/>
  <c r="Z46" i="72"/>
  <c r="Z47" i="72"/>
  <c r="Z44" i="72"/>
  <c r="Z31" i="72"/>
  <c r="Z32" i="72"/>
  <c r="Z33" i="72"/>
  <c r="Z34" i="72"/>
  <c r="Z30" i="72"/>
  <c r="Z18" i="72"/>
  <c r="Z19" i="72"/>
  <c r="Z20" i="72"/>
  <c r="Z17" i="72"/>
  <c r="Z7" i="72"/>
  <c r="Z8" i="72"/>
  <c r="Z9" i="72"/>
  <c r="Z6" i="72"/>
  <c r="D30" i="9"/>
  <c r="D38" i="9"/>
  <c r="C38" i="9"/>
  <c r="C37" i="9"/>
  <c r="L20" i="9"/>
  <c r="L19" i="9"/>
  <c r="E73" i="39"/>
  <c r="F73" i="39" s="1"/>
  <c r="G73" i="39" s="1"/>
  <c r="H73" i="39" s="1"/>
  <c r="I73" i="39" s="1"/>
  <c r="J73" i="39" s="1"/>
  <c r="K73" i="39" s="1"/>
  <c r="L73" i="39" s="1"/>
  <c r="M73" i="39" s="1"/>
  <c r="N73" i="39" s="1"/>
  <c r="D73" i="39"/>
  <c r="I48" i="39"/>
  <c r="G48" i="39"/>
  <c r="E48" i="39"/>
  <c r="I40" i="39"/>
  <c r="G40" i="39"/>
  <c r="E40" i="39"/>
  <c r="G127" i="39"/>
  <c r="F127" i="39"/>
  <c r="E127" i="39"/>
  <c r="D127" i="39"/>
  <c r="C127" i="39"/>
  <c r="G125" i="39"/>
  <c r="F125" i="39"/>
  <c r="E125" i="39"/>
  <c r="D125" i="39"/>
  <c r="C125" i="39"/>
  <c r="E120" i="39"/>
  <c r="F120" i="39" s="1"/>
  <c r="G120" i="39" s="1"/>
  <c r="H120" i="39" s="1"/>
  <c r="D120" i="39"/>
  <c r="I9" i="39"/>
  <c r="G9" i="39"/>
  <c r="E9" i="39"/>
  <c r="I7" i="39"/>
  <c r="G7" i="39"/>
  <c r="E7" i="39"/>
  <c r="C7" i="39"/>
  <c r="B35" i="1"/>
  <c r="N14" i="1"/>
  <c r="N8" i="1"/>
  <c r="N7" i="1"/>
  <c r="AH8" i="1" l="1"/>
  <c r="I13" i="3"/>
  <c r="A3" i="3"/>
  <c r="I17" i="4"/>
  <c r="H17" i="4"/>
  <c r="G17" i="4"/>
  <c r="D17" i="4"/>
  <c r="F10" i="4"/>
  <c r="B5" i="4"/>
  <c r="C11" i="4" s="1"/>
  <c r="D3" i="4"/>
  <c r="B7" i="4" l="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M19" i="46"/>
  <c r="J50" i="15"/>
  <c r="J51" i="15"/>
  <c r="D22" i="59"/>
  <c r="AH20" i="59"/>
  <c r="AG20" i="59"/>
  <c r="AE20" i="59"/>
  <c r="AF20" i="59" s="1"/>
  <c r="AD20" i="59"/>
  <c r="AE21" i="59"/>
  <c r="AF21" i="59"/>
  <c r="AG21" i="59"/>
  <c r="AH21" i="59"/>
  <c r="AD21" i="59"/>
  <c r="Q21" i="59"/>
  <c r="P21" i="59"/>
  <c r="O21" i="59"/>
  <c r="N21" i="59"/>
  <c r="N22" i="59"/>
  <c r="Q22" i="59"/>
  <c r="P22" i="59"/>
  <c r="O22" i="59"/>
  <c r="K59" i="15"/>
  <c r="P62" i="15"/>
  <c r="P75" i="15"/>
  <c r="Q74" i="44"/>
  <c r="Q61" i="44"/>
  <c r="Q60" i="44"/>
  <c r="Q53" i="44"/>
  <c r="J51" i="44"/>
  <c r="J52" i="44" s="1"/>
  <c r="M48" i="44"/>
  <c r="A16" i="55"/>
  <c r="A15" i="55"/>
  <c r="B66" i="63" s="1"/>
  <c r="A10" i="55"/>
  <c r="B61" i="63" s="1"/>
  <c r="A9" i="55"/>
  <c r="B60" i="63" s="1"/>
  <c r="A8" i="55"/>
  <c r="A6" i="54"/>
  <c r="B49" i="63" s="1"/>
  <c r="A8" i="54"/>
  <c r="A7" i="54"/>
  <c r="B51" i="63" s="1"/>
  <c r="A27" i="51"/>
  <c r="B20" i="63"/>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c r="B19" i="59" s="1"/>
  <c r="E21" i="59"/>
  <c r="E20" i="59" s="1"/>
  <c r="E19" i="59" s="1"/>
  <c r="E18" i="59" s="1"/>
  <c r="E17" i="59" s="1"/>
  <c r="E16" i="59" s="1"/>
  <c r="E15" i="59" s="1"/>
  <c r="E14" i="59" s="1"/>
  <c r="F21" i="59"/>
  <c r="V21" i="59" s="1"/>
  <c r="S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c r="C3" i="65"/>
  <c r="C1" i="65"/>
  <c r="N1" i="65" s="1"/>
  <c r="T21" i="59"/>
  <c r="D21"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A26" i="64" s="1"/>
  <c r="B44" i="63"/>
  <c r="B40" i="63"/>
  <c r="B30" i="63"/>
  <c r="B27" i="63"/>
  <c r="B25" i="63"/>
  <c r="A11" i="51"/>
  <c r="B10"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A9" i="64" s="1"/>
  <c r="B17" i="63"/>
  <c r="A15" i="51"/>
  <c r="B12" i="63" s="1"/>
  <c r="A14" i="51"/>
  <c r="B11" i="63" s="1"/>
  <c r="A4" i="55"/>
  <c r="B57" i="63" s="1"/>
  <c r="G5" i="54"/>
  <c r="B34" i="63"/>
  <c r="E5" i="54"/>
  <c r="B32" i="63"/>
  <c r="R2" i="54"/>
  <c r="B24" i="63" s="1"/>
  <c r="B49" i="50"/>
  <c r="B5" i="63"/>
  <c r="B40" i="50"/>
  <c r="B3" i="63" s="1"/>
  <c r="B67" i="63"/>
  <c r="I19" i="46"/>
  <c r="Q25" i="59"/>
  <c r="F25" i="59" s="1"/>
  <c r="V25" i="59" s="1"/>
  <c r="P25" i="59"/>
  <c r="E25" i="59" s="1"/>
  <c r="O25" i="59"/>
  <c r="N25" i="59"/>
  <c r="B25" i="59" s="1"/>
  <c r="B24" i="59" s="1"/>
  <c r="B23" i="59" s="1"/>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c r="E65" i="59"/>
  <c r="E64" i="59"/>
  <c r="P64" i="59" s="1"/>
  <c r="C65" i="59"/>
  <c r="B65" i="59"/>
  <c r="N65" i="59"/>
  <c r="F64" i="59"/>
  <c r="F63" i="59"/>
  <c r="Q63" i="59" s="1"/>
  <c r="B64" i="59"/>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P50" i="59"/>
  <c r="E51" i="59"/>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O46" i="59"/>
  <c r="C47" i="59"/>
  <c r="N46" i="59"/>
  <c r="B47" i="59"/>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C40" i="59" s="1"/>
  <c r="N38" i="59"/>
  <c r="B39" i="59" s="1"/>
  <c r="B40" i="59" s="1"/>
  <c r="B41" i="59" s="1"/>
  <c r="S41" i="59" s="1"/>
  <c r="D38" i="59"/>
  <c r="Q37" i="59"/>
  <c r="P37" i="59"/>
  <c r="O37" i="59"/>
  <c r="N37" i="59"/>
  <c r="Q36" i="59"/>
  <c r="AB36" i="59" s="1"/>
  <c r="P36" i="59"/>
  <c r="O36" i="59"/>
  <c r="Y36" i="59"/>
  <c r="Z36" i="59" s="1"/>
  <c r="N36" i="59"/>
  <c r="X36" i="59" s="1"/>
  <c r="Q35" i="59"/>
  <c r="AB35" i="59" s="1"/>
  <c r="P35" i="59"/>
  <c r="AA35" i="59" s="1"/>
  <c r="O35" i="59"/>
  <c r="Y35" i="59" s="1"/>
  <c r="Z35" i="59" s="1"/>
  <c r="N35" i="59"/>
  <c r="X35" i="59" s="1"/>
  <c r="Q34" i="59"/>
  <c r="AB34" i="59" s="1"/>
  <c r="P34" i="59"/>
  <c r="AA34" i="59" s="1"/>
  <c r="O34" i="59"/>
  <c r="C35" i="59"/>
  <c r="C36" i="59" s="1"/>
  <c r="N34" i="59"/>
  <c r="X34" i="59" s="1"/>
  <c r="B35" i="59"/>
  <c r="B36" i="59" s="1"/>
  <c r="B37" i="59" s="1"/>
  <c r="S37" i="59" s="1"/>
  <c r="D34" i="59"/>
  <c r="Q33" i="59"/>
  <c r="P33" i="59"/>
  <c r="AA33" i="59" s="1"/>
  <c r="O33" i="59"/>
  <c r="Y33" i="59" s="1"/>
  <c r="Z33" i="59" s="1"/>
  <c r="N33" i="59"/>
  <c r="X33" i="59" s="1"/>
  <c r="Q32" i="59"/>
  <c r="AB32" i="59" s="1"/>
  <c r="P32" i="59"/>
  <c r="AA32" i="59" s="1"/>
  <c r="O32" i="59"/>
  <c r="N32" i="59"/>
  <c r="X32" i="59" s="1"/>
  <c r="Q31" i="59"/>
  <c r="P31" i="59"/>
  <c r="AA31" i="59" s="1"/>
  <c r="O31" i="59"/>
  <c r="Y31" i="59" s="1"/>
  <c r="Z31" i="59" s="1"/>
  <c r="N31" i="59"/>
  <c r="X31" i="59" s="1"/>
  <c r="Q30" i="59"/>
  <c r="AB30" i="59" s="1"/>
  <c r="F31" i="59"/>
  <c r="P30" i="59"/>
  <c r="E31" i="59"/>
  <c r="E32" i="59" s="1"/>
  <c r="E33" i="59" s="1"/>
  <c r="U33" i="59" s="1"/>
  <c r="O30" i="59"/>
  <c r="N30" i="59"/>
  <c r="D30" i="59"/>
  <c r="Q29" i="59"/>
  <c r="AB29" i="59" s="1"/>
  <c r="P29" i="59"/>
  <c r="AA29" i="59" s="1"/>
  <c r="O29" i="59"/>
  <c r="N29" i="59"/>
  <c r="Q28" i="59"/>
  <c r="AB28" i="59" s="1"/>
  <c r="P28" i="59"/>
  <c r="O28" i="59"/>
  <c r="N28" i="59"/>
  <c r="X28" i="59" s="1"/>
  <c r="Q27" i="59"/>
  <c r="AB27" i="59" s="1"/>
  <c r="P27" i="59"/>
  <c r="AA27" i="59" s="1"/>
  <c r="O27" i="59"/>
  <c r="N27" i="59"/>
  <c r="Q26" i="59"/>
  <c r="P26" i="59"/>
  <c r="O26" i="59"/>
  <c r="C27" i="59"/>
  <c r="C28" i="59" s="1"/>
  <c r="N26" i="59"/>
  <c r="X26" i="59" s="1"/>
  <c r="B27" i="59"/>
  <c r="B28" i="59" s="1"/>
  <c r="D26" i="59"/>
  <c r="X3" i="59"/>
  <c r="X23" i="59"/>
  <c r="X25" i="59"/>
  <c r="AA24" i="59"/>
  <c r="Y22" i="59"/>
  <c r="Z22" i="59" s="1"/>
  <c r="Y23" i="59"/>
  <c r="Z23" i="59" s="1"/>
  <c r="Y24" i="59"/>
  <c r="Z24" i="59" s="1"/>
  <c r="Y25" i="59"/>
  <c r="Z25" i="59" s="1"/>
  <c r="AB25" i="59"/>
  <c r="AB22" i="59"/>
  <c r="AB24" i="59"/>
  <c r="B29" i="59"/>
  <c r="S29" i="59" s="1"/>
  <c r="E27" i="59"/>
  <c r="E28" i="59" s="1"/>
  <c r="E29" i="59"/>
  <c r="U29" i="59" s="1"/>
  <c r="B48" i="59"/>
  <c r="B49" i="59" s="1"/>
  <c r="S49" i="59"/>
  <c r="E49" i="59"/>
  <c r="U49" i="59" s="1"/>
  <c r="S65" i="59"/>
  <c r="AA36" i="59"/>
  <c r="F32" i="59"/>
  <c r="F33" i="59" s="1"/>
  <c r="V33" i="59"/>
  <c r="F40" i="59"/>
  <c r="F41" i="59" s="1"/>
  <c r="V41" i="59" s="1"/>
  <c r="F45" i="59"/>
  <c r="V45" i="59" s="1"/>
  <c r="F52" i="59"/>
  <c r="F53" i="59" s="1"/>
  <c r="V53" i="59"/>
  <c r="F57" i="59"/>
  <c r="V57" i="59" s="1"/>
  <c r="F60" i="59"/>
  <c r="F61" i="59" s="1"/>
  <c r="V61" i="59" s="1"/>
  <c r="D27" i="59"/>
  <c r="D35" i="59"/>
  <c r="D39" i="59"/>
  <c r="D44" i="59"/>
  <c r="C48" i="59"/>
  <c r="D47" i="59"/>
  <c r="C52" i="59"/>
  <c r="C53" i="59" s="1"/>
  <c r="C56" i="59"/>
  <c r="D56" i="59" s="1"/>
  <c r="D55" i="59"/>
  <c r="C60" i="59"/>
  <c r="C61" i="59" s="1"/>
  <c r="E63" i="59"/>
  <c r="P62" i="59" s="1"/>
  <c r="N64" i="59"/>
  <c r="B63" i="59"/>
  <c r="N62" i="59" s="1"/>
  <c r="Q64" i="59"/>
  <c r="T65" i="59"/>
  <c r="O65" i="59"/>
  <c r="D65" i="59"/>
  <c r="C64" i="59"/>
  <c r="P65" i="59"/>
  <c r="U65" i="59"/>
  <c r="Q65" i="59"/>
  <c r="C68" i="59"/>
  <c r="E68" i="59"/>
  <c r="E67" i="59" s="1"/>
  <c r="D69" i="59"/>
  <c r="C72" i="59"/>
  <c r="E72" i="59"/>
  <c r="E71" i="59" s="1"/>
  <c r="D73" i="59"/>
  <c r="C76" i="59"/>
  <c r="E76" i="59"/>
  <c r="E75" i="59" s="1"/>
  <c r="D77" i="59"/>
  <c r="C80" i="59"/>
  <c r="C84" i="59"/>
  <c r="D84" i="59" s="1"/>
  <c r="U16" i="4"/>
  <c r="S16" i="4"/>
  <c r="Q16" i="4"/>
  <c r="O16" i="4"/>
  <c r="M16" i="4"/>
  <c r="K16" i="4"/>
  <c r="P63" i="59"/>
  <c r="C83" i="59"/>
  <c r="D83" i="59" s="1"/>
  <c r="D76" i="59"/>
  <c r="C75" i="59"/>
  <c r="D75" i="59"/>
  <c r="D68" i="59"/>
  <c r="C67" i="59"/>
  <c r="D67" i="59" s="1"/>
  <c r="C63" i="59"/>
  <c r="D63" i="59" s="1"/>
  <c r="O64" i="59"/>
  <c r="D64" i="59"/>
  <c r="D80" i="59"/>
  <c r="C79" i="59"/>
  <c r="D79" i="59" s="1"/>
  <c r="D72" i="59"/>
  <c r="C71" i="59"/>
  <c r="D71" i="59"/>
  <c r="N63" i="59"/>
  <c r="D60" i="59"/>
  <c r="C57" i="59"/>
  <c r="D52" i="59"/>
  <c r="C49" i="59"/>
  <c r="D48" i="59"/>
  <c r="C41" i="59"/>
  <c r="D40" i="59"/>
  <c r="C37" i="59"/>
  <c r="D36" i="59"/>
  <c r="C29" i="59"/>
  <c r="D28" i="59"/>
  <c r="T57" i="59"/>
  <c r="D57" i="59"/>
  <c r="T29" i="59"/>
  <c r="D29" i="59"/>
  <c r="T37" i="59"/>
  <c r="D37" i="59"/>
  <c r="T41" i="59"/>
  <c r="D41" i="59"/>
  <c r="T49" i="59"/>
  <c r="D49" i="59"/>
  <c r="T53" i="59"/>
  <c r="D53" i="59"/>
  <c r="T61" i="59"/>
  <c r="D61" i="59"/>
  <c r="O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5"/>
  <c r="S21" i="37"/>
  <c r="C31" i="39"/>
  <c r="E66" i="36"/>
  <c r="H18" i="35"/>
  <c r="J18" i="35"/>
  <c r="W18" i="35" s="1"/>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W31" i="35" s="1"/>
  <c r="H31" i="35"/>
  <c r="U31" i="35" s="1"/>
  <c r="F31" i="35"/>
  <c r="S31" i="35" s="1"/>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AB8" i="35" s="1"/>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B128" i="21"/>
  <c r="B126" i="21"/>
  <c r="J44" i="21" s="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G21" i="6" s="1"/>
  <c r="B28" i="9" s="1"/>
  <c r="B38" i="9" s="1"/>
  <c r="E38" i="9" s="1"/>
  <c r="J5" i="3"/>
  <c r="BE10" i="3"/>
  <c r="BD13" i="3"/>
  <c r="BD5" i="3" s="1"/>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0" i="6"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S41" i="21"/>
  <c r="AA41" i="21"/>
  <c r="W41" i="21"/>
  <c r="S10" i="39"/>
  <c r="U30" i="37"/>
  <c r="E103" i="37"/>
  <c r="F103" i="37"/>
  <c r="F39" i="37"/>
  <c r="S39" i="37"/>
  <c r="F29" i="36"/>
  <c r="AA29" i="36" s="1"/>
  <c r="F16" i="36"/>
  <c r="AA16" i="36" s="1"/>
  <c r="U22" i="36"/>
  <c r="W22" i="36"/>
  <c r="AC31" i="36"/>
  <c r="J33" i="36"/>
  <c r="W33" i="36" s="1"/>
  <c r="AC27" i="35"/>
  <c r="W36" i="35"/>
  <c r="F36" i="34"/>
  <c r="S36" i="34"/>
  <c r="W9" i="34"/>
  <c r="S34"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s="1"/>
  <c r="C29" i="39"/>
  <c r="C23" i="39"/>
  <c r="U36" i="39"/>
  <c r="H32" i="33"/>
  <c r="AB32" i="33" s="1"/>
  <c r="H11" i="21"/>
  <c r="U11" i="21" s="1"/>
  <c r="J11" i="21"/>
  <c r="W11" i="21" s="1"/>
  <c r="F100" i="40"/>
  <c r="F86" i="40"/>
  <c r="AA12" i="33"/>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F125" i="21"/>
  <c r="G125" i="21" s="1"/>
  <c r="G86" i="40"/>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H44" i="21"/>
  <c r="U44" i="21" s="1"/>
  <c r="H46" i="21"/>
  <c r="AB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s="1"/>
  <c r="H78" i="40" s="1"/>
  <c r="I78" i="40" s="1"/>
  <c r="J78" i="40" s="1"/>
  <c r="K78" i="40" s="1"/>
  <c r="L78" i="40" s="1"/>
  <c r="M78" i="40" s="1"/>
  <c r="BH5" i="3"/>
  <c r="R16" i="4"/>
  <c r="P16" i="4"/>
  <c r="G4" i="4"/>
  <c r="S37" i="34"/>
  <c r="J16" i="35"/>
  <c r="W16" i="35" s="1"/>
  <c r="AC26" i="36"/>
  <c r="W25" i="35"/>
  <c r="AZ354" i="3"/>
  <c r="F13" i="39"/>
  <c r="AA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S32" i="21"/>
  <c r="AB34" i="21"/>
  <c r="BL571" i="3"/>
  <c r="BA571" i="3"/>
  <c r="AZ571" i="3"/>
  <c r="BL570" i="3"/>
  <c r="BE5" i="3"/>
  <c r="F42" i="21"/>
  <c r="AA42" i="21" s="1"/>
  <c r="AB40" i="33"/>
  <c r="U40" i="33"/>
  <c r="AA35" i="34"/>
  <c r="S35" i="34"/>
  <c r="E90" i="34"/>
  <c r="H27" i="34"/>
  <c r="AB27" i="34"/>
  <c r="U8" i="35"/>
  <c r="S9" i="35"/>
  <c r="J14" i="35"/>
  <c r="AC14" i="35" s="1"/>
  <c r="F14" i="35"/>
  <c r="S14" i="35" s="1"/>
  <c r="H14" i="35"/>
  <c r="U14" i="35" s="1"/>
  <c r="E80" i="35"/>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C36" i="21"/>
  <c r="AB8" i="33"/>
  <c r="U8" i="33"/>
  <c r="E106" i="33"/>
  <c r="H34" i="33"/>
  <c r="U34" i="33"/>
  <c r="F34" i="33"/>
  <c r="S34" i="33"/>
  <c r="E121" i="33"/>
  <c r="F41" i="33"/>
  <c r="S41" i="33" s="1"/>
  <c r="AC34" i="34"/>
  <c r="W34" i="34"/>
  <c r="AA39" i="34"/>
  <c r="S39" i="34"/>
  <c r="S43" i="34"/>
  <c r="E78" i="34"/>
  <c r="F15" i="34"/>
  <c r="AC28" i="35"/>
  <c r="W28" i="35"/>
  <c r="E72" i="35"/>
  <c r="F72" i="35"/>
  <c r="G72" i="35" s="1"/>
  <c r="H22" i="35"/>
  <c r="AB22" i="35" s="1"/>
  <c r="H23" i="35"/>
  <c r="F23" i="35"/>
  <c r="AA23" i="35"/>
  <c r="AB36" i="35"/>
  <c r="U36" i="35"/>
  <c r="W12" i="36"/>
  <c r="AC12"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72"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AC14" i="40"/>
  <c r="W35" i="40"/>
  <c r="S33" i="40"/>
  <c r="AB32" i="40"/>
  <c r="U37" i="34"/>
  <c r="AB37" i="34"/>
  <c r="AC41" i="40"/>
  <c r="W41" i="40"/>
  <c r="U41" i="40"/>
  <c r="J23" i="40"/>
  <c r="AC23" i="40"/>
  <c r="F23" i="40"/>
  <c r="S23" i="40" s="1"/>
  <c r="AC15" i="40"/>
  <c r="W15" i="40"/>
  <c r="AB16" i="39"/>
  <c r="W14" i="39"/>
  <c r="U23" i="35"/>
  <c r="AB23" i="35"/>
  <c r="H20" i="35"/>
  <c r="AB20" i="35" s="1"/>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J29" i="39"/>
  <c r="AC29" i="39" s="1"/>
  <c r="AB33" i="36"/>
  <c r="AA11" i="36"/>
  <c r="AA14" i="35"/>
  <c r="G99" i="37"/>
  <c r="F33" i="37"/>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W39" i="39"/>
  <c r="AA39" i="39"/>
  <c r="S39" i="39"/>
  <c r="U34" i="39"/>
  <c r="AB46" i="39"/>
  <c r="W33" i="39"/>
  <c r="AA33" i="39"/>
  <c r="S33" i="39"/>
  <c r="U11" i="36"/>
  <c r="F80" i="35"/>
  <c r="G80" i="35"/>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AC13" i="40"/>
  <c r="J11" i="34"/>
  <c r="W11" i="34"/>
  <c r="S17" i="34"/>
  <c r="AC36" i="33"/>
  <c r="F25" i="40"/>
  <c r="AA25" i="40"/>
  <c r="J11" i="33"/>
  <c r="W11" i="33"/>
  <c r="H33" i="37"/>
  <c r="AB33" i="37"/>
  <c r="W15" i="34"/>
  <c r="AC15" i="34"/>
  <c r="W23" i="40"/>
  <c r="B11" i="1"/>
  <c r="E11" i="1"/>
  <c r="K11" i="1"/>
  <c r="M11" i="1" s="1"/>
  <c r="B9" i="1"/>
  <c r="E9" i="1" s="1"/>
  <c r="K9" i="1"/>
  <c r="M9" i="1" s="1"/>
  <c r="B7" i="1"/>
  <c r="E7" i="1"/>
  <c r="F6" i="1"/>
  <c r="AP6" i="1" s="1"/>
  <c r="M22" i="44"/>
  <c r="AC25" i="36"/>
  <c r="S23" i="36"/>
  <c r="S8" i="36"/>
  <c r="U25" i="36"/>
  <c r="H20" i="36"/>
  <c r="U20" i="36" s="1"/>
  <c r="F68" i="36"/>
  <c r="G68" i="36" s="1"/>
  <c r="J20" i="36"/>
  <c r="AC20" i="36" s="1"/>
  <c r="F20" i="36"/>
  <c r="S20" i="36" s="1"/>
  <c r="U32" i="36"/>
  <c r="U9" i="36"/>
  <c r="S33" i="36"/>
  <c r="S16" i="36"/>
  <c r="S29" i="36"/>
  <c r="AC33" i="35"/>
  <c r="U22" i="35"/>
  <c r="AA13" i="35"/>
  <c r="AC9" i="35"/>
  <c r="S8" i="35"/>
  <c r="U33" i="35"/>
  <c r="S23" i="35"/>
  <c r="AC10" i="35"/>
  <c r="U9" i="35"/>
  <c r="W13" i="35"/>
  <c r="AC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W28" i="21"/>
  <c r="AC26" i="2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A21" i="39"/>
  <c r="AC19" i="39"/>
  <c r="S29" i="39"/>
  <c r="AC21" i="39"/>
  <c r="S14" i="39"/>
  <c r="AB15" i="39"/>
  <c r="U11" i="39"/>
  <c r="U23" i="39"/>
  <c r="U31" i="39"/>
  <c r="AB31" i="39"/>
  <c r="S38" i="39"/>
  <c r="S22" i="31"/>
  <c r="D18" i="9"/>
  <c r="M44" i="9" s="1"/>
  <c r="M43" i="9"/>
  <c r="M20" i="15"/>
  <c r="M18" i="15"/>
  <c r="A18" i="64"/>
  <c r="B74" i="63" s="1"/>
  <c r="C53" i="10"/>
  <c r="A25" i="64" s="1"/>
  <c r="A18" i="51"/>
  <c r="B14" i="63" s="1"/>
  <c r="BA16" i="3"/>
  <c r="BA17" i="3"/>
  <c r="AZ17" i="3" s="1"/>
  <c r="F3" i="35"/>
  <c r="K1" i="43"/>
  <c r="K1" i="12"/>
  <c r="G1" i="44"/>
  <c r="G3" i="46"/>
  <c r="Y11" i="46" s="1"/>
  <c r="Y13" i="46" s="1"/>
  <c r="AZ15" i="3"/>
  <c r="BK5" i="3"/>
  <c r="BO5" i="3"/>
  <c r="BN5" i="3"/>
  <c r="BL18" i="3"/>
  <c r="AZ18" i="3" s="1"/>
  <c r="BC5" i="3"/>
  <c r="E8" i="6"/>
  <c r="E53" i="40" s="1"/>
  <c r="BR5" i="3"/>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I100" i="46"/>
  <c r="C24" i="46"/>
  <c r="N100" i="46"/>
  <c r="H100" i="46"/>
  <c r="F108" i="46"/>
  <c r="H80" i="46"/>
  <c r="B45" i="46"/>
  <c r="E100" i="46"/>
  <c r="G100" i="46"/>
  <c r="H84" i="46"/>
  <c r="C100" i="46"/>
  <c r="J100" i="46"/>
  <c r="M100" i="46"/>
  <c r="AA12" i="36"/>
  <c r="U12" i="35"/>
  <c r="AB12" i="35"/>
  <c r="W11" i="35"/>
  <c r="AA11" i="35"/>
  <c r="S14" i="37"/>
  <c r="U13" i="37"/>
  <c r="S13" i="21"/>
  <c r="G9" i="1"/>
  <c r="I20" i="46"/>
  <c r="L5" i="54"/>
  <c r="B39" i="63" s="1"/>
  <c r="K5" i="54"/>
  <c r="B38"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G1" i="15"/>
  <c r="F66" i="36"/>
  <c r="H18" i="36"/>
  <c r="AB18" i="36" s="1"/>
  <c r="S25" i="36"/>
  <c r="AA34" i="36"/>
  <c r="U23" i="36"/>
  <c r="AA32" i="36"/>
  <c r="U13" i="36"/>
  <c r="AA22" i="36"/>
  <c r="U10" i="36"/>
  <c r="AA13"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AA25" i="21"/>
  <c r="AA29" i="21"/>
  <c r="U27" i="21"/>
  <c r="W31" i="21"/>
  <c r="S27" i="21"/>
  <c r="AC27" i="21"/>
  <c r="W29" i="21"/>
  <c r="G96" i="40"/>
  <c r="J27" i="40"/>
  <c r="W37" i="40"/>
  <c r="S17" i="40"/>
  <c r="W30" i="40"/>
  <c r="S34" i="40"/>
  <c r="U17" i="40"/>
  <c r="U38" i="40"/>
  <c r="S40" i="40"/>
  <c r="S42" i="40"/>
  <c r="G105" i="39"/>
  <c r="J31" i="39"/>
  <c r="W31" i="39" s="1"/>
  <c r="AB33" i="39"/>
  <c r="S34" i="39"/>
  <c r="W36" i="39"/>
  <c r="AC37" i="39"/>
  <c r="U14" i="39"/>
  <c r="W16" i="39"/>
  <c r="S15" i="39"/>
  <c r="W25" i="39"/>
  <c r="AA46" i="39"/>
  <c r="W10" i="39"/>
  <c r="W11" i="39"/>
  <c r="S32" i="40"/>
  <c r="C27" i="39"/>
  <c r="C17" i="40"/>
  <c r="C19" i="40"/>
  <c r="C17" i="39"/>
  <c r="C19" i="39"/>
  <c r="C21" i="39"/>
  <c r="C23" i="40"/>
  <c r="B48" i="46"/>
  <c r="B51" i="46"/>
  <c r="B55" i="46"/>
  <c r="B59" i="46"/>
  <c r="B62" i="46"/>
  <c r="B66" i="46"/>
  <c r="B64" i="46"/>
  <c r="D24" i="15"/>
  <c r="F28" i="6"/>
  <c r="AB20" i="36"/>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 i="6"/>
  <c r="D12" i="11" s="1"/>
  <c r="C12" i="11" s="1"/>
  <c r="AZ16" i="3"/>
  <c r="A9" i="51"/>
  <c r="B9" i="63" s="1"/>
  <c r="G66" i="36"/>
  <c r="J18" i="36"/>
  <c r="AC18" i="36" s="1"/>
  <c r="AE8" i="1"/>
  <c r="AE7" i="1"/>
  <c r="AE6" i="1"/>
  <c r="AG6" i="1"/>
  <c r="L20" i="6"/>
  <c r="S9" i="1"/>
  <c r="R9" i="1"/>
  <c r="C45" i="9"/>
  <c r="H14" i="66" s="1"/>
  <c r="B7" i="66" s="1"/>
  <c r="N76" i="9"/>
  <c r="C46" i="9"/>
  <c r="K33" i="9"/>
  <c r="K34" i="9" s="1"/>
  <c r="O41" i="9"/>
  <c r="I14" i="66"/>
  <c r="B8" i="66" s="1"/>
  <c r="R8" i="54"/>
  <c r="B54" i="63" s="1"/>
  <c r="J17" i="46"/>
  <c r="C17" i="46"/>
  <c r="F34" i="46"/>
  <c r="F38" i="46"/>
  <c r="F37" i="46"/>
  <c r="H113" i="46"/>
  <c r="H49" i="46"/>
  <c r="H53" i="46"/>
  <c r="D20" i="59"/>
  <c r="C19" i="59"/>
  <c r="D19" i="59" s="1"/>
  <c r="U17" i="59"/>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E10" i="46"/>
  <c r="C7" i="46" s="1"/>
  <c r="E9" i="46"/>
  <c r="E11" i="46"/>
  <c r="E8" i="46"/>
  <c r="H72" i="46"/>
  <c r="H69" i="46"/>
  <c r="H77" i="46"/>
  <c r="H76" i="46"/>
  <c r="H55" i="46"/>
  <c r="H54" i="46"/>
  <c r="H52" i="46"/>
  <c r="H47" i="46"/>
  <c r="AD12" i="46"/>
  <c r="AH12" i="46"/>
  <c r="C18" i="59"/>
  <c r="C17" i="59" s="1"/>
  <c r="B18" i="59"/>
  <c r="B17" i="59"/>
  <c r="B16" i="59" s="1"/>
  <c r="B15" i="59" s="1"/>
  <c r="B14" i="59" s="1"/>
  <c r="D18" i="59"/>
  <c r="G20" i="46"/>
  <c r="E41" i="46" s="1"/>
  <c r="C41" i="46" s="1"/>
  <c r="F12" i="67"/>
  <c r="M29" i="15"/>
  <c r="I4" i="65"/>
  <c r="E8" i="67"/>
  <c r="F11" i="67"/>
  <c r="L49" i="44"/>
  <c r="M25" i="44"/>
  <c r="B13" i="67"/>
  <c r="F42" i="15"/>
  <c r="J5" i="65"/>
  <c r="M24" i="44"/>
  <c r="F9" i="15"/>
  <c r="F6" i="15"/>
  <c r="M28" i="15"/>
  <c r="I3" i="65"/>
  <c r="F15" i="44"/>
  <c r="E9" i="67"/>
  <c r="M30" i="44"/>
  <c r="N6" i="65"/>
  <c r="M27" i="15"/>
  <c r="L48" i="44"/>
  <c r="J17" i="44"/>
  <c r="F46" i="44"/>
  <c r="J15" i="15"/>
  <c r="F8" i="44"/>
  <c r="M11" i="44"/>
  <c r="F10" i="44"/>
  <c r="B10" i="67"/>
  <c r="L47" i="15"/>
  <c r="N4" i="65"/>
  <c r="N3" i="65"/>
  <c r="M8" i="44"/>
  <c r="N5" i="65"/>
  <c r="J4" i="65"/>
  <c r="M28" i="44"/>
  <c r="M6" i="15"/>
  <c r="M23" i="15"/>
  <c r="E13" i="67"/>
  <c r="M9" i="15"/>
  <c r="J36" i="15"/>
  <c r="M31" i="44"/>
  <c r="E12" i="67"/>
  <c r="M26" i="44"/>
  <c r="F7" i="15"/>
  <c r="I6" i="65"/>
  <c r="F40" i="15"/>
  <c r="L48" i="15"/>
  <c r="F8" i="15"/>
  <c r="J6" i="65"/>
  <c r="F16" i="15"/>
  <c r="F26" i="15"/>
  <c r="B12" i="67"/>
  <c r="M26" i="15"/>
  <c r="F38" i="15"/>
  <c r="B8" i="67"/>
  <c r="F13" i="67"/>
  <c r="F9" i="44"/>
  <c r="F28" i="44"/>
  <c r="F8" i="67"/>
  <c r="M24" i="15"/>
  <c r="B14" i="67"/>
  <c r="F39" i="44"/>
  <c r="E14" i="67"/>
  <c r="F41" i="15"/>
  <c r="F37" i="15"/>
  <c r="M10" i="44"/>
  <c r="B9" i="67"/>
  <c r="M8" i="15"/>
  <c r="F36" i="15"/>
  <c r="M22" i="15"/>
  <c r="E11" i="67"/>
  <c r="F40" i="44"/>
  <c r="F43" i="15"/>
  <c r="F45" i="44"/>
  <c r="F18" i="44"/>
  <c r="F38" i="44"/>
  <c r="F9" i="67"/>
  <c r="B11" i="67"/>
  <c r="F11" i="44"/>
  <c r="F10" i="67"/>
  <c r="F14" i="67"/>
  <c r="J7" i="65"/>
  <c r="F13" i="15"/>
  <c r="N7" i="65"/>
  <c r="F43" i="44"/>
  <c r="M29" i="44"/>
  <c r="E10" i="67"/>
  <c r="AB17" i="39" l="1"/>
  <c r="G17" i="46"/>
  <c r="C16" i="46" s="1"/>
  <c r="J42" i="39"/>
  <c r="H42" i="39"/>
  <c r="F42" i="39"/>
  <c r="AB14" i="35"/>
  <c r="W10" i="21"/>
  <c r="F29" i="6"/>
  <c r="F30" i="6" s="1"/>
  <c r="E22" i="46"/>
  <c r="BA13" i="3"/>
  <c r="B37" i="9"/>
  <c r="E37" i="9" s="1"/>
  <c r="G35" i="9" s="1"/>
  <c r="C43" i="9" s="1"/>
  <c r="K47" i="9" s="1"/>
  <c r="A14" i="55" s="1"/>
  <c r="B65" i="63" s="1"/>
  <c r="B30" i="9"/>
  <c r="BL13" i="3"/>
  <c r="AZ13" i="3" s="1"/>
  <c r="E20" i="6"/>
  <c r="E21" i="6"/>
  <c r="E32" i="6"/>
  <c r="C9" i="12"/>
  <c r="D3" i="21"/>
  <c r="K6" i="1"/>
  <c r="M6" i="1" s="1"/>
  <c r="I4" i="6"/>
  <c r="F27" i="6"/>
  <c r="S43" i="39"/>
  <c r="U42" i="21"/>
  <c r="AB43" i="39"/>
  <c r="U41" i="39"/>
  <c r="AA44" i="39"/>
  <c r="AB44" i="39"/>
  <c r="S13" i="39"/>
  <c r="AC16" i="35"/>
  <c r="F20" i="35"/>
  <c r="J20" i="35"/>
  <c r="AC20" i="35" s="1"/>
  <c r="F26" i="35"/>
  <c r="J26" i="35"/>
  <c r="H26" i="35"/>
  <c r="W14" i="35"/>
  <c r="U20" i="35"/>
  <c r="W20" i="35"/>
  <c r="S16" i="35"/>
  <c r="AB16" i="35"/>
  <c r="AB10" i="35"/>
  <c r="H81" i="36"/>
  <c r="I81" i="36" s="1"/>
  <c r="J81" i="36" s="1"/>
  <c r="K81" i="36" s="1"/>
  <c r="L81" i="36" s="1"/>
  <c r="M81" i="36" s="1"/>
  <c r="F27" i="36"/>
  <c r="H27" i="36"/>
  <c r="J27" i="36"/>
  <c r="F62" i="36"/>
  <c r="G62" i="36" s="1"/>
  <c r="H14" i="36"/>
  <c r="U14" i="36" s="1"/>
  <c r="J14" i="36"/>
  <c r="F14" i="36"/>
  <c r="AA14" i="36" s="1"/>
  <c r="AA31" i="36"/>
  <c r="U31" i="36"/>
  <c r="W29" i="36"/>
  <c r="W28" i="36"/>
  <c r="AA28" i="36"/>
  <c r="AA26" i="36"/>
  <c r="W18" i="36"/>
  <c r="AB14" i="36"/>
  <c r="W20" i="36"/>
  <c r="U18" i="36"/>
  <c r="S18" i="36"/>
  <c r="U16" i="36"/>
  <c r="AB8" i="36"/>
  <c r="AA43" i="21"/>
  <c r="H113" i="21"/>
  <c r="F37" i="21"/>
  <c r="J37" i="21"/>
  <c r="W37" i="21" s="1"/>
  <c r="H37" i="21"/>
  <c r="U37" i="21" s="1"/>
  <c r="F23" i="21"/>
  <c r="AA23" i="21" s="1"/>
  <c r="F85" i="21"/>
  <c r="G85" i="21" s="1"/>
  <c r="J23" i="21"/>
  <c r="H23" i="21"/>
  <c r="F81" i="21"/>
  <c r="G81" i="21" s="1"/>
  <c r="F19" i="21"/>
  <c r="AA19" i="21" s="1"/>
  <c r="J19" i="21"/>
  <c r="W19" i="21" s="1"/>
  <c r="H19" i="21"/>
  <c r="F79" i="21"/>
  <c r="G79" i="21" s="1"/>
  <c r="H17" i="21"/>
  <c r="AB17" i="21" s="1"/>
  <c r="F17" i="21"/>
  <c r="J17" i="21"/>
  <c r="F15" i="21"/>
  <c r="S15" i="21" s="1"/>
  <c r="H15" i="21"/>
  <c r="U15" i="21" s="1"/>
  <c r="F77" i="21"/>
  <c r="G77" i="21" s="1"/>
  <c r="J15" i="21"/>
  <c r="W15" i="21" s="1"/>
  <c r="AC37" i="21"/>
  <c r="AC33" i="21"/>
  <c r="AC40" i="21"/>
  <c r="AB37" i="21"/>
  <c r="U40" i="21"/>
  <c r="AA40" i="21"/>
  <c r="U43" i="21"/>
  <c r="AB15" i="21"/>
  <c r="AA15" i="21"/>
  <c r="S19" i="21"/>
  <c r="S21" i="21"/>
  <c r="U17" i="21"/>
  <c r="AC15" i="21"/>
  <c r="AB10" i="21"/>
  <c r="S10" i="21"/>
  <c r="AC34" i="36"/>
  <c r="AC24" i="35"/>
  <c r="W42" i="21"/>
  <c r="S42" i="21"/>
  <c r="S39" i="21"/>
  <c r="U39" i="21"/>
  <c r="AA38" i="21"/>
  <c r="U38" i="21"/>
  <c r="AA36" i="21"/>
  <c r="AB36" i="21"/>
  <c r="S35" i="21"/>
  <c r="AC35" i="21"/>
  <c r="AB32" i="21"/>
  <c r="U9" i="21"/>
  <c r="AC44" i="21"/>
  <c r="W44" i="21"/>
  <c r="W46" i="21"/>
  <c r="AC46" i="21"/>
  <c r="AB45" i="21"/>
  <c r="S46" i="21"/>
  <c r="F44" i="21"/>
  <c r="W29" i="39"/>
  <c r="S41" i="39"/>
  <c r="F101" i="39"/>
  <c r="G101" i="39" s="1"/>
  <c r="H27" i="39"/>
  <c r="F27" i="39"/>
  <c r="AA27" i="39" s="1"/>
  <c r="J27" i="39"/>
  <c r="AC27" i="39" s="1"/>
  <c r="J13" i="39"/>
  <c r="H13" i="39"/>
  <c r="AC31" i="39"/>
  <c r="S31" i="39"/>
  <c r="AB29" i="39"/>
  <c r="W27" i="39"/>
  <c r="S27" i="39"/>
  <c r="S25" i="39"/>
  <c r="W23" i="39"/>
  <c r="S23" i="39"/>
  <c r="AB21" i="39"/>
  <c r="U19" i="39"/>
  <c r="AC17" i="39"/>
  <c r="S17" i="39"/>
  <c r="AC44" i="39"/>
  <c r="W43" i="39"/>
  <c r="W41" i="39"/>
  <c r="U45" i="39"/>
  <c r="AB45" i="39"/>
  <c r="AA47" i="39"/>
  <c r="S47" i="39"/>
  <c r="W45" i="39"/>
  <c r="AC46" i="39"/>
  <c r="S45" i="39"/>
  <c r="J47" i="39"/>
  <c r="W47" i="39" s="1"/>
  <c r="W34" i="39"/>
  <c r="AB38" i="39"/>
  <c r="AC38" i="39"/>
  <c r="U39" i="39"/>
  <c r="AB37" i="39"/>
  <c r="B74" i="46"/>
  <c r="B53" i="46"/>
  <c r="D96" i="9"/>
  <c r="M20" i="44"/>
  <c r="C23" i="46"/>
  <c r="AB11" i="46"/>
  <c r="AB13" i="46" s="1"/>
  <c r="I101" i="46"/>
  <c r="I105" i="46" s="1"/>
  <c r="AA11" i="46"/>
  <c r="AA13" i="46" s="1"/>
  <c r="J101" i="46"/>
  <c r="J106" i="46" s="1"/>
  <c r="H22" i="46"/>
  <c r="BL5" i="3"/>
  <c r="BP5" i="3"/>
  <c r="G29" i="6" s="1"/>
  <c r="E29" i="6" s="1"/>
  <c r="K15" i="1" s="1"/>
  <c r="F22" i="46"/>
  <c r="AD11" i="46"/>
  <c r="J22" i="46"/>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2" i="46" s="1"/>
  <c r="E101" i="46"/>
  <c r="E106" i="46" s="1"/>
  <c r="L101" i="46"/>
  <c r="L109" i="46" s="1"/>
  <c r="B113" i="46"/>
  <c r="B117" i="46" s="1"/>
  <c r="C117" i="46" s="1"/>
  <c r="G101" i="46"/>
  <c r="G105" i="46" s="1"/>
  <c r="AJ11" i="46"/>
  <c r="AJ13" i="46" s="1"/>
  <c r="AC11" i="46"/>
  <c r="AC13" i="46" s="1"/>
  <c r="M101" i="46"/>
  <c r="M107" i="46" s="1"/>
  <c r="F101" i="46"/>
  <c r="F103" i="46" s="1"/>
  <c r="G22" i="46"/>
  <c r="D22" i="46" s="1"/>
  <c r="C21" i="46" s="1"/>
  <c r="L107" i="46"/>
  <c r="F31" i="6"/>
  <c r="T41" i="4"/>
  <c r="A17" i="64" s="1"/>
  <c r="A11" i="55"/>
  <c r="B62" i="63" s="1"/>
  <c r="L16" i="4"/>
  <c r="N16" i="4"/>
  <c r="G8" i="1"/>
  <c r="A4" i="51"/>
  <c r="B6" i="63" s="1"/>
  <c r="G11" i="1"/>
  <c r="A26" i="51"/>
  <c r="B19" i="63" s="1"/>
  <c r="O40" i="9"/>
  <c r="K31" i="9" s="1"/>
  <c r="K32" i="9" s="1"/>
  <c r="H58" i="46"/>
  <c r="C16" i="59"/>
  <c r="T17" i="59"/>
  <c r="D17" i="59"/>
  <c r="F16" i="59"/>
  <c r="F15" i="59" s="1"/>
  <c r="F14" i="59" s="1"/>
  <c r="F13" i="59" s="1"/>
  <c r="V17" i="59"/>
  <c r="AZ570" i="3"/>
  <c r="BA5" i="3"/>
  <c r="AZ520" i="3"/>
  <c r="AD13" i="46"/>
  <c r="S17" i="59"/>
  <c r="A3" i="55"/>
  <c r="B56" i="63" s="1"/>
  <c r="A17" i="51"/>
  <c r="B13" i="63" s="1"/>
  <c r="BG5" i="3"/>
  <c r="F9" i="21"/>
  <c r="J9" i="21"/>
  <c r="AC39" i="34"/>
  <c r="W39" i="34"/>
  <c r="J12" i="35"/>
  <c r="J34" i="35"/>
  <c r="H34" i="35"/>
  <c r="F34" i="35"/>
  <c r="H12" i="36"/>
  <c r="AC23" i="36"/>
  <c r="W23" i="36"/>
  <c r="AC39" i="37"/>
  <c r="W39" i="37"/>
  <c r="U41" i="21"/>
  <c r="AB41" i="21"/>
  <c r="G536" i="3"/>
  <c r="G524" i="3"/>
  <c r="G512" i="3"/>
  <c r="U25" i="33"/>
  <c r="AB25" i="39"/>
  <c r="AC47" i="39"/>
  <c r="W40" i="40"/>
  <c r="S10" i="35"/>
  <c r="S27" i="37"/>
  <c r="AC41" i="34"/>
  <c r="U28" i="21"/>
  <c r="S45" i="21"/>
  <c r="AA27" i="33"/>
  <c r="W31" i="34"/>
  <c r="AB14" i="21"/>
  <c r="U46" i="21"/>
  <c r="AB13" i="21"/>
  <c r="AB40" i="37"/>
  <c r="W46" i="33"/>
  <c r="W35" i="35"/>
  <c r="H5" i="3"/>
  <c r="AB26" i="36"/>
  <c r="U26" i="36"/>
  <c r="H25" i="37"/>
  <c r="J25" i="37"/>
  <c r="F25" i="37"/>
  <c r="AZ389" i="3"/>
  <c r="BT5" i="3"/>
  <c r="BI5" i="3"/>
  <c r="A30" i="64"/>
  <c r="A30" i="51"/>
  <c r="B22" i="63" s="1"/>
  <c r="A2" i="55"/>
  <c r="B55" i="63" s="1"/>
  <c r="AZ396" i="3"/>
  <c r="AZ406" i="3"/>
  <c r="AZ409" i="3"/>
  <c r="AZ412" i="3"/>
  <c r="AZ419" i="3"/>
  <c r="AZ425" i="3"/>
  <c r="AZ429" i="3"/>
  <c r="AZ445" i="3"/>
  <c r="AZ448" i="3"/>
  <c r="AZ468" i="3"/>
  <c r="AZ472" i="3"/>
  <c r="AZ206" i="3"/>
  <c r="AZ210" i="3"/>
  <c r="AZ222" i="3"/>
  <c r="AZ226" i="3"/>
  <c r="AZ238" i="3"/>
  <c r="AZ242" i="3"/>
  <c r="AZ254" i="3"/>
  <c r="AZ258" i="3"/>
  <c r="AZ269" i="3"/>
  <c r="AZ272" i="3"/>
  <c r="AZ288" i="3"/>
  <c r="AZ296" i="3"/>
  <c r="AZ125" i="3"/>
  <c r="AZ128" i="3"/>
  <c r="AZ141" i="3"/>
  <c r="AZ144" i="3"/>
  <c r="AZ155" i="3"/>
  <c r="AZ168" i="3"/>
  <c r="AZ171" i="3"/>
  <c r="AZ194" i="3"/>
  <c r="AZ280" i="3"/>
  <c r="AZ176" i="3"/>
  <c r="AZ204" i="3"/>
  <c r="AZ22" i="3"/>
  <c r="AZ5" i="3" s="1"/>
  <c r="E3" i="6" s="1"/>
  <c r="AZ26" i="3"/>
  <c r="AZ45" i="3"/>
  <c r="AZ49" i="3"/>
  <c r="AZ54" i="3"/>
  <c r="AZ64" i="3"/>
  <c r="AZ69" i="3"/>
  <c r="AZ80" i="3"/>
  <c r="AZ89" i="3"/>
  <c r="AZ100" i="3"/>
  <c r="AZ105" i="3"/>
  <c r="AA26" i="59"/>
  <c r="AA3" i="59"/>
  <c r="AA23" i="59"/>
  <c r="AA25" i="59"/>
  <c r="Y30" i="59"/>
  <c r="Z30" i="59" s="1"/>
  <c r="C31" i="59"/>
  <c r="Y21" i="59"/>
  <c r="Z21" i="59" s="1"/>
  <c r="B37" i="50"/>
  <c r="B2" i="63" s="1"/>
  <c r="X5" i="59"/>
  <c r="Y5" i="59"/>
  <c r="Z5" i="59" s="1"/>
  <c r="AA5" i="59"/>
  <c r="AB5" i="59"/>
  <c r="B54" i="46"/>
  <c r="C27" i="40"/>
  <c r="S27" i="40"/>
  <c r="S21" i="34"/>
  <c r="AA22" i="59"/>
  <c r="AB26" i="59"/>
  <c r="F27" i="59"/>
  <c r="F28" i="59" s="1"/>
  <c r="F29" i="59" s="1"/>
  <c r="V29" i="59" s="1"/>
  <c r="AB3" i="59"/>
  <c r="AB23" i="59"/>
  <c r="Y27" i="59"/>
  <c r="Z27" i="59" s="1"/>
  <c r="Y28" i="59"/>
  <c r="Z28" i="59" s="1"/>
  <c r="Y29" i="59"/>
  <c r="Z29" i="59" s="1"/>
  <c r="X30" i="59"/>
  <c r="B31" i="59"/>
  <c r="B32" i="59" s="1"/>
  <c r="B33" i="59" s="1"/>
  <c r="S33" i="59" s="1"/>
  <c r="X22" i="59"/>
  <c r="X24" i="59"/>
  <c r="U25" i="59"/>
  <c r="E24" i="59"/>
  <c r="E23" i="59" s="1"/>
  <c r="B21" i="63"/>
  <c r="N4" i="63"/>
  <c r="D43" i="59"/>
  <c r="Y26" i="59"/>
  <c r="Z26" i="59" s="1"/>
  <c r="X27" i="59"/>
  <c r="AA28" i="59"/>
  <c r="X29"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Y15" i="59"/>
  <c r="Z15" i="59" s="1"/>
  <c r="AB15" i="59"/>
  <c r="X11" i="59"/>
  <c r="X6" i="59"/>
  <c r="X7" i="59"/>
  <c r="AA6" i="59"/>
  <c r="AA7" i="59"/>
  <c r="AB6" i="59"/>
  <c r="AB7" i="59"/>
  <c r="AB21" i="59"/>
  <c r="X20" i="59"/>
  <c r="AA20" i="59"/>
  <c r="AA18" i="59"/>
  <c r="AA15" i="59"/>
  <c r="X14" i="59"/>
  <c r="Y14" i="59"/>
  <c r="Z14" i="59" s="1"/>
  <c r="AA14" i="59"/>
  <c r="AB14" i="59"/>
  <c r="Y11" i="59"/>
  <c r="Z11" i="59" s="1"/>
  <c r="AB11" i="59"/>
  <c r="AA12" i="59"/>
  <c r="X13" i="59"/>
  <c r="AB9" i="59"/>
  <c r="Y9" i="59"/>
  <c r="Z9" i="59" s="1"/>
  <c r="Y10" i="59"/>
  <c r="Z10" i="59" s="1"/>
  <c r="AA9" i="59"/>
  <c r="AA8" i="59"/>
  <c r="AA11" i="59"/>
  <c r="X10" i="59"/>
  <c r="X8" i="59"/>
  <c r="AB12" i="59"/>
  <c r="AB8" i="59"/>
  <c r="AB10" i="59"/>
  <c r="Y8" i="59"/>
  <c r="Z8" i="59" s="1"/>
  <c r="AA10" i="59"/>
  <c r="X9" i="59"/>
  <c r="C20" i="46"/>
  <c r="C5" i="46"/>
  <c r="D5" i="46"/>
  <c r="D118" i="46"/>
  <c r="E118" i="46" s="1"/>
  <c r="F118" i="46" s="1"/>
  <c r="E27" i="6"/>
  <c r="G28" i="6"/>
  <c r="G30" i="6" s="1"/>
  <c r="G31" i="6" s="1"/>
  <c r="G27" i="12"/>
  <c r="G13" i="3"/>
  <c r="J103" i="46"/>
  <c r="J107" i="46"/>
  <c r="F34" i="44"/>
  <c r="F24" i="43"/>
  <c r="J102" i="46"/>
  <c r="I102" i="46"/>
  <c r="D106" i="46"/>
  <c r="I109" i="46"/>
  <c r="D103" i="46"/>
  <c r="C25" i="43"/>
  <c r="C24" i="43"/>
  <c r="C2" i="65"/>
  <c r="G20" i="43"/>
  <c r="G26" i="12"/>
  <c r="F70" i="9"/>
  <c r="F66" i="9"/>
  <c r="P72" i="9" s="1"/>
  <c r="F28" i="15"/>
  <c r="C28" i="15" s="1"/>
  <c r="F30" i="44"/>
  <c r="D86" i="9"/>
  <c r="F29" i="12"/>
  <c r="F32" i="15"/>
  <c r="F59" i="15" s="1"/>
  <c r="F71" i="9"/>
  <c r="I103" i="46"/>
  <c r="M103" i="46"/>
  <c r="E15" i="6"/>
  <c r="E12" i="6"/>
  <c r="E11" i="6"/>
  <c r="E14" i="6"/>
  <c r="E13" i="6"/>
  <c r="E10" i="6"/>
  <c r="O11" i="1"/>
  <c r="P11" i="1" s="1"/>
  <c r="D21" i="12"/>
  <c r="C21" i="12" s="1"/>
  <c r="O6" i="1"/>
  <c r="P6" i="1" s="1"/>
  <c r="O12" i="1"/>
  <c r="P12" i="1" s="1"/>
  <c r="O10" i="1"/>
  <c r="P10" i="1" s="1"/>
  <c r="O9" i="1"/>
  <c r="P9" i="1" s="1"/>
  <c r="O13" i="1"/>
  <c r="P13" i="1" s="1"/>
  <c r="J109" i="46"/>
  <c r="C102" i="46"/>
  <c r="S2" i="46" s="1"/>
  <c r="J105" i="46"/>
  <c r="J104" i="46"/>
  <c r="G6" i="1"/>
  <c r="A25" i="51"/>
  <c r="B18" i="63" s="1"/>
  <c r="G10" i="1"/>
  <c r="G13" i="1"/>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3" i="59"/>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C6" i="15"/>
  <c r="F65" i="15"/>
  <c r="C29" i="44"/>
  <c r="C8" i="44"/>
  <c r="F68" i="1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J3" i="65"/>
  <c r="I7" i="65"/>
  <c r="C16" i="15"/>
  <c r="I5" i="65"/>
  <c r="E2" i="65" s="1"/>
  <c r="AC19" i="21" l="1"/>
  <c r="AB42" i="39"/>
  <c r="U42" i="39"/>
  <c r="AA42" i="39"/>
  <c r="S42" i="39"/>
  <c r="AC42" i="39"/>
  <c r="W42" i="39"/>
  <c r="S14" i="36"/>
  <c r="D109" i="46"/>
  <c r="D104" i="46"/>
  <c r="C106" i="46"/>
  <c r="C103" i="46"/>
  <c r="E28" i="6"/>
  <c r="K25" i="6" s="1"/>
  <c r="M25" i="6" s="1"/>
  <c r="I25" i="6" s="1"/>
  <c r="K8" i="1"/>
  <c r="M8" i="1" s="1"/>
  <c r="O8" i="1" s="1"/>
  <c r="P8" i="1" s="1"/>
  <c r="E9" i="12"/>
  <c r="D3" i="35"/>
  <c r="L19" i="6"/>
  <c r="L27" i="6" s="1"/>
  <c r="D3" i="36"/>
  <c r="D9" i="12"/>
  <c r="K7" i="1"/>
  <c r="G16" i="1" s="1"/>
  <c r="J12" i="40" s="1"/>
  <c r="C24" i="9"/>
  <c r="C25" i="9"/>
  <c r="J7" i="33"/>
  <c r="S20" i="35"/>
  <c r="AA20" i="35"/>
  <c r="W26" i="35"/>
  <c r="AC26" i="35"/>
  <c r="U26" i="35"/>
  <c r="AB26" i="35"/>
  <c r="AA26" i="35"/>
  <c r="S26" i="35"/>
  <c r="W27" i="36"/>
  <c r="AC27" i="36"/>
  <c r="S27" i="36"/>
  <c r="AA27" i="36"/>
  <c r="AB27" i="36"/>
  <c r="U27" i="36"/>
  <c r="AC14" i="36"/>
  <c r="W14" i="36"/>
  <c r="AA37" i="21"/>
  <c r="S37" i="21"/>
  <c r="S23" i="21"/>
  <c r="U23" i="21"/>
  <c r="AB23" i="21"/>
  <c r="W23" i="21"/>
  <c r="AC23" i="21"/>
  <c r="AB19" i="21"/>
  <c r="U19" i="21"/>
  <c r="AC17" i="21"/>
  <c r="W17" i="21"/>
  <c r="S17" i="21"/>
  <c r="AA17" i="21"/>
  <c r="AA44" i="21"/>
  <c r="S44" i="21"/>
  <c r="AB27" i="39"/>
  <c r="U27" i="39"/>
  <c r="AB13" i="39"/>
  <c r="U13" i="39"/>
  <c r="AC13" i="39"/>
  <c r="W13" i="39"/>
  <c r="M105" i="46"/>
  <c r="S3" i="46"/>
  <c r="S7" i="46"/>
  <c r="I104" i="46"/>
  <c r="I107" i="46"/>
  <c r="I106" i="46"/>
  <c r="S5" i="46"/>
  <c r="S6" i="46"/>
  <c r="S4" i="46"/>
  <c r="K19" i="6"/>
  <c r="S6" i="1" s="1"/>
  <c r="N102" i="46"/>
  <c r="K106" i="46"/>
  <c r="H107" i="46"/>
  <c r="H106" i="46"/>
  <c r="L103" i="46"/>
  <c r="G102" i="46"/>
  <c r="K23" i="6"/>
  <c r="M23" i="6" s="1"/>
  <c r="I23" i="6" s="1"/>
  <c r="S23" i="6" s="1"/>
  <c r="E16" i="6"/>
  <c r="H105" i="46"/>
  <c r="H104" i="46"/>
  <c r="C107" i="46"/>
  <c r="C105" i="46"/>
  <c r="K20" i="6"/>
  <c r="K26" i="6"/>
  <c r="M26" i="6" s="1"/>
  <c r="I26" i="6" s="1"/>
  <c r="S26" i="6" s="1"/>
  <c r="M104" i="46"/>
  <c r="E107" i="46"/>
  <c r="D107" i="46"/>
  <c r="D102" i="46"/>
  <c r="C104" i="46"/>
  <c r="M106" i="46"/>
  <c r="E104" i="46"/>
  <c r="B115" i="46"/>
  <c r="C115" i="46" s="1"/>
  <c r="E109" i="46"/>
  <c r="K22" i="6"/>
  <c r="M22" i="6" s="1"/>
  <c r="I22" i="6" s="1"/>
  <c r="S22" i="6" s="1"/>
  <c r="K21" i="6"/>
  <c r="K24" i="6"/>
  <c r="M24" i="6" s="1"/>
  <c r="I24" i="6" s="1"/>
  <c r="S24" i="6" s="1"/>
  <c r="F102" i="46"/>
  <c r="N103" i="46"/>
  <c r="N104" i="46"/>
  <c r="N109" i="46"/>
  <c r="G109" i="46"/>
  <c r="K107" i="46"/>
  <c r="N107" i="46"/>
  <c r="N106" i="46"/>
  <c r="K105" i="46"/>
  <c r="L106" i="46"/>
  <c r="F109" i="46"/>
  <c r="H109" i="46"/>
  <c r="H103" i="46"/>
  <c r="L104" i="46"/>
  <c r="I115" i="46"/>
  <c r="J115" i="46" s="1"/>
  <c r="K115" i="46" s="1"/>
  <c r="L115" i="46" s="1"/>
  <c r="M115" i="46" s="1"/>
  <c r="I116" i="46"/>
  <c r="J116" i="46" s="1"/>
  <c r="K116" i="46" s="1"/>
  <c r="L116" i="46" s="1"/>
  <c r="M116" i="46" s="1"/>
  <c r="D116" i="46"/>
  <c r="E116" i="46" s="1"/>
  <c r="F116" i="46" s="1"/>
  <c r="G116" i="46" s="1"/>
  <c r="H116" i="46" s="1"/>
  <c r="D115" i="46"/>
  <c r="B118" i="46"/>
  <c r="C118" i="46" s="1"/>
  <c r="I118" i="46"/>
  <c r="J118" i="46" s="1"/>
  <c r="K118" i="46" s="1"/>
  <c r="L118" i="46" s="1"/>
  <c r="M118" i="46" s="1"/>
  <c r="D117" i="46"/>
  <c r="E117" i="46" s="1"/>
  <c r="F117" i="46" s="1"/>
  <c r="G117" i="46" s="1"/>
  <c r="H117" i="46" s="1"/>
  <c r="G118" i="46"/>
  <c r="H118" i="46" s="1"/>
  <c r="M109" i="46"/>
  <c r="E103" i="46"/>
  <c r="M102" i="46"/>
  <c r="E102" i="46"/>
  <c r="B116" i="46"/>
  <c r="C116" i="46" s="1"/>
  <c r="I117" i="46"/>
  <c r="J117" i="46" s="1"/>
  <c r="K117" i="46" s="1"/>
  <c r="L117" i="46" s="1"/>
  <c r="M117" i="46" s="1"/>
  <c r="E105" i="46"/>
  <c r="F106" i="46"/>
  <c r="F107" i="46"/>
  <c r="F104" i="46"/>
  <c r="F105" i="46"/>
  <c r="G103" i="46"/>
  <c r="G104" i="46"/>
  <c r="G106" i="46"/>
  <c r="G107" i="46"/>
  <c r="L105" i="46"/>
  <c r="L102" i="46"/>
  <c r="K103" i="46"/>
  <c r="K109" i="46"/>
  <c r="K104" i="46"/>
  <c r="K17" i="4"/>
  <c r="A22" i="51" s="1"/>
  <c r="B16" i="63" s="1"/>
  <c r="R7" i="54"/>
  <c r="B52" i="63" s="1"/>
  <c r="J1" i="65"/>
  <c r="D16" i="43"/>
  <c r="C16" i="43" s="1"/>
  <c r="D46" i="9"/>
  <c r="L38" i="9"/>
  <c r="B14" i="66" s="1"/>
  <c r="B1" i="66" s="1"/>
  <c r="D45" i="9"/>
  <c r="C21" i="4"/>
  <c r="O5" i="54" s="1"/>
  <c r="B45" i="63" s="1"/>
  <c r="E6" i="6"/>
  <c r="D22" i="12" s="1"/>
  <c r="C22" i="12" s="1"/>
  <c r="C20" i="12" s="1"/>
  <c r="D16" i="12"/>
  <c r="D19" i="12" s="1"/>
  <c r="C19" i="12" s="1"/>
  <c r="E12" i="59"/>
  <c r="E11" i="59" s="1"/>
  <c r="E10" i="59" s="1"/>
  <c r="E9" i="59" s="1"/>
  <c r="U13" i="59"/>
  <c r="D25" i="59"/>
  <c r="T25" i="59"/>
  <c r="C24" i="59"/>
  <c r="D31" i="59"/>
  <c r="C32" i="59"/>
  <c r="W25" i="37"/>
  <c r="AC25" i="37"/>
  <c r="S34" i="35"/>
  <c r="AA34" i="35"/>
  <c r="AC34" i="35"/>
  <c r="W34" i="35"/>
  <c r="AC9" i="21"/>
  <c r="W9" i="21"/>
  <c r="F12" i="59"/>
  <c r="F11" i="59" s="1"/>
  <c r="F10" i="59" s="1"/>
  <c r="F9" i="59" s="1"/>
  <c r="V13" i="59"/>
  <c r="B12" i="59"/>
  <c r="B11" i="59" s="1"/>
  <c r="B10" i="59" s="1"/>
  <c r="B9" i="59" s="1"/>
  <c r="B8" i="59" s="1"/>
  <c r="S13" i="59"/>
  <c r="AA25" i="37"/>
  <c r="S25" i="37"/>
  <c r="AB25" i="37"/>
  <c r="U25" i="37"/>
  <c r="U12" i="36"/>
  <c r="AB12" i="36"/>
  <c r="AB34" i="35"/>
  <c r="U34" i="35"/>
  <c r="W12" i="35"/>
  <c r="AC12" i="35"/>
  <c r="S9" i="21"/>
  <c r="AA9" i="21"/>
  <c r="C15" i="59"/>
  <c r="D16" i="59"/>
  <c r="G5" i="3"/>
  <c r="B3" i="3" s="1"/>
  <c r="AT6" i="3" s="1"/>
  <c r="S25" i="6"/>
  <c r="E66" i="39"/>
  <c r="E61" i="40"/>
  <c r="E64" i="39"/>
  <c r="E59" i="40"/>
  <c r="E65" i="39"/>
  <c r="E60" i="40"/>
  <c r="E63" i="39"/>
  <c r="E58" i="40"/>
  <c r="E67" i="39"/>
  <c r="E62" i="40"/>
  <c r="E30" i="6"/>
  <c r="E31" i="6" s="1"/>
  <c r="K14" i="1"/>
  <c r="M19" i="6"/>
  <c r="D13" i="11"/>
  <c r="C13" i="11" s="1"/>
  <c r="H7" i="34"/>
  <c r="AB7" i="34" s="1"/>
  <c r="T49" i="34" s="1"/>
  <c r="G49" i="34" s="1"/>
  <c r="F7" i="34"/>
  <c r="AA7" i="34" s="1"/>
  <c r="R49" i="34" s="1"/>
  <c r="J7" i="34"/>
  <c r="W7" i="34" s="1"/>
  <c r="F7" i="21"/>
  <c r="AA7" i="21" s="1"/>
  <c r="H7" i="21"/>
  <c r="AB7" i="21" s="1"/>
  <c r="S9" i="59"/>
  <c r="E8" i="59"/>
  <c r="U9" i="59"/>
  <c r="F58" i="15"/>
  <c r="H7" i="35"/>
  <c r="U7" i="35" s="1"/>
  <c r="B40" i="1"/>
  <c r="E65" i="40"/>
  <c r="D67" i="40"/>
  <c r="AC7" i="33"/>
  <c r="V48" i="33" s="1"/>
  <c r="I48" i="33" s="1"/>
  <c r="W7" i="33"/>
  <c r="S7" i="34"/>
  <c r="J7" i="37"/>
  <c r="W7" i="21"/>
  <c r="AC7" i="21"/>
  <c r="D72" i="39"/>
  <c r="E70" i="39"/>
  <c r="U7" i="34"/>
  <c r="H7" i="33"/>
  <c r="F7" i="33"/>
  <c r="J46" i="36"/>
  <c r="J7" i="35"/>
  <c r="F7" i="35"/>
  <c r="H7" i="37"/>
  <c r="F7" i="37"/>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3" i="65"/>
  <c r="C19" i="44"/>
  <c r="C17" i="15"/>
  <c r="M7" i="1" l="1"/>
  <c r="O7" i="1" s="1"/>
  <c r="P7" i="1" s="1"/>
  <c r="H16" i="1"/>
  <c r="Q16" i="1"/>
  <c r="AP16" i="1"/>
  <c r="F22" i="11" s="1"/>
  <c r="V48" i="21"/>
  <c r="I48" i="21" s="1"/>
  <c r="T48" i="21"/>
  <c r="G48" i="21" s="1"/>
  <c r="R48" i="21"/>
  <c r="K27" i="6"/>
  <c r="M21" i="6"/>
  <c r="I21" i="6" s="1"/>
  <c r="S21" i="6" s="1"/>
  <c r="S8" i="1"/>
  <c r="M20" i="6"/>
  <c r="I20" i="6" s="1"/>
  <c r="S20" i="6" s="1"/>
  <c r="S7" i="1"/>
  <c r="S16" i="1" s="1"/>
  <c r="E115" i="46"/>
  <c r="F115" i="46" s="1"/>
  <c r="G115" i="46" s="1"/>
  <c r="H115" i="46" s="1"/>
  <c r="C16" i="12"/>
  <c r="F17" i="11"/>
  <c r="C17" i="11" s="1"/>
  <c r="C19" i="11" s="1"/>
  <c r="C20" i="11" s="1"/>
  <c r="C21" i="11" s="1"/>
  <c r="C14" i="59"/>
  <c r="D15" i="59"/>
  <c r="V9" i="59"/>
  <c r="F8" i="59"/>
  <c r="F7" i="59" s="1"/>
  <c r="C7" i="66"/>
  <c r="C8" i="66"/>
  <c r="AC7" i="34"/>
  <c r="V49" i="34" s="1"/>
  <c r="I49" i="34" s="1"/>
  <c r="C33" i="59"/>
  <c r="D32" i="59"/>
  <c r="C23" i="59"/>
  <c r="D23" i="59" s="1"/>
  <c r="D24"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AA7" i="33"/>
  <c r="R48" i="33" s="1"/>
  <c r="S7" i="33"/>
  <c r="F70" i="39"/>
  <c r="E72" i="39"/>
  <c r="G52" i="21"/>
  <c r="H52"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2" i="11" l="1"/>
  <c r="C23" i="11" s="1"/>
  <c r="B2" i="11" s="1"/>
  <c r="F21" i="43"/>
  <c r="F33" i="12"/>
  <c r="C34" i="12" s="1"/>
  <c r="D33" i="12" s="1"/>
  <c r="G43" i="35"/>
  <c r="H43" i="35" s="1"/>
  <c r="G53" i="21"/>
  <c r="H53" i="21" s="1"/>
  <c r="R49" i="21"/>
  <c r="C49" i="21" s="1"/>
  <c r="B3" i="21" s="1"/>
  <c r="E48" i="21"/>
  <c r="E53" i="21" s="1"/>
  <c r="F53" i="21" s="1"/>
  <c r="D113" i="46"/>
  <c r="D33" i="59"/>
  <c r="T33" i="59"/>
  <c r="C13" i="59"/>
  <c r="D14"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R43" i="37"/>
  <c r="E42" i="37"/>
  <c r="E54" i="34"/>
  <c r="F54" i="34" s="1"/>
  <c r="E53" i="34"/>
  <c r="F53" i="34" s="1"/>
  <c r="I54" i="34"/>
  <c r="J54" i="34" s="1"/>
  <c r="C48" i="21"/>
  <c r="I46" i="37"/>
  <c r="J46" i="37" s="1"/>
  <c r="I47" i="37"/>
  <c r="J47"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C16" i="44"/>
  <c r="C14" i="15"/>
  <c r="F7" i="67"/>
  <c r="B4" i="11" l="1"/>
  <c r="B5" i="11"/>
  <c r="H19" i="6"/>
  <c r="F40" i="39"/>
  <c r="J40" i="39"/>
  <c r="H40" i="39"/>
  <c r="B2" i="21"/>
  <c r="C10" i="12" s="1"/>
  <c r="C8" i="12"/>
  <c r="E52" i="21"/>
  <c r="F52" i="21" s="1"/>
  <c r="I53" i="21"/>
  <c r="J53" i="21" s="1"/>
  <c r="E6" i="3"/>
  <c r="C12" i="59"/>
  <c r="T13" i="59"/>
  <c r="D13" i="59"/>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D30" i="6" l="1"/>
  <c r="AC40" i="39"/>
  <c r="W40" i="39"/>
  <c r="AB40" i="39"/>
  <c r="U40" i="39"/>
  <c r="AA40" i="39"/>
  <c r="S40" i="39"/>
  <c r="H27" i="6"/>
  <c r="C11" i="59"/>
  <c r="D12" i="59"/>
  <c r="R24" i="6"/>
  <c r="R26" i="6"/>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5" i="40"/>
  <c r="H67" i="40"/>
  <c r="H72" i="39"/>
  <c r="I70" i="39"/>
  <c r="N46" i="36"/>
  <c r="E3" i="67"/>
  <c r="B2" i="67"/>
  <c r="D4" i="46"/>
  <c r="B3" i="46"/>
  <c r="B4" i="46"/>
  <c r="M23" i="44"/>
  <c r="F37" i="44"/>
  <c r="F35" i="15"/>
  <c r="M21" i="15"/>
  <c r="R27" i="6" l="1"/>
  <c r="C10" i="59"/>
  <c r="D11" i="59"/>
  <c r="I6" i="6"/>
  <c r="I5" i="6"/>
  <c r="J22" i="44"/>
  <c r="J20" i="15"/>
  <c r="F62" i="15"/>
  <c r="C61" i="15" s="1"/>
  <c r="C34" i="15"/>
  <c r="C36" i="44"/>
  <c r="R16" i="1"/>
  <c r="C18" i="43"/>
  <c r="C18" i="12"/>
  <c r="C23" i="12" s="1"/>
  <c r="O46" i="36"/>
  <c r="J7" i="36" s="1"/>
  <c r="H7" i="36"/>
  <c r="J65" i="40"/>
  <c r="I67" i="40"/>
  <c r="J70" i="39"/>
  <c r="I72" i="39"/>
  <c r="B3" i="67"/>
  <c r="B4" i="67"/>
  <c r="D10" i="59" l="1"/>
  <c r="C9" i="59"/>
  <c r="F7" i="36"/>
  <c r="AA7" i="36" s="1"/>
  <c r="R36" i="36" s="1"/>
  <c r="C19" i="43"/>
  <c r="K70" i="39"/>
  <c r="J72" i="39"/>
  <c r="U7" i="36"/>
  <c r="AB7" i="36"/>
  <c r="T36" i="36" s="1"/>
  <c r="G36" i="36" s="1"/>
  <c r="AC7" i="36"/>
  <c r="V36" i="36" s="1"/>
  <c r="I36" i="36" s="1"/>
  <c r="W7" i="36"/>
  <c r="J67" i="40"/>
  <c r="K65" i="40"/>
  <c r="S7" i="36" l="1"/>
  <c r="T9" i="59"/>
  <c r="D9" i="59"/>
  <c r="C8" i="59"/>
  <c r="C21" i="43"/>
  <c r="R37" i="36"/>
  <c r="E36" i="36"/>
  <c r="K67" i="40"/>
  <c r="L65" i="40"/>
  <c r="G41" i="36"/>
  <c r="H41" i="36" s="1"/>
  <c r="G40" i="36"/>
  <c r="H40" i="36" s="1"/>
  <c r="I40" i="36"/>
  <c r="J40" i="36" s="1"/>
  <c r="I41" i="36"/>
  <c r="J41" i="36" s="1"/>
  <c r="L70" i="39"/>
  <c r="K72" i="39"/>
  <c r="C7" i="59" l="1"/>
  <c r="D8" i="59"/>
  <c r="L72" i="39"/>
  <c r="M70" i="39"/>
  <c r="M65" i="40"/>
  <c r="L67" i="40"/>
  <c r="E40" i="36"/>
  <c r="F40" i="36" s="1"/>
  <c r="E41" i="36"/>
  <c r="F41" i="36" s="1"/>
  <c r="C37" i="36"/>
  <c r="B3" i="36" s="1"/>
  <c r="C36" i="36"/>
  <c r="B2" i="36" l="1"/>
  <c r="D10" i="12" s="1"/>
  <c r="D8" i="12"/>
  <c r="C6" i="59"/>
  <c r="D7" i="59"/>
  <c r="N65" i="40"/>
  <c r="N67" i="40" s="1"/>
  <c r="M67" i="40"/>
  <c r="N70" i="39"/>
  <c r="N72" i="39" s="1"/>
  <c r="M72" i="39"/>
  <c r="C5" i="59" l="1"/>
  <c r="T6" i="59"/>
  <c r="D6" i="59"/>
  <c r="J9" i="40"/>
  <c r="H9" i="40"/>
  <c r="F9" i="40"/>
  <c r="J9" i="39"/>
  <c r="H9" i="39"/>
  <c r="F9" i="39"/>
  <c r="T5" i="59" l="1"/>
  <c r="D5" i="59"/>
  <c r="M20"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B3" i="15" s="1"/>
  <c r="C43" i="15"/>
  <c r="Q48" i="15"/>
  <c r="Q54" i="15" s="1"/>
  <c r="Q58" i="15"/>
  <c r="Q63" i="15" s="1"/>
  <c r="L52" i="44"/>
  <c r="L58" i="44" s="1"/>
  <c r="L61" i="44" s="1"/>
  <c r="B3" i="44"/>
  <c r="B5" i="44"/>
  <c r="B4" i="44"/>
  <c r="Q69" i="44" l="1"/>
  <c r="Q59" i="44"/>
  <c r="Q64" i="44" s="1"/>
  <c r="Q68" i="44"/>
  <c r="Q77" i="44" s="1"/>
  <c r="B2" i="35" l="1"/>
  <c r="B3" i="35" l="1"/>
  <c r="E8" i="12" s="1"/>
  <c r="E10" i="12"/>
  <c r="C6" i="12" s="1"/>
  <c r="C29" i="12" l="1"/>
  <c r="C24" i="12"/>
  <c r="C35" i="12" l="1"/>
  <c r="C33" i="12" s="1"/>
  <c r="C28" i="12"/>
  <c r="C26" i="12" s="1"/>
  <c r="C31" i="12" s="1"/>
  <c r="C30" i="12" s="1"/>
  <c r="C36" i="12" l="1"/>
  <c r="B2" i="12" s="1"/>
  <c r="B3" i="12" s="1"/>
  <c r="D20" i="9"/>
  <c r="D19" i="9"/>
  <c r="B4" i="12" l="1"/>
  <c r="B5" i="12"/>
  <c r="G19" i="9"/>
  <c r="G22" i="9" s="1"/>
  <c r="D22" i="9"/>
  <c r="L44" i="9"/>
  <c r="G20" i="9"/>
  <c r="N43" i="9"/>
  <c r="D21" i="9"/>
  <c r="C32" i="9" l="1"/>
  <c r="C42" i="9" s="1"/>
  <c r="G21" i="9"/>
  <c r="K20" i="9" l="1"/>
  <c r="O38" i="9"/>
  <c r="K26" i="9" s="1"/>
  <c r="C35" i="9"/>
  <c r="F42" i="9" s="1"/>
  <c r="O43" i="9"/>
  <c r="C34" i="9"/>
  <c r="M38" i="9" s="1"/>
  <c r="K27" i="9" s="1"/>
  <c r="C33" i="9"/>
  <c r="D42" i="9" s="1"/>
  <c r="Q5" i="54" s="1"/>
  <c r="B47" i="63" s="1"/>
  <c r="E42" i="9"/>
  <c r="P5" i="54" s="1"/>
  <c r="B46" i="63" s="1"/>
  <c r="C44" i="9"/>
  <c r="N68" i="9"/>
  <c r="D63" i="9"/>
  <c r="D14" i="66"/>
  <c r="R5" i="54"/>
  <c r="B48" i="63" s="1"/>
  <c r="K25" i="9" l="1"/>
  <c r="N38" i="9"/>
  <c r="K28" i="9" s="1"/>
  <c r="C111" i="9"/>
  <c r="C104" i="9" s="1"/>
  <c r="D70" i="9"/>
  <c r="D73" i="9"/>
  <c r="N73" i="9" s="1"/>
  <c r="C103" i="9"/>
  <c r="C82" i="9"/>
  <c r="C81" i="9" s="1"/>
  <c r="C85" i="9" s="1"/>
  <c r="C86" i="9" s="1"/>
  <c r="D72" i="9" s="1"/>
  <c r="D71" i="9"/>
  <c r="D66" i="9" s="1"/>
  <c r="N72" i="9" s="1"/>
  <c r="C96" i="9"/>
  <c r="C91" i="9" s="1"/>
  <c r="C90" i="9"/>
  <c r="E14" i="66"/>
  <c r="F14" i="66"/>
  <c r="B5" i="66"/>
  <c r="O39" i="9"/>
  <c r="G14" i="66"/>
  <c r="B6" i="66" s="1"/>
  <c r="E44" i="9"/>
  <c r="D44" i="9"/>
  <c r="N69" i="9"/>
  <c r="F44" i="9"/>
  <c r="C6" i="66" l="1"/>
  <c r="D6" i="66"/>
  <c r="M85" i="9"/>
  <c r="N85" i="9" s="1"/>
  <c r="M88" i="9"/>
  <c r="N88" i="9" s="1"/>
  <c r="M83" i="9"/>
  <c r="N83" i="9" s="1"/>
  <c r="M86" i="9"/>
  <c r="N86" i="9" s="1"/>
  <c r="M87" i="9"/>
  <c r="N87" i="9" s="1"/>
  <c r="M84" i="9"/>
  <c r="N84" i="9" s="1"/>
  <c r="R6" i="54"/>
  <c r="B50" i="63" s="1"/>
  <c r="K29" i="9"/>
  <c r="K30" i="9" s="1"/>
  <c r="C97" i="9"/>
  <c r="C113" i="9"/>
  <c r="D5" i="66"/>
  <c r="C5" i="66"/>
  <c r="C98" i="9" l="1"/>
  <c r="E98" i="9" s="1"/>
  <c r="E99" i="9" s="1"/>
  <c r="C114" i="9"/>
  <c r="E114" i="9" s="1"/>
  <c r="E115" i="9" s="1"/>
  <c r="N89" i="9"/>
  <c r="O8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<sst xmlns="http://schemas.openxmlformats.org/spreadsheetml/2006/main" count="7609" uniqueCount="3358">
  <si>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</si>
  <si>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</si>
  <si>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</si>
  <si>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</si>
  <si>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</si>
  <si>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</si>
  <si>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</si>
  <si>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</si>
  <si>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</si>
  <si>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</si>
  <si>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</si>
  <si>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</si>
  <si>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</si>
  <si>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</si>
  <si>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</si>
  <si>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</si>
  <si>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</si>
  <si>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</si>
  <si>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</si>
  <si>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</si>
  <si>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</si>
  <si>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</si>
  <si>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</si>
  <si>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</si>
  <si>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</si>
  <si>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</si>
  <si>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</si>
  <si>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</si>
  <si>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</si>
  <si>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</si>
  <si>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</si>
  <si>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</si>
  <si>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</si>
  <si>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</si>
  <si>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</si>
  <si>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</si>
  <si>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</si>
  <si>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</si>
  <si>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</si>
  <si>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</si>
  <si>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</si>
  <si>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</si>
  <si>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</si>
  <si>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</si>
  <si>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</si>
  <si>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</si>
  <si>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</si>
  <si>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</si>
  <si>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</si>
  <si>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</si>
  <si>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</si>
  <si>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</si>
  <si>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</si>
  <si>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</si>
  <si>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</si>
  <si>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</si>
  <si>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</si>
  <si>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</si>
  <si>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</si>
  <si>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</si>
  <si>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</si>
  <si>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</si>
  <si>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</si>
  <si>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</si>
  <si>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</si>
  <si>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</si>
  <si>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</si>
  <si>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</si>
  <si>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</si>
  <si>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</si>
  <si>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</si>
  <si>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</si>
  <si>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</si>
  <si>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</si>
  <si>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</si>
  <si>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</si>
  <si>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</si>
  <si>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</si>
  <si>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</si>
  <si>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</si>
  <si>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</si>
  <si>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</si>
  <si>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</si>
  <si>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</si>
  <si>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</si>
  <si>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</si>
  <si>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</si>
  <si>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</si>
  <si>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</si>
  <si>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</si>
  <si>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</si>
  <si>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</si>
  <si>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</si>
  <si>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</si>
  <si>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</si>
  <si>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</si>
  <si>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</si>
  <si>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</si>
  <si>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</si>
  <si>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</si>
  <si>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</si>
  <si>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</si>
  <si>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</si>
  <si>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</si>
  <si>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</si>
  <si>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</si>
  <si>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</si>
  <si>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</si>
  <si>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</si>
  <si>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</si>
  <si>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</si>
  <si>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</si>
  <si>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</si>
  <si>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</si>
  <si>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</si>
  <si>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</si>
  <si>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</si>
  <si>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</si>
  <si>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</si>
  <si>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</si>
  <si>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</si>
  <si>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</si>
  <si>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</si>
  <si>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</si>
  <si>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</si>
  <si>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</si>
  <si>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</si>
  <si>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</si>
  <si>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</si>
  <si>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</si>
  <si>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</si>
  <si>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</si>
  <si>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</si>
  <si>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</si>
  <si>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</si>
  <si>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</si>
  <si>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</si>
  <si>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</si>
  <si>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</si>
  <si>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</si>
  <si>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</si>
  <si>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</si>
  <si>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</si>
  <si>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</si>
  <si>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</si>
  <si>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</si>
  <si>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</si>
  <si>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</si>
  <si>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</si>
  <si>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</si>
  <si>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</si>
  <si>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</si>
  <si>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</si>
  <si>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</si>
  <si>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</si>
  <si>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</si>
  <si>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</si>
  <si>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</si>
  <si>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</si>
  <si>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</si>
  <si>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</si>
  <si>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</si>
  <si>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</si>
  <si>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</si>
  <si>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</si>
  <si>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</si>
  <si>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</si>
  <si>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</si>
  <si>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</si>
  <si>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</si>
  <si>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</si>
  <si>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</si>
  <si>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</si>
  <si>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</si>
  <si>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</si>
  <si>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</si>
  <si>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</si>
  <si>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</si>
  <si>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</si>
  <si>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</si>
  <si>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</si>
  <si>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</si>
  <si>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</si>
  <si>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</si>
  <si>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</si>
  <si>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</si>
  <si>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</si>
  <si>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</si>
  <si>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</si>
  <si>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</si>
  <si>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</si>
  <si>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</si>
  <si>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</si>
  <si>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</si>
  <si>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</si>
  <si>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</si>
  <si>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</si>
  <si>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</si>
  <si>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</si>
  <si>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</si>
  <si>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</si>
  <si>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</si>
  <si>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</si>
  <si>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</si>
  <si>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</si>
  <si>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</si>
  <si>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</si>
  <si>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</si>
  <si>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</si>
  <si>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</si>
  <si>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</si>
  <si>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</si>
  <si>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</si>
  <si>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</si>
  <si>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</si>
  <si>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</si>
  <si>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</si>
  <si>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</si>
  <si>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</si>
  <si>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</si>
  <si>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</si>
  <si>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</si>
  <si>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</si>
  <si>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</si>
  <si>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</si>
  <si>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</si>
  <si>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</si>
  <si>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</si>
  <si>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</si>
  <si>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</si>
  <si>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</si>
  <si>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</si>
  <si>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</si>
  <si>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</si>
  <si>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</si>
  <si>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</si>
  <si>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</si>
  <si>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</si>
  <si>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</si>
  <si>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</si>
  <si>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</si>
  <si>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</si>
  <si>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</si>
  <si>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</si>
  <si>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</si>
  <si>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</si>
  <si>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</si>
  <si>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</si>
  <si>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</si>
  <si>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</si>
  <si>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</si>
  <si>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</si>
  <si>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</si>
  <si>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</si>
  <si>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</si>
  <si>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</si>
  <si>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</si>
  <si>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</si>
  <si>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</si>
  <si>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</si>
  <si>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</si>
  <si>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</si>
  <si>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</si>
  <si>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</si>
  <si>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</si>
  <si>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</si>
  <si>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</si>
  <si>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</si>
  <si>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</si>
  <si>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</si>
  <si>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</si>
  <si>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</si>
  <si>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</si>
  <si>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</si>
  <si>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</si>
  <si>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</si>
  <si>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</si>
  <si>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</si>
  <si>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</si>
  <si>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</si>
  <si>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</si>
  <si>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</si>
  <si>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</si>
  <si>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</si>
  <si>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</si>
  <si>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</si>
  <si>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</si>
  <si>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</si>
  <si>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</si>
  <si>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</si>
  <si>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</si>
  <si>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</si>
  <si>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</si>
  <si>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</si>
  <si>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</si>
  <si>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</si>
  <si>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</si>
  <si>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</si>
  <si>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</si>
  <si>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</si>
  <si>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</si>
  <si>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</si>
  <si>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</si>
  <si>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</si>
  <si>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</si>
  <si>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</si>
  <si>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</si>
  <si>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</si>
  <si>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</si>
  <si>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</si>
  <si>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</si>
  <si>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</si>
  <si>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</si>
  <si>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</si>
  <si>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</si>
  <si>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</si>
  <si>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</si>
  <si>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</si>
  <si>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</si>
  <si>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</si>
  <si>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</si>
  <si>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</si>
  <si>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</si>
  <si>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</si>
  <si>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</si>
  <si>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</si>
  <si>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</si>
  <si>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</si>
  <si>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</si>
  <si>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</si>
  <si>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</si>
  <si>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</si>
  <si>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</si>
  <si>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</si>
  <si>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</si>
  <si>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</si>
  <si>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</si>
  <si>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</si>
  <si>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</si>
  <si>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</si>
  <si>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</si>
  <si>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</si>
  <si>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</si>
  <si>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</si>
  <si>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</si>
  <si>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</si>
  <si>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</si>
  <si>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</si>
  <si>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</si>
  <si>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</si>
  <si>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</si>
  <si>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</si>
  <si>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</si>
  <si>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</si>
  <si>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</si>
  <si>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</si>
  <si>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</si>
  <si>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</si>
  <si>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</si>
  <si>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</si>
  <si>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</si>
  <si>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</si>
  <si>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</si>
  <si>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</si>
  <si>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</si>
  <si>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</si>
  <si>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</si>
  <si>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</si>
  <si>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</si>
  <si>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</si>
  <si>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</si>
  <si>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</si>
  <si>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</si>
  <si>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</si>
  <si>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</si>
  <si>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</si>
  <si>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</si>
  <si>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</si>
  <si>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</si>
  <si>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</si>
  <si>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</si>
  <si>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</si>
  <si>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</si>
  <si>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</si>
  <si>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</si>
  <si>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</si>
  <si>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</si>
  <si>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</si>
  <si>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</si>
  <si>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</si>
  <si>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</si>
  <si>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</si>
  <si>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</si>
  <si>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</si>
  <si>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</si>
  <si>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</si>
  <si>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</si>
  <si>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</si>
  <si>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</si>
  <si>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</si>
  <si>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</si>
  <si>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</si>
  <si>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</si>
  <si>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</si>
  <si>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</si>
  <si>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</si>
  <si>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</si>
  <si>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</si>
  <si>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</si>
  <si>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</si>
  <si>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</si>
  <si>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</si>
  <si>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</si>
  <si>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</si>
  <si>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</si>
  <si>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</si>
  <si>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</si>
  <si>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</si>
  <si>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</si>
  <si>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</si>
  <si>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</si>
  <si>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</si>
  <si>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</si>
  <si>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</si>
  <si>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</si>
  <si>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</si>
  <si>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</si>
  <si>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</si>
  <si>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</si>
  <si>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</si>
  <si>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</si>
  <si>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</si>
  <si>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</si>
  <si>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</si>
  <si>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</si>
  <si>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</si>
  <si>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</si>
  <si>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</si>
  <si>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</si>
  <si>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</si>
  <si>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</si>
  <si>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</si>
  <si>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</si>
  <si>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</si>
  <si>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</si>
  <si>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</si>
  <si>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</si>
  <si>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</si>
  <si>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</si>
  <si>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</si>
  <si>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</si>
  <si>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</si>
  <si>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</si>
  <si>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</si>
  <si>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</si>
  <si>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</si>
  <si>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</si>
  <si>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</si>
  <si>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</si>
  <si>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</si>
  <si>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</si>
  <si>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</si>
  <si>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</si>
  <si>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</si>
  <si>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</si>
  <si>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</si>
  <si>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</si>
  <si>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</si>
  <si>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</si>
  <si>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</si>
  <si>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</si>
  <si>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</si>
  <si>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</si>
  <si>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</si>
  <si>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</si>
  <si>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</si>
  <si>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</si>
  <si>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</si>
  <si>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</si>
  <si>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</si>
  <si>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</si>
  <si>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</si>
  <si>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</si>
  <si>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</si>
  <si>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</si>
  <si>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</si>
  <si>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</si>
  <si>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</si>
  <si>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</si>
  <si>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</si>
  <si>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</si>
  <si>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</si>
  <si>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</si>
  <si>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</si>
  <si>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</si>
  <si>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</si>
  <si>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</si>
  <si>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</si>
  <si>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</si>
  <si>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</si>
  <si>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</si>
  <si>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</si>
  <si>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</si>
  <si>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</si>
  <si>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</si>
  <si>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</si>
  <si>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</si>
  <si>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</si>
  <si>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</si>
  <si>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</si>
  <si>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</si>
  <si>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</si>
  <si>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</si>
  <si>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</si>
  <si>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</si>
  <si>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</si>
  <si>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</si>
  <si>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</si>
  <si>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</si>
  <si>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</si>
  <si>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</si>
  <si>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</si>
  <si>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</si>
  <si>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</si>
  <si>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</si>
  <si>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</si>
  <si>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</si>
  <si>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</si>
  <si>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</si>
  <si>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</si>
  <si>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</si>
  <si>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</si>
  <si>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</si>
  <si>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</si>
  <si>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</si>
  <si>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</si>
  <si>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</si>
  <si>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</si>
  <si>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</si>
  <si>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</si>
  <si>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</si>
  <si>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</si>
  <si>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</si>
  <si>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</si>
  <si>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</si>
  <si>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</si>
  <si>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</si>
  <si>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</si>
  <si>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</si>
  <si>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</si>
  <si>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</si>
  <si>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</si>
  <si>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</si>
  <si>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</si>
  <si>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</si>
  <si>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</si>
  <si>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</si>
  <si>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</si>
  <si>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</si>
  <si>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</si>
  <si>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</si>
  <si>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</si>
  <si>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</si>
  <si>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</si>
  <si>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</si>
  <si>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</si>
  <si>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</si>
  <si>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</si>
  <si>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</si>
  <si>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</si>
  <si>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</si>
  <si>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</si>
  <si>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</si>
  <si>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</si>
  <si>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</si>
  <si>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</si>
  <si>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</si>
  <si>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</si>
  <si>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</si>
  <si>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</si>
  <si>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</si>
  <si>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</si>
  <si>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</si>
  <si>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</si>
  <si>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</si>
  <si>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</si>
  <si>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</si>
  <si>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</si>
  <si>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</si>
  <si>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</si>
  <si>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</si>
  <si>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</si>
  <si>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</si>
  <si>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</si>
  <si>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</si>
  <si>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</si>
  <si>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</si>
  <si>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</si>
  <si>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</si>
  <si>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</si>
  <si>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</si>
  <si>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</si>
  <si>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</si>
  <si>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</si>
  <si>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</si>
  <si>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</si>
  <si>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</si>
  <si>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</si>
  <si>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</si>
  <si>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</si>
  <si>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</si>
  <si>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</si>
  <si>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</si>
  <si>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</si>
  <si>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</si>
  <si>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</si>
  <si>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</si>
  <si>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</si>
  <si>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</si>
  <si>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</si>
  <si>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</si>
  <si>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</si>
  <si>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</si>
  <si>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</si>
  <si>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</si>
  <si>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</si>
  <si>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</si>
  <si>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</si>
  <si>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</si>
  <si>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</si>
  <si>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</si>
  <si>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</si>
  <si>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</si>
  <si>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</si>
  <si>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</si>
  <si>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</si>
  <si>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</si>
  <si>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</si>
  <si>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</si>
  <si>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</si>
  <si>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</si>
  <si>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</si>
  <si>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</si>
  <si>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</si>
  <si>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</si>
  <si>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</si>
  <si>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</si>
  <si>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</si>
  <si>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</si>
  <si>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</si>
  <si>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</si>
  <si>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</si>
  <si>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</si>
  <si>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</si>
  <si>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</si>
  <si>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</si>
  <si>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</si>
  <si>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</si>
  <si>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</si>
  <si>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</si>
  <si>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</si>
  <si>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</si>
  <si>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</si>
  <si>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</si>
  <si>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</si>
  <si>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</si>
  <si>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</si>
  <si>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</si>
  <si>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</si>
  <si>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</si>
  <si>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</si>
  <si>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</si>
  <si>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</si>
  <si>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</si>
  <si>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</si>
  <si>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</si>
  <si>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</si>
  <si>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</si>
  <si>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</si>
  <si>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</si>
  <si>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</si>
  <si>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</si>
  <si>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</si>
  <si>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</si>
  <si>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</si>
  <si>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</si>
  <si>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</si>
  <si>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</si>
  <si>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</si>
  <si>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</si>
  <si>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</si>
  <si>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</si>
  <si>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</si>
  <si>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</si>
  <si>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</si>
  <si>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</si>
  <si>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</si>
  <si>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</si>
  <si>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</si>
  <si>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</si>
  <si>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</si>
  <si>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</si>
  <si>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</si>
  <si>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</si>
  <si>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</si>
  <si>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</si>
  <si>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</si>
  <si>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</si>
  <si>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</si>
  <si>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</si>
  <si>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</si>
  <si>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</si>
  <si>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</si>
  <si>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</si>
  <si>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</si>
  <si>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</si>
  <si>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</si>
  <si>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</si>
  <si>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</si>
  <si>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</si>
  <si>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</si>
  <si>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</si>
  <si>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</si>
  <si>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</si>
  <si>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</si>
  <si>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</si>
  <si>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</si>
  <si>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</si>
  <si>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</si>
  <si>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</si>
  <si>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</si>
  <si>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</si>
  <si>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</si>
  <si>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</si>
  <si>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</si>
  <si>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</si>
  <si>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</si>
  <si>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</si>
  <si>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</si>
  <si>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</si>
  <si>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</si>
  <si>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</si>
  <si>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</si>
  <si>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</si>
  <si>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</si>
  <si>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</si>
  <si>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</si>
  <si>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</si>
  <si>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</si>
  <si>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</si>
  <si>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</si>
  <si>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</si>
  <si>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</si>
  <si>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</si>
  <si>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</si>
  <si>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</si>
  <si>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</si>
  <si>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</si>
  <si>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</si>
  <si>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</si>
  <si>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</si>
  <si>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</si>
  <si>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</si>
  <si>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</si>
  <si>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</si>
  <si>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</si>
  <si>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</si>
  <si>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</si>
  <si>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</si>
  <si>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</si>
  <si>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</si>
  <si>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</si>
  <si>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</si>
  <si>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</si>
  <si>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</si>
  <si>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</si>
  <si>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</si>
  <si>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</si>
  <si>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</si>
  <si>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</si>
  <si>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</si>
  <si>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</si>
  <si>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</si>
  <si>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</si>
  <si>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</si>
  <si>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</si>
  <si>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</si>
  <si>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</si>
  <si>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</si>
  <si>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</si>
  <si>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</si>
  <si>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</si>
  <si>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</si>
  <si>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</si>
  <si>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</si>
  <si>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</si>
  <si>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</si>
  <si>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</si>
  <si>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</si>
  <si>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</si>
  <si>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</si>
  <si>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</si>
  <si>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</si>
  <si>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</si>
  <si>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</si>
  <si>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</si>
  <si>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</si>
  <si>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</si>
  <si>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</si>
  <si>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</si>
  <si>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</si>
  <si>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</si>
  <si>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</si>
  <si>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</si>
  <si>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</si>
  <si>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</si>
  <si>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</si>
  <si>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</si>
  <si>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</si>
  <si>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</si>
  <si>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</si>
  <si>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</si>
  <si>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</si>
  <si>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</si>
  <si>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</si>
  <si>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</si>
  <si>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</si>
  <si>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</si>
  <si>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</si>
  <si>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</si>
  <si>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</si>
  <si>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</si>
  <si>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</si>
  <si>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</si>
  <si>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</si>
  <si>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</si>
  <si>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</si>
  <si>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</si>
  <si>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</si>
  <si>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</si>
  <si>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</si>
  <si>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</si>
  <si>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</si>
  <si>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</si>
  <si>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</si>
  <si>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</si>
  <si>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</si>
  <si>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</si>
  <si>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</si>
  <si>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</si>
  <si>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</si>
  <si>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</si>
  <si>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</si>
  <si>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</si>
  <si>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</si>
  <si>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</si>
  <si>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</si>
  <si>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</si>
  <si>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</si>
  <si>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</si>
  <si>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</si>
  <si>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</si>
  <si>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</si>
  <si>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</si>
  <si>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</si>
  <si>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</si>
  <si>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</si>
  <si>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</si>
  <si>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</si>
  <si>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</si>
  <si>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</si>
  <si>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</si>
  <si>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</si>
  <si>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</si>
  <si>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</si>
  <si>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</si>
  <si>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</si>
  <si>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</si>
  <si>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</si>
  <si>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</si>
  <si>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</si>
  <si>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</si>
  <si>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</si>
  <si>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</si>
  <si>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</si>
  <si>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</si>
  <si>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</si>
  <si>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</si>
  <si>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</si>
  <si>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</si>
  <si>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</si>
  <si>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</si>
  <si>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</si>
  <si>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</si>
  <si>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</si>
  <si>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</si>
  <si>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</si>
  <si>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</si>
  <si>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</si>
  <si>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</si>
  <si>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</si>
  <si>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</si>
  <si>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</si>
  <si>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</si>
  <si>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</si>
  <si>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</si>
  <si>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</si>
  <si>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</si>
  <si>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</si>
  <si>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</si>
  <si>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</si>
  <si>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</si>
  <si>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</si>
  <si>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</si>
  <si>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</si>
  <si>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</si>
  <si>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</si>
  <si>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</si>
  <si>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</si>
  <si>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</si>
  <si>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</si>
  <si>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</si>
  <si>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</si>
  <si>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</si>
  <si>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</si>
  <si>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</si>
  <si>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</si>
  <si>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</si>
  <si>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</si>
  <si>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</si>
  <si>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</si>
  <si>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</si>
  <si>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</si>
  <si>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</si>
  <si>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</si>
  <si>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</si>
  <si>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</si>
  <si>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</si>
  <si>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</si>
  <si>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</si>
  <si>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</si>
  <si>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</si>
  <si>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</si>
  <si>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</si>
  <si>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</si>
  <si>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</si>
  <si>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</si>
  <si>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</si>
  <si>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</si>
  <si>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</si>
  <si>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</si>
  <si>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</si>
  <si>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</si>
  <si>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</si>
  <si>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</si>
  <si>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</si>
  <si>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</si>
  <si>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</si>
  <si>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</si>
  <si>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</si>
  <si>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</si>
  <si>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</si>
  <si>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</si>
  <si>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</si>
  <si>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</si>
  <si>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</si>
  <si>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</si>
  <si>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</si>
  <si>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</si>
  <si>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</si>
  <si>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</si>
  <si>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</si>
  <si>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</si>
  <si>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</si>
  <si>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</si>
  <si>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</si>
  <si>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</si>
  <si>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</si>
  <si>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</si>
  <si>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</si>
  <si>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</si>
  <si>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</si>
  <si>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</si>
  <si>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</si>
  <si>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</si>
  <si>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</si>
  <si>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</si>
  <si>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</si>
  <si>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</si>
  <si>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</si>
  <si>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</si>
  <si>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</si>
  <si>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</si>
  <si>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</si>
  <si>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</si>
  <si>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</si>
  <si>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</si>
  <si>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</si>
  <si>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</si>
  <si>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</si>
  <si>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</si>
  <si>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</si>
  <si>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</si>
  <si>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</si>
  <si>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</si>
  <si>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</si>
  <si>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</si>
  <si>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</si>
  <si>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</si>
  <si>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</si>
  <si>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</si>
  <si>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</si>
  <si>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</si>
  <si>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</si>
  <si>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</si>
  <si>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</si>
  <si>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</si>
  <si>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</si>
  <si>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</si>
  <si>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</si>
  <si>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</si>
  <si>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</si>
  <si>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</si>
  <si>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</si>
  <si>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</si>
  <si>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</si>
  <si>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</si>
  <si>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</si>
  <si>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</si>
  <si>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</si>
  <si>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</si>
  <si>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</si>
  <si>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</si>
  <si>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</si>
  <si>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</si>
  <si>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</si>
  <si>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</si>
  <si>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</si>
  <si>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</si>
  <si>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</si>
  <si>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</si>
  <si>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</si>
  <si>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</si>
  <si>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</si>
  <si>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</si>
  <si>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</si>
  <si>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</si>
  <si>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</si>
  <si>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</si>
  <si>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</si>
  <si>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</si>
  <si>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</si>
  <si>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</si>
  <si>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</si>
  <si>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</si>
  <si>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</si>
  <si>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</si>
  <si>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</si>
  <si>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</si>
  <si>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</si>
  <si>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</si>
  <si>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</si>
  <si>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</si>
  <si>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</si>
  <si>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</si>
  <si>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</si>
  <si>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</si>
  <si>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</si>
  <si>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</si>
  <si>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</si>
  <si>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</si>
  <si>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</si>
  <si>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</si>
  <si>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</si>
  <si>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</si>
  <si>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</si>
  <si>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</si>
  <si>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</si>
  <si>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</si>
  <si>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</si>
  <si>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</si>
  <si>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</si>
  <si>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</si>
  <si>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</si>
  <si>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</si>
  <si>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</si>
  <si>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</si>
  <si>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</si>
  <si>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</si>
  <si>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</si>
  <si>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</si>
  <si>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</si>
  <si>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</si>
  <si>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</si>
  <si>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</si>
  <si>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</si>
  <si>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</si>
  <si>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</si>
  <si>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</si>
  <si>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</si>
  <si>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</si>
  <si>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</si>
  <si>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</si>
  <si>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</si>
  <si>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</si>
  <si>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</si>
  <si>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</si>
  <si>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</si>
  <si>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</si>
  <si>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</si>
  <si>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</si>
  <si>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</si>
  <si>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</si>
  <si>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</si>
  <si>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</si>
  <si>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</si>
  <si>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</si>
  <si>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</si>
  <si>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</si>
  <si>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</si>
  <si>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</si>
  <si>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</si>
  <si>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</si>
  <si>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</si>
  <si>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</si>
  <si>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</si>
  <si>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</si>
  <si>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</si>
  <si>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</si>
  <si>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</si>
  <si>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</si>
  <si>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</si>
  <si>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</si>
  <si>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</si>
  <si>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</si>
  <si>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</si>
  <si>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</si>
  <si>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</si>
  <si>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</si>
  <si>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</si>
  <si>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</si>
  <si>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</si>
  <si>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</si>
  <si>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</si>
  <si>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</si>
  <si>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</si>
  <si>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</si>
  <si>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</si>
  <si>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</si>
  <si>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</si>
  <si>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</si>
  <si>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</si>
  <si>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</si>
  <si>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</si>
  <si>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</si>
  <si>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</si>
  <si>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</si>
  <si>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</si>
  <si>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</si>
  <si>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</si>
  <si>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</si>
  <si>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</si>
  <si>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</si>
  <si>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</si>
  <si>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</si>
  <si>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</si>
  <si>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</si>
  <si>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</si>
  <si>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</si>
  <si>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</si>
  <si>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</si>
  <si>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</si>
  <si>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</si>
  <si>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</si>
  <si>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</si>
  <si>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</si>
  <si>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</si>
  <si>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</si>
  <si>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</si>
  <si>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</si>
  <si>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</si>
  <si>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</si>
  <si>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</si>
  <si>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</si>
  <si>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</si>
  <si>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</si>
  <si>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</si>
  <si>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</si>
  <si>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</si>
  <si>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</si>
  <si>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</si>
  <si>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</si>
  <si>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</si>
  <si>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</si>
  <si>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</si>
  <si>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</si>
  <si>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</si>
  <si>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</si>
  <si>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</si>
  <si>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</si>
  <si>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</si>
  <si>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</si>
  <si>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</si>
  <si>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</si>
  <si>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</si>
  <si>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</si>
  <si>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</si>
  <si>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</si>
  <si>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</si>
  <si>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</si>
  <si>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</si>
  <si>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</si>
  <si>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</si>
  <si>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</si>
  <si>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</si>
  <si>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</si>
  <si>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</si>
  <si>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</si>
  <si>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</si>
  <si>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</si>
  <si>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</si>
  <si>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</si>
  <si>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</si>
  <si>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</si>
  <si>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</si>
  <si>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</si>
  <si>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</si>
  <si>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</si>
  <si>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</si>
  <si>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</si>
  <si>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</si>
  <si>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</si>
  <si>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</si>
  <si>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</si>
  <si>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</si>
  <si>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</si>
  <si>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</si>
  <si>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</si>
  <si>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</si>
  <si>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</si>
  <si>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</si>
  <si>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</si>
  <si>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</si>
  <si>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</si>
  <si>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</si>
  <si>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</si>
  <si>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</si>
  <si>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</si>
  <si>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</si>
  <si>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</si>
  <si>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</si>
  <si>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</si>
  <si>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</si>
  <si>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</si>
  <si>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</si>
  <si>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</si>
  <si>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</si>
  <si>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</si>
  <si>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</si>
  <si>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</si>
  <si>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</si>
  <si>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</si>
  <si>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</si>
  <si>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</si>
  <si>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</si>
  <si>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</si>
  <si>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</si>
  <si>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</si>
  <si>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</si>
  <si>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</si>
  <si>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</si>
  <si>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</si>
  <si>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</si>
  <si>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</si>
  <si>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</si>
  <si>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</si>
  <si>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</si>
  <si>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</si>
  <si>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</si>
  <si>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</si>
  <si>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</si>
  <si>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</si>
  <si>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</si>
  <si>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</si>
  <si>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</si>
  <si>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</si>
  <si>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</si>
  <si>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</si>
  <si>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</si>
  <si>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</si>
  <si>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</si>
  <si>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</si>
  <si>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</si>
  <si>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</si>
  <si>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</si>
  <si>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</si>
  <si>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</si>
  <si>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</si>
  <si>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</si>
  <si>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</si>
  <si>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</si>
  <si>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</si>
  <si>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</si>
  <si>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</si>
  <si>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</si>
  <si>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</si>
  <si>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</si>
  <si>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</si>
  <si>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</si>
  <si>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</si>
  <si>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</si>
  <si>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</si>
  <si>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</si>
  <si>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</si>
  <si>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</si>
  <si>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</si>
  <si>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</si>
  <si>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</si>
  <si>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</si>
  <si>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</si>
  <si>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</si>
  <si>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</si>
  <si>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</si>
  <si>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</si>
  <si>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</si>
  <si>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</si>
  <si>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</si>
  <si>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</si>
  <si>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</si>
  <si>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</si>
  <si>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</si>
  <si>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</si>
  <si>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</si>
  <si>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</si>
  <si>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</si>
  <si>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</si>
  <si>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</si>
  <si>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</si>
  <si>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</si>
  <si>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</si>
  <si>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</si>
  <si>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</si>
  <si>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</si>
  <si>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</si>
  <si>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</si>
  <si>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</si>
  <si>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</si>
  <si>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</si>
  <si>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</si>
  <si>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</si>
  <si>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</si>
  <si>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</si>
  <si>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</si>
  <si>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</si>
  <si>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</si>
  <si>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</si>
  <si>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</si>
  <si>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</si>
  <si>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</si>
  <si>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</si>
  <si>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</si>
  <si>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</si>
  <si>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</si>
  <si>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</si>
  <si>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</si>
  <si>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</si>
  <si>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</si>
  <si>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</si>
  <si>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</si>
  <si>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</si>
  <si>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</si>
  <si>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</si>
  <si>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</si>
  <si>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</si>
  <si>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</si>
  <si>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</si>
  <si>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</si>
  <si>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</si>
  <si>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</si>
  <si>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</si>
  <si>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</si>
  <si>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</si>
  <si>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</si>
  <si>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</si>
  <si>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</si>
  <si>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</si>
  <si>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</si>
  <si>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</si>
  <si>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</si>
  <si>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</si>
  <si>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</si>
  <si>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</si>
  <si>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</si>
  <si>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</si>
  <si>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</si>
  <si>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</si>
  <si>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</si>
  <si>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</si>
  <si>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</si>
  <si>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</si>
  <si>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</si>
  <si>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</si>
  <si>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</si>
  <si>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</si>
  <si>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</si>
  <si>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</si>
  <si>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</si>
  <si>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</si>
  <si>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</si>
  <si>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</si>
  <si>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</si>
  <si>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</si>
  <si>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</si>
  <si>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</si>
  <si>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</si>
  <si>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</si>
  <si>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</si>
  <si>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</si>
  <si>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</si>
  <si>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</si>
  <si>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</si>
  <si>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</si>
  <si>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</si>
  <si>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</si>
  <si>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</si>
  <si>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</si>
  <si>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</si>
  <si>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</si>
  <si>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</si>
  <si>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</si>
  <si>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</si>
  <si>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</si>
  <si>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</si>
  <si>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</si>
  <si>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</si>
  <si>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</si>
  <si>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</si>
  <si>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</si>
  <si>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</si>
  <si>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</si>
  <si>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</si>
  <si>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</si>
  <si>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</si>
  <si>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</si>
  <si>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</si>
  <si>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</si>
  <si>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</si>
  <si>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</si>
  <si>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</si>
  <si>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</si>
  <si>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</si>
  <si>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</si>
  <si>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</si>
  <si>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</si>
  <si>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</si>
  <si>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</si>
  <si>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</si>
  <si>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</si>
  <si>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</si>
  <si>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</si>
  <si>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</si>
  <si>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</si>
  <si>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</si>
  <si>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</si>
  <si>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</si>
  <si>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</si>
  <si>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</si>
  <si>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</si>
  <si>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</si>
  <si>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</si>
  <si>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</si>
  <si>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</si>
  <si>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</si>
  <si>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</si>
  <si>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</si>
  <si>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</si>
  <si>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</si>
  <si>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</si>
  <si>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</si>
  <si>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</si>
  <si>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</si>
  <si>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</si>
  <si>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</si>
  <si>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</si>
  <si>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</si>
  <si>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</si>
  <si>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</si>
  <si>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</si>
  <si>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</si>
  <si>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</si>
  <si>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</si>
  <si>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</si>
  <si>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</si>
  <si>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</si>
  <si>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</si>
  <si>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</si>
  <si>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</si>
  <si>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</si>
  <si>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</si>
  <si>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</si>
  <si>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</si>
  <si>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</si>
  <si>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</si>
  <si>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</si>
  <si>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</si>
  <si>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</si>
  <si>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</si>
  <si>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</si>
  <si>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</si>
  <si>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</si>
  <si>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</si>
  <si>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</si>
  <si>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</si>
  <si>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</si>
  <si>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</si>
  <si>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</si>
  <si>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</si>
  <si>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</si>
  <si>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</si>
  <si>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</si>
  <si>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</si>
  <si>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</si>
  <si>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</si>
  <si>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</si>
  <si>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</si>
  <si>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</si>
  <si>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</si>
  <si>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</si>
  <si>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</si>
  <si>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</si>
  <si>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</si>
  <si>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</si>
  <si>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</si>
  <si>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</si>
  <si>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</si>
  <si>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</si>
  <si>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</si>
  <si>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</si>
  <si>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</si>
  <si>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</si>
  <si>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</si>
  <si>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</si>
  <si>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</si>
  <si>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</si>
  <si>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</si>
  <si>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</si>
  <si>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</si>
  <si>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</si>
  <si>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</si>
  <si>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</si>
  <si>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</si>
  <si>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</si>
  <si>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</si>
  <si>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</si>
  <si>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</si>
  <si>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</si>
  <si>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</si>
  <si>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</si>
  <si>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</si>
  <si>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</si>
  <si>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</si>
  <si>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</si>
  <si>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</si>
  <si>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</si>
  <si>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</si>
  <si>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</si>
  <si>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</si>
  <si>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</si>
  <si>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</si>
  <si>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</si>
  <si>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</si>
  <si>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</si>
  <si>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</si>
  <si>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</si>
  <si>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</si>
  <si>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</si>
  <si>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</si>
  <si>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</si>
  <si>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</si>
  <si>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</si>
  <si>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</si>
  <si>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</si>
  <si>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</si>
  <si>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</si>
  <si>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</si>
  <si>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</si>
  <si>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</si>
  <si>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</si>
  <si>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</si>
  <si>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</si>
  <si>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</si>
  <si>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</si>
  <si>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</si>
  <si>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</si>
  <si>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</si>
  <si>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</si>
  <si>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</si>
  <si>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</si>
  <si>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</si>
  <si>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</si>
  <si>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</si>
  <si>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</si>
  <si>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</si>
  <si>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</si>
  <si>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</si>
  <si>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</si>
  <si>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</si>
  <si>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</si>
  <si>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</si>
  <si>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</si>
  <si>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</si>
  <si>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</si>
  <si>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</si>
  <si>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</si>
  <si>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</si>
  <si>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</si>
  <si>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</si>
  <si>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</si>
  <si>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</si>
  <si>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</si>
  <si>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</si>
  <si>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</si>
  <si>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</si>
  <si>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</si>
  <si>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</si>
  <si>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</si>
  <si>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</si>
  <si>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</si>
  <si>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</si>
  <si>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</si>
  <si>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</si>
  <si>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</si>
  <si>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</si>
  <si>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</si>
  <si>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</si>
  <si>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</si>
  <si>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</si>
  <si>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</si>
  <si>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</si>
  <si>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</si>
  <si>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</si>
  <si>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</si>
  <si>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</si>
  <si>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</si>
  <si>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</si>
  <si>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</si>
  <si>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</si>
  <si>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</si>
  <si>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</si>
  <si>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</si>
  <si>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</si>
  <si>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</si>
  <si>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</si>
  <si>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</si>
  <si>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</si>
  <si>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</si>
  <si>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</si>
  <si>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</si>
  <si>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</si>
  <si>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</si>
  <si>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</si>
  <si>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</si>
  <si>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</si>
  <si>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</si>
  <si>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</si>
  <si>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</si>
  <si>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</si>
  <si>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</si>
  <si>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</si>
  <si>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</si>
  <si>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</si>
  <si>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</si>
  <si>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</si>
  <si>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</si>
  <si>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</si>
  <si>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</si>
  <si>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</si>
  <si>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</si>
  <si>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</si>
  <si>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</si>
  <si>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</si>
  <si>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</si>
  <si>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</si>
  <si>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</si>
  <si>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</si>
  <si>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</si>
  <si>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</si>
  <si>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</si>
  <si>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</si>
  <si>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</si>
  <si>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</si>
  <si>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</si>
  <si>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</si>
  <si>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</si>
  <si>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</si>
  <si>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</si>
  <si>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</si>
  <si>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</si>
  <si>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</si>
  <si>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</si>
  <si>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</si>
  <si>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</si>
  <si>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</si>
  <si>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</si>
  <si>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</si>
  <si>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</si>
  <si>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</si>
  <si>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</si>
  <si>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</si>
  <si>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</si>
  <si>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</si>
  <si>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</si>
  <si>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</si>
  <si>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</si>
  <si>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</si>
  <si>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</si>
  <si>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</si>
  <si>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</si>
  <si>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</si>
  <si>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</si>
  <si>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</si>
  <si>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</si>
  <si>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</si>
  <si>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</si>
  <si>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</si>
  <si>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</si>
  <si>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</si>
  <si>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</si>
  <si>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</si>
  <si>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</si>
  <si>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</si>
  <si>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</si>
  <si>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</si>
  <si>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</si>
  <si>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</si>
  <si>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</si>
  <si>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</si>
  <si>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</si>
  <si>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</si>
  <si>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</si>
  <si>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</si>
  <si>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</si>
  <si>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</si>
  <si>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</si>
  <si>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</si>
  <si>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</si>
  <si>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</si>
  <si>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</si>
  <si>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</si>
  <si>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</si>
  <si>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</si>
  <si>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</si>
  <si>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</si>
  <si>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</si>
  <si>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</si>
  <si>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</si>
  <si>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</si>
  <si>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</si>
  <si>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</si>
  <si>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</si>
  <si>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</si>
  <si>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</si>
  <si>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</si>
  <si>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</si>
  <si>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</si>
  <si>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</si>
  <si>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</si>
  <si>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</si>
  <si>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</si>
  <si>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</si>
  <si>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</si>
  <si>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</si>
  <si>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</si>
  <si>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</si>
  <si>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</si>
  <si>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</si>
  <si>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</si>
  <si>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</si>
  <si>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</si>
  <si>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</si>
  <si>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</si>
  <si>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</si>
  <si>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</si>
  <si>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</si>
  <si>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</si>
  <si>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</si>
  <si>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</si>
  <si>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</si>
  <si>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</si>
  <si>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</si>
  <si>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</si>
  <si>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</si>
  <si>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</si>
  <si>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</si>
  <si>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</si>
  <si>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</si>
  <si>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</si>
  <si>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</si>
  <si>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</si>
  <si>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</si>
  <si>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</si>
  <si>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</si>
  <si>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</si>
  <si>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</si>
  <si>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</si>
  <si>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</si>
  <si>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</si>
  <si>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</si>
  <si>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</si>
  <si>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</si>
  <si>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</si>
  <si>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</si>
  <si>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</si>
  <si>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</si>
  <si>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</si>
  <si>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</si>
  <si>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</si>
  <si>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</si>
  <si>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</si>
  <si>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</si>
  <si>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</si>
  <si>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</si>
  <si>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</si>
  <si>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</si>
  <si>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</si>
  <si>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</si>
  <si>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</si>
  <si>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</si>
  <si>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</si>
  <si>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</si>
  <si>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</si>
  <si>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</si>
  <si>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</si>
  <si>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</si>
  <si>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</si>
  <si>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</si>
  <si>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</si>
  <si>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</si>
  <si>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</si>
  <si>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</si>
  <si>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</si>
  <si>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</si>
  <si>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</si>
  <si>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</si>
  <si>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</si>
  <si>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</si>
  <si>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</si>
  <si>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</si>
  <si>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</si>
  <si>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</si>
  <si>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</si>
  <si>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</si>
  <si>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</si>
  <si>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</si>
  <si>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</si>
  <si>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</si>
  <si>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</si>
  <si>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</si>
  <si>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</si>
  <si>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</si>
  <si>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</si>
  <si>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</si>
  <si>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</si>
  <si>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</si>
  <si>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</si>
  <si>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</si>
  <si>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</si>
  <si>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</si>
  <si>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</si>
  <si>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</si>
  <si>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</si>
  <si>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</si>
  <si>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</si>
  <si>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</si>
  <si>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</si>
  <si>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</si>
  <si>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</si>
  <si>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</si>
  <si>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</si>
  <si>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</si>
  <si>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</si>
  <si>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</si>
  <si>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</si>
  <si>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</si>
  <si>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</si>
  <si>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</si>
  <si>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</si>
  <si>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</si>
  <si>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</si>
  <si>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</si>
  <si>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</si>
  <si>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</si>
  <si>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</si>
  <si>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</si>
  <si>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</si>
  <si>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</si>
  <si>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</si>
  <si>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</si>
  <si>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</si>
  <si>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</si>
  <si>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</si>
  <si>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</si>
  <si>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</si>
  <si>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</si>
  <si>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</si>
  <si>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</si>
  <si>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</si>
  <si>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</si>
  <si>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</si>
  <si>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</si>
  <si>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</si>
  <si>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</si>
  <si>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</si>
  <si>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</si>
  <si>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</si>
  <si>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</si>
  <si>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</si>
  <si>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</si>
  <si>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</si>
  <si>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</si>
  <si>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</si>
  <si>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</si>
  <si>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</si>
  <si>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</si>
  <si>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</si>
  <si>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</si>
  <si>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</si>
  <si>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</si>
  <si>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</si>
  <si>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</si>
  <si>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</si>
  <si>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</si>
  <si>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</si>
  <si>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</si>
  <si>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</si>
  <si>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</si>
  <si>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</si>
  <si>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</si>
  <si>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</si>
  <si>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</si>
  <si>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</si>
  <si>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</si>
  <si>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</si>
  <si>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</si>
  <si>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</si>
  <si>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</si>
  <si>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</si>
  <si>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</si>
  <si>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</si>
  <si>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</si>
  <si>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</si>
  <si>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</si>
  <si>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</si>
  <si>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</si>
  <si>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</si>
  <si>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</si>
  <si>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</si>
  <si>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</si>
  <si>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</si>
  <si>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</si>
  <si>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</si>
  <si>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</si>
  <si>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</si>
  <si>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</si>
  <si>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</si>
  <si>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</si>
  <si>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</si>
  <si>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</si>
  <si>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</si>
  <si>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</si>
  <si>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</si>
  <si>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</si>
  <si>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</si>
  <si>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</si>
  <si>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</si>
  <si>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</si>
  <si>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</si>
  <si>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</si>
  <si>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</si>
  <si>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</si>
  <si>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</si>
  <si>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</si>
  <si>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</si>
  <si>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</si>
  <si>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</si>
  <si>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</si>
  <si>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</si>
  <si>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</si>
  <si>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</si>
  <si>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</si>
  <si>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</si>
  <si>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</si>
  <si>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</si>
  <si>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</si>
  <si>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</si>
  <si>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</si>
  <si>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</si>
  <si>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</si>
  <si>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</si>
  <si>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</si>
  <si>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</si>
  <si>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</si>
  <si>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</si>
  <si>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</si>
  <si>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</si>
  <si>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</si>
  <si>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</si>
  <si>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</si>
  <si>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</si>
  <si>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</si>
  <si>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</si>
  <si>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</si>
  <si>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</si>
  <si>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</si>
  <si>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</si>
  <si>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</si>
  <si>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</si>
  <si>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</si>
  <si>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</si>
  <si>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</si>
  <si>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</si>
  <si>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</si>
  <si>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</si>
  <si>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</si>
  <si>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</si>
  <si>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</si>
  <si>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</si>
  <si>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</si>
  <si>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</si>
  <si>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</si>
  <si>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</si>
  <si>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</si>
  <si>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</si>
  <si>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</si>
  <si>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</si>
  <si>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</si>
  <si>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</si>
  <si>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</si>
  <si>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</si>
  <si>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</si>
  <si>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</si>
  <si>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</si>
  <si>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</si>
  <si>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</si>
  <si>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</si>
  <si>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</si>
  <si>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</si>
  <si>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</si>
  <si>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</si>
  <si>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</si>
  <si>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</si>
  <si>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</si>
  <si>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</si>
  <si>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</si>
  <si>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</si>
  <si>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</si>
  <si>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</si>
  <si>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</si>
  <si>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</si>
  <si>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</si>
  <si>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</si>
  <si>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</si>
  <si>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</si>
  <si>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</si>
  <si>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</si>
  <si>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</si>
  <si>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</si>
  <si>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</si>
  <si>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</si>
  <si>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</si>
  <si>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</si>
  <si>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</si>
  <si>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</si>
  <si>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</si>
  <si>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</si>
  <si>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</si>
  <si>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</si>
  <si>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</si>
  <si>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</si>
  <si>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</si>
  <si>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</si>
  <si>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</si>
  <si>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</si>
  <si>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</si>
  <si>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</si>
  <si>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</si>
  <si>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</si>
  <si>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</si>
  <si>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</si>
  <si>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</si>
  <si>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</si>
  <si>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</si>
  <si>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</si>
  <si>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</si>
  <si>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</si>
  <si>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</si>
  <si>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</si>
  <si>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</si>
  <si>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</si>
  <si>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</si>
  <si>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</si>
  <si>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</si>
  <si>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</si>
  <si>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</si>
  <si>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</si>
  <si>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</si>
  <si>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</si>
  <si>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</si>
  <si>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</si>
  <si>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</si>
  <si>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</si>
  <si>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</si>
  <si>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</si>
  <si>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</si>
  <si>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</si>
  <si>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</si>
  <si>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</si>
  <si>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</si>
  <si>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</si>
  <si>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</si>
  <si>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</si>
  <si>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</si>
  <si>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</si>
  <si>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</si>
  <si>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</si>
  <si>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</si>
  <si>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</si>
  <si>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</si>
  <si>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</si>
  <si>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</si>
  <si>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</si>
  <si>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</si>
  <si>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</si>
  <si>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</si>
  <si>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</si>
  <si>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</si>
  <si>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</si>
  <si>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</si>
  <si>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</si>
  <si>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</si>
  <si>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</si>
  <si>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</si>
  <si>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</si>
  <si>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</si>
  <si>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</si>
  <si>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</si>
  <si>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</si>
  <si>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</si>
  <si>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</si>
  <si>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</si>
  <si>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</si>
  <si>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</si>
  <si>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</si>
  <si>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</si>
  <si>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</si>
  <si>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</si>
  <si>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</si>
  <si>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</si>
  <si>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</si>
  <si>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</si>
  <si>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</si>
  <si>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</si>
  <si>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</si>
  <si>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</si>
  <si>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</si>
  <si>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</si>
  <si>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</si>
  <si>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</si>
  <si>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</si>
  <si>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</si>
  <si>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</si>
  <si>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</si>
  <si>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</si>
  <si>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</si>
  <si>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</si>
  <si>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</si>
  <si>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</si>
  <si>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</si>
  <si>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</si>
  <si>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</si>
  <si>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</si>
  <si>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</si>
  <si>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</si>
  <si>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</si>
  <si>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</si>
  <si>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</si>
  <si>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</si>
  <si>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</si>
  <si>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</si>
  <si>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</si>
  <si>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</si>
  <si>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</si>
  <si>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</si>
  <si>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</si>
  <si>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</si>
  <si>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</si>
  <si>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</si>
  <si>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</si>
  <si>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</si>
  <si>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</si>
  <si>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</si>
  <si>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</si>
  <si>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</si>
  <si>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</si>
  <si>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</si>
  <si>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</si>
  <si>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</si>
  <si>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</si>
  <si>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</si>
  <si>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</si>
  <si>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</si>
  <si>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</si>
  <si>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</si>
  <si>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</si>
  <si>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</si>
  <si>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</si>
  <si>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</si>
  <si>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</si>
  <si>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</si>
  <si>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</si>
  <si>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</si>
  <si>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</si>
  <si>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</si>
  <si>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</si>
  <si>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</si>
  <si>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</si>
  <si>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</si>
  <si>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</si>
  <si>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</si>
  <si>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</si>
  <si>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</si>
  <si>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</si>
  <si>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</si>
  <si>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</si>
  <si>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</si>
  <si>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</si>
  <si>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</si>
  <si>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</si>
  <si>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</si>
  <si>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</si>
  <si>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</si>
  <si>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</si>
  <si>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</si>
  <si>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</si>
  <si>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</si>
  <si>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</si>
  <si>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</si>
  <si>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</si>
  <si>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</si>
  <si>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</si>
  <si>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</si>
  <si>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</si>
  <si>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</si>
  <si>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</si>
  <si>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</si>
  <si>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</si>
  <si>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</si>
  <si>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</si>
  <si>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</si>
  <si>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</si>
  <si>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</si>
  <si>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</si>
  <si>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</si>
  <si>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</si>
  <si>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</si>
  <si>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</si>
  <si>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</si>
  <si>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</si>
  <si>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</si>
  <si>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</si>
  <si>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</si>
  <si>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</si>
  <si>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</si>
  <si>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</si>
  <si>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</si>
  <si>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</si>
  <si>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</si>
  <si>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</si>
  <si>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</si>
  <si>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</si>
  <si>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</si>
  <si>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</si>
  <si>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</si>
  <si>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</si>
  <si>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</si>
  <si>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</si>
  <si>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</si>
  <si>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</si>
  <si>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</si>
  <si>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</si>
  <si>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</si>
  <si>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</si>
  <si>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</si>
  <si>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</si>
  <si>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</si>
  <si>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</si>
  <si>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</si>
  <si>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</si>
  <si>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</si>
  <si>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</si>
  <si>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</si>
  <si>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</si>
  <si>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</si>
  <si>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</si>
  <si>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</si>
  <si>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</si>
  <si>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</si>
  <si>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</si>
  <si>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</si>
  <si>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</si>
  <si>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</si>
  <si>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</si>
  <si>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</si>
  <si>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</si>
  <si>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</si>
  <si>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</si>
  <si>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</si>
  <si>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</si>
  <si>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</si>
  <si>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</si>
  <si>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</si>
  <si>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</si>
  <si>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</si>
  <si>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</si>
  <si>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</si>
  <si>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</si>
  <si>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</si>
  <si>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</si>
  <si>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</si>
  <si>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</si>
  <si>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</si>
  <si>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</si>
  <si>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</si>
  <si>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</si>
  <si>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</si>
  <si>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</si>
  <si>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</si>
  <si>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</si>
  <si>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</si>
  <si>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</si>
  <si>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</si>
  <si>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</si>
  <si>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</si>
  <si>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</si>
  <si>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</si>
  <si>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</si>
  <si>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</si>
  <si>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</si>
  <si>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</si>
  <si>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</si>
  <si>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</si>
  <si>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</si>
  <si>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</si>
  <si>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</si>
  <si>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</si>
  <si>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</si>
  <si>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</si>
  <si>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</si>
  <si>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</si>
  <si>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</si>
  <si>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</si>
  <si>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</si>
  <si>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</si>
  <si>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</si>
  <si>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</si>
  <si>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</si>
  <si>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</si>
  <si>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</si>
  <si>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</si>
  <si>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</si>
  <si>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</si>
  <si>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</si>
  <si>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</si>
  <si>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</si>
  <si>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</si>
  <si>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</si>
  <si>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</si>
  <si>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</si>
  <si>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</si>
  <si>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</si>
  <si>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</si>
  <si>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</si>
  <si>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</si>
  <si>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</si>
  <si>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</si>
  <si>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</si>
  <si>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</si>
  <si>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</si>
  <si>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</si>
  <si>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</si>
  <si>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</si>
  <si>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</si>
  <si>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</si>
  <si>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</si>
  <si>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</si>
  <si>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</si>
  <si>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</si>
  <si>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</si>
  <si>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</si>
  <si>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</si>
  <si>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</si>
  <si>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</si>
  <si>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</si>
  <si>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</si>
  <si>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</si>
  <si>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</si>
  <si>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</si>
  <si>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</si>
  <si>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</si>
  <si>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</si>
  <si>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</si>
  <si>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</si>
  <si>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</si>
  <si>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</si>
  <si>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</si>
  <si>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</si>
  <si>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</si>
  <si>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</si>
  <si>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</si>
  <si>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</si>
  <si>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</si>
  <si>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</si>
  <si>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</si>
  <si>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</si>
  <si>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</si>
  <si>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</si>
  <si>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</si>
  <si>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</si>
  <si>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</si>
  <si>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</si>
  <si>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</si>
  <si>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</si>
  <si>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</si>
  <si>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</si>
  <si>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</si>
  <si>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</si>
  <si>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</si>
  <si>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</si>
  <si>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</si>
  <si>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</si>
  <si>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</si>
  <si>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</si>
  <si>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</si>
  <si>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</si>
  <si>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</si>
  <si>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</si>
  <si>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</si>
  <si>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</si>
  <si>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</si>
  <si>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</si>
  <si>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</si>
  <si>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</si>
  <si>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</si>
  <si>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</si>
  <si>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</si>
  <si>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</si>
  <si>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</si>
  <si>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</si>
  <si>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</si>
  <si>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</si>
  <si>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</si>
  <si>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</si>
  <si>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</si>
  <si>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</si>
  <si>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</si>
  <si>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</si>
  <si>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</si>
  <si>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</si>
  <si>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</si>
  <si>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</si>
  <si>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</si>
  <si>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</si>
  <si>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</si>
  <si>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</si>
  <si>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</si>
  <si>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</si>
  <si>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</si>
  <si>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</si>
  <si>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</si>
  <si>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</si>
  <si>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</si>
  <si>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</si>
  <si>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</si>
  <si>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</si>
  <si>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</si>
  <si>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</si>
  <si>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</si>
  <si>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</si>
  <si>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</si>
  <si>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</si>
  <si>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</si>
  <si>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</si>
  <si>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</si>
  <si>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</si>
  <si>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</si>
  <si>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</si>
  <si>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</si>
  <si>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</si>
  <si>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</si>
  <si>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</si>
  <si>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</si>
  <si>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</si>
  <si>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</si>
  <si>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</si>
  <si>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</si>
  <si>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</si>
  <si>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</si>
  <si>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</si>
  <si>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</si>
  <si>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</si>
  <si>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</si>
  <si>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</si>
  <si>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</si>
  <si>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</si>
  <si>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</si>
  <si>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</si>
  <si>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</si>
  <si>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</si>
  <si>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</si>
  <si>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</si>
  <si>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</si>
  <si>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</si>
  <si>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</si>
  <si>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</si>
  <si>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</si>
  <si>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</si>
  <si>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</si>
  <si>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</si>
  <si>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</si>
  <si>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</si>
  <si>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</si>
  <si>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</si>
  <si>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</si>
  <si>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</si>
  <si>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</si>
  <si>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</si>
  <si>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</si>
  <si>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</si>
  <si>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</si>
  <si>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</si>
  <si>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</si>
  <si>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</si>
  <si>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</si>
  <si>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</si>
  <si>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</si>
  <si>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</si>
  <si>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</si>
  <si>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</si>
  <si>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</si>
  <si>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</si>
  <si>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</si>
  <si>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</si>
  <si>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</si>
  <si>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</si>
  <si>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</si>
  <si>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</si>
  <si>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</si>
  <si>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</si>
  <si>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</si>
  <si>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</si>
  <si>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</si>
  <si>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</si>
  <si>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</si>
  <si>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</si>
  <si>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</si>
  <si>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</si>
  <si>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</si>
  <si>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</si>
  <si>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</si>
  <si>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</si>
  <si>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</si>
  <si>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</si>
  <si>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</si>
  <si>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</si>
  <si>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</si>
  <si>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</si>
  <si>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</si>
  <si>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</si>
  <si>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</si>
  <si>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</si>
  <si>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</si>
  <si>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</si>
  <si>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</si>
  <si>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</si>
  <si>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</si>
  <si>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</si>
  <si>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</si>
  <si>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</si>
  <si>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</si>
  <si>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</si>
  <si>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</si>
  <si>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</si>
  <si>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</si>
  <si>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</si>
  <si>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</si>
  <si>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</si>
  <si>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</si>
  <si>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</si>
  <si>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</si>
  <si>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</si>
  <si>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</si>
  <si>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</si>
  <si>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</si>
  <si>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</si>
  <si>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</si>
  <si>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</si>
  <si>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</si>
  <si>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</si>
  <si>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</si>
  <si>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</si>
  <si>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</si>
  <si>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</si>
  <si>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</si>
  <si>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</si>
  <si>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</si>
  <si>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</si>
  <si>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</si>
  <si>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</si>
  <si>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</si>
  <si>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</si>
  <si>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</si>
  <si>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</si>
  <si>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</si>
  <si>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</si>
  <si>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</si>
  <si>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</si>
  <si>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</si>
  <si>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</si>
  <si>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</si>
  <si>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</si>
  <si>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</si>
  <si>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</si>
  <si>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</si>
  <si>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</si>
  <si>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</si>
  <si>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</si>
  <si>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</si>
  <si>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</si>
  <si>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</si>
  <si>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</si>
  <si>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</si>
  <si>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</si>
  <si>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</si>
  <si>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</si>
  <si>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</si>
  <si>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</si>
  <si>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</si>
  <si>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</si>
  <si>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</si>
  <si>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</si>
  <si>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</si>
  <si>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</si>
  <si>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</si>
  <si>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</si>
  <si>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</si>
  <si>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</si>
  <si>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</si>
  <si>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</si>
  <si>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</si>
  <si>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</si>
  <si>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</si>
  <si>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</si>
  <si>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</si>
  <si>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</si>
  <si>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</si>
  <si>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</si>
  <si>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</si>
  <si>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</si>
  <si>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</si>
  <si>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</si>
  <si>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</si>
  <si>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</si>
  <si>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</si>
  <si>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</si>
  <si>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</si>
  <si>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</si>
  <si>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</si>
  <si>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</si>
  <si>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</si>
  <si>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</si>
  <si>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</si>
  <si>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</si>
  <si>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</si>
  <si>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</si>
  <si>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</si>
  <si>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</si>
  <si>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</si>
  <si>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</si>
  <si>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</si>
  <si>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</si>
  <si>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</si>
  <si>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</si>
  <si>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</si>
  <si>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</si>
  <si>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</si>
  <si>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</si>
  <si>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</si>
  <si>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</si>
  <si>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</si>
  <si>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</si>
  <si>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</si>
  <si>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</si>
  <si>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</si>
  <si>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</si>
  <si>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</si>
  <si>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</si>
  <si>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</si>
  <si>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</si>
  <si>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</si>
  <si>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</si>
  <si>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</si>
  <si>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</si>
  <si>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</si>
  <si>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</si>
  <si>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</si>
  <si>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</si>
  <si>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</si>
  <si>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</si>
  <si>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</si>
  <si>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</si>
  <si>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</si>
  <si>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</si>
  <si>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</si>
  <si>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</si>
  <si>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</si>
  <si>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</si>
  <si>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</si>
  <si>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</si>
  <si>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</si>
  <si>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</si>
  <si>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</si>
  <si>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</si>
  <si>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</si>
  <si>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</si>
  <si>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</si>
  <si>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</si>
  <si>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</si>
  <si>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</si>
  <si>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</si>
  <si>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</si>
  <si>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</si>
  <si>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</si>
  <si>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</si>
  <si>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</si>
  <si>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</si>
  <si>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</si>
  <si>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</si>
  <si>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</si>
  <si>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</si>
  <si>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</si>
  <si>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</si>
  <si>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</si>
  <si>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</si>
  <si>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</si>
  <si>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</si>
  <si>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</si>
  <si>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</si>
  <si>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</si>
  <si>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</si>
  <si>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</si>
  <si>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</si>
  <si>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</si>
  <si>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</si>
  <si>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</si>
  <si>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</si>
  <si>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</si>
  <si>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</si>
  <si>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</si>
  <si>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</si>
  <si>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</si>
  <si>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</si>
  <si>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</si>
  <si>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</si>
  <si>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</si>
  <si>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</si>
  <si>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</si>
  <si>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</si>
  <si>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</si>
  <si>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</si>
  <si>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</si>
  <si>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</si>
  <si>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</si>
  <si>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</si>
  <si>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</si>
  <si>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</si>
  <si>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</si>
  <si>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</si>
  <si>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</si>
  <si>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</si>
  <si>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</si>
  <si>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</si>
  <si>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</si>
  <si>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</si>
  <si>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</si>
  <si>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</si>
  <si>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</si>
  <si>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</si>
  <si>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</si>
  <si>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</si>
  <si>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</si>
  <si>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</si>
  <si>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</si>
  <si>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</si>
  <si>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</si>
  <si>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</si>
  <si>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</si>
  <si>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</si>
  <si>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</si>
  <si>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</si>
  <si>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</si>
  <si>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</si>
  <si>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</si>
  <si>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</si>
  <si>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</si>
  <si>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</si>
  <si>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</si>
  <si>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</si>
  <si>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</si>
  <si>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</si>
  <si>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</si>
  <si>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</si>
  <si>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</si>
  <si>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</si>
  <si>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</si>
  <si>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</si>
  <si>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</si>
  <si>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</si>
  <si>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</si>
  <si>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</si>
  <si>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</si>
  <si>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</si>
  <si>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</si>
  <si>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</si>
  <si>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</si>
  <si>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</si>
  <si>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</si>
  <si>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</si>
  <si>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</si>
  <si>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</si>
  <si>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</si>
  <si>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</si>
  <si>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</si>
  <si>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</si>
  <si>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</si>
  <si>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</si>
  <si>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</si>
  <si>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</si>
  <si>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</si>
  <si>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</si>
  <si>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</si>
  <si>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</si>
  <si>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</si>
  <si>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</si>
  <si>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</si>
  <si>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</si>
  <si>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</si>
  <si>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</si>
  <si>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</si>
  <si>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</si>
  <si>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</si>
  <si>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</si>
  <si>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</si>
  <si>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</si>
  <si>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</si>
  <si>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</si>
  <si>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</si>
  <si>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</si>
  <si>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</si>
  <si>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</si>
  <si>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</si>
  <si>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</si>
  <si>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</si>
  <si>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</si>
  <si>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</si>
  <si>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</si>
  <si>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</si>
  <si>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</si>
  <si>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</si>
  <si>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</si>
  <si>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</si>
  <si>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</si>
  <si>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</si>
  <si>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</si>
  <si>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</si>
  <si>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</si>
  <si>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</si>
  <si>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</si>
  <si>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</si>
  <si>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</si>
  <si>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</si>
  <si>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</si>
  <si>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</si>
  <si>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</si>
  <si>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</si>
  <si>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</si>
  <si>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</si>
  <si>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</si>
  <si>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</si>
  <si>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</si>
  <si>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</si>
  <si>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</si>
  <si>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</si>
  <si>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</si>
  <si>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</si>
  <si>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</si>
  <si>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</si>
  <si>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</si>
  <si>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</si>
  <si>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</si>
  <si>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</si>
  <si>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</si>
  <si>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</si>
  <si>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</si>
  <si>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</si>
  <si>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</si>
  <si>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</si>
  <si>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</si>
  <si>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</si>
  <si>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</si>
  <si>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</si>
  <si>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</si>
  <si>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</si>
  <si>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</si>
  <si>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</si>
  <si>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</si>
  <si>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</si>
  <si>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</si>
  <si>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</si>
  <si>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</si>
  <si>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</si>
  <si>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</si>
  <si>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</si>
  <si>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</si>
  <si>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</si>
  <si>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</si>
  <si>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</si>
  <si>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</si>
  <si>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</si>
  <si>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</si>
  <si>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</si>
  <si>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</si>
  <si>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</si>
  <si>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</si>
  <si>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</si>
  <si>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</si>
  <si>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</si>
  <si>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</si>
  <si>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</si>
  <si>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</si>
  <si>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</si>
  <si>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</si>
  <si>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</si>
  <si>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</si>
  <si>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</si>
  <si>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</si>
  <si>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</si>
  <si>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</si>
  <si>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</si>
  <si>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</si>
  <si>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</si>
  <si>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</si>
  <si>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</si>
  <si>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</si>
  <si>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</si>
  <si>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</si>
  <si>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</si>
  <si>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</si>
  <si>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</si>
  <si>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</si>
  <si>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</si>
  <si>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</si>
  <si>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</si>
  <si>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</si>
  <si>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</si>
  <si>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</si>
  <si>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</si>
  <si>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</si>
  <si>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</si>
  <si>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</si>
  <si>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</si>
  <si>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</si>
  <si>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</si>
  <si>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</si>
  <si>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</si>
  <si>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</si>
  <si>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</si>
  <si>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</si>
  <si>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</si>
  <si>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</si>
  <si>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</si>
  <si>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</si>
  <si>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</si>
  <si>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</si>
  <si>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</si>
  <si>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</si>
  <si>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</si>
  <si>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</si>
  <si>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</si>
  <si>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</si>
  <si>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</si>
  <si>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</si>
  <si>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</si>
  <si>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</si>
  <si>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</si>
  <si>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</si>
  <si>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</si>
  <si>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</si>
  <si>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</si>
  <si>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</si>
  <si>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</si>
  <si>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</si>
  <si>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</si>
  <si>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</si>
  <si>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</si>
  <si>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</si>
  <si>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</si>
  <si>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</si>
  <si>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</si>
  <si>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</si>
  <si>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</si>
  <si>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</si>
  <si>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</si>
  <si>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</si>
  <si>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</si>
  <si>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</si>
  <si>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</si>
  <si>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</si>
  <si>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</si>
  <si>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</si>
  <si>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</si>
  <si>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</si>
  <si>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</si>
  <si>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</si>
  <si>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</si>
  <si>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</si>
  <si>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</si>
  <si>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</si>
  <si>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</si>
  <si>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</si>
  <si>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</si>
  <si>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</si>
  <si>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</si>
  <si>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</si>
  <si>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</si>
  <si>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</si>
  <si>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</si>
  <si>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</si>
  <si>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</si>
  <si>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</si>
  <si>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</si>
  <si>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</si>
  <si>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</si>
  <si>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</si>
  <si>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</si>
  <si>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</si>
  <si>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</si>
  <si>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</si>
  <si>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</si>
  <si>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</si>
  <si>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</si>
  <si>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</si>
  <si>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</si>
  <si>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</si>
  <si>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</si>
  <si>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</si>
  <si>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</si>
  <si>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</si>
  <si>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《国有建设用地使用权出让合同》</t>
    <phoneticPr fontId="225" type="noConversion"/>
  </si>
  <si>
    <t>受让人</t>
    <phoneticPr fontId="225" type="noConversion"/>
  </si>
  <si>
    <t>长春创诚房地产开发有限公司</t>
    <phoneticPr fontId="225" type="noConversion"/>
  </si>
  <si>
    <t>宗地面积</t>
    <phoneticPr fontId="225" type="noConversion"/>
  </si>
  <si>
    <t>坐落</t>
    <phoneticPr fontId="225" type="noConversion"/>
  </si>
  <si>
    <t>用途</t>
    <phoneticPr fontId="225" type="noConversion"/>
  </si>
  <si>
    <r>
      <t>R</t>
    </r>
    <r>
      <rPr>
        <sz val="11"/>
        <color theme="1"/>
        <rFont val="宋体"/>
        <family val="3"/>
        <charset val="134"/>
        <scheme val="minor"/>
      </rPr>
      <t>2二类居住用地</t>
    </r>
    <phoneticPr fontId="225" type="noConversion"/>
  </si>
  <si>
    <t>交付</t>
    <phoneticPr fontId="225" type="noConversion"/>
  </si>
  <si>
    <t>主体建筑物性质</t>
    <phoneticPr fontId="225" type="noConversion"/>
  </si>
  <si>
    <t>住宅</t>
    <phoneticPr fontId="225" type="noConversion"/>
  </si>
  <si>
    <t>建筑总面积</t>
    <phoneticPr fontId="225" type="noConversion"/>
  </si>
  <si>
    <t>签订日期</t>
    <phoneticPr fontId="225" type="noConversion"/>
  </si>
  <si>
    <t>容积率</t>
    <phoneticPr fontId="225" type="noConversion"/>
  </si>
  <si>
    <t>出让年限</t>
  </si>
  <si>
    <t>出让年限</t>
    <phoneticPr fontId="225" type="noConversion"/>
  </si>
  <si>
    <r>
      <t>居住7</t>
    </r>
    <r>
      <rPr>
        <sz val="11"/>
        <color theme="1"/>
        <rFont val="宋体"/>
        <family val="3"/>
        <charset val="134"/>
        <scheme val="minor"/>
      </rPr>
      <t>0年、商业40年、办公50年</t>
    </r>
    <phoneticPr fontId="225" type="noConversion"/>
  </si>
  <si>
    <t>出让价款</t>
    <phoneticPr fontId="225" type="noConversion"/>
  </si>
  <si>
    <t>单价</t>
    <phoneticPr fontId="225" type="noConversion"/>
  </si>
  <si>
    <t>楼面单价</t>
    <phoneticPr fontId="225" type="noConversion"/>
  </si>
  <si>
    <t>动工</t>
    <phoneticPr fontId="225" type="noConversion"/>
  </si>
  <si>
    <t>竣工</t>
    <phoneticPr fontId="225" type="noConversion"/>
  </si>
  <si>
    <t>受让人变更</t>
    <phoneticPr fontId="225" type="noConversion"/>
  </si>
  <si>
    <t>北京兴意房地产开发有限公司</t>
    <phoneticPr fontId="225" type="noConversion"/>
  </si>
  <si>
    <t>变更时间</t>
    <phoneticPr fontId="225" type="noConversion"/>
  </si>
  <si>
    <t>项目</t>
    <phoneticPr fontId="225" type="noConversion"/>
  </si>
  <si>
    <t>用地面积</t>
    <phoneticPr fontId="225" type="noConversion"/>
  </si>
  <si>
    <t>面积</t>
    <phoneticPr fontId="225" type="noConversion"/>
  </si>
  <si>
    <t>总建筑面积</t>
    <phoneticPr fontId="225" type="noConversion"/>
  </si>
  <si>
    <t>地上总建筑面积</t>
    <phoneticPr fontId="225" type="noConversion"/>
  </si>
  <si>
    <t>住宅总建筑面积</t>
    <phoneticPr fontId="225" type="noConversion"/>
  </si>
  <si>
    <t>地下总建筑面积</t>
    <phoneticPr fontId="225" type="noConversion"/>
  </si>
  <si>
    <t>配套公共服务设施</t>
    <phoneticPr fontId="225" type="noConversion"/>
  </si>
  <si>
    <t>建筑密度</t>
    <phoneticPr fontId="225" type="noConversion"/>
  </si>
  <si>
    <t>绿地率</t>
    <phoneticPr fontId="225" type="noConversion"/>
  </si>
  <si>
    <t>建筑限高</t>
    <phoneticPr fontId="225" type="noConversion"/>
  </si>
  <si>
    <t>总套数</t>
    <phoneticPr fontId="225" type="noConversion"/>
  </si>
  <si>
    <t>总人口数</t>
    <phoneticPr fontId="225" type="noConversion"/>
  </si>
  <si>
    <t>机动车停车位</t>
    <phoneticPr fontId="225" type="noConversion"/>
  </si>
  <si>
    <t>地面停车位</t>
    <phoneticPr fontId="225" type="noConversion"/>
  </si>
  <si>
    <t>地下室停车位</t>
    <phoneticPr fontId="225" type="noConversion"/>
  </si>
  <si>
    <t>非机动停车位</t>
    <phoneticPr fontId="225" type="noConversion"/>
  </si>
  <si>
    <t>地上停车位</t>
    <phoneticPr fontId="225" type="noConversion"/>
  </si>
  <si>
    <t>地下停车位</t>
    <phoneticPr fontId="225" type="noConversion"/>
  </si>
  <si>
    <t>数值</t>
    <phoneticPr fontId="225" type="noConversion"/>
  </si>
  <si>
    <t>平方米</t>
    <phoneticPr fontId="225" type="noConversion"/>
  </si>
  <si>
    <t>米</t>
    <phoneticPr fontId="225" type="noConversion"/>
  </si>
  <si>
    <t>套</t>
    <phoneticPr fontId="225" type="noConversion"/>
  </si>
  <si>
    <t>人</t>
    <phoneticPr fontId="225" type="noConversion"/>
  </si>
  <si>
    <t>辆</t>
    <phoneticPr fontId="225" type="noConversion"/>
  </si>
  <si>
    <t>其中</t>
    <phoneticPr fontId="225" type="noConversion"/>
  </si>
  <si>
    <t>物业服务</t>
    <phoneticPr fontId="225" type="noConversion"/>
  </si>
  <si>
    <r>
      <t>北京经济技术开发区亦庄新城0</t>
    </r>
    <r>
      <rPr>
        <sz val="11"/>
        <color theme="1"/>
        <rFont val="宋体"/>
        <family val="3"/>
        <charset val="134"/>
        <scheme val="minor"/>
      </rPr>
      <t>510街区YZ00-0510-0017地块R2二类居住用地</t>
    </r>
    <phoneticPr fontId="225" type="noConversion"/>
  </si>
  <si>
    <t>地块名称</t>
  </si>
  <si>
    <t>区县</t>
  </si>
  <si>
    <t>板块</t>
  </si>
  <si>
    <t>用地性质</t>
  </si>
  <si>
    <t>建设用地面积</t>
  </si>
  <si>
    <t>规划建筑面积</t>
  </si>
  <si>
    <t>详细规划</t>
  </si>
  <si>
    <t>成交特殊政策</t>
  </si>
  <si>
    <t>成交日期</t>
  </si>
  <si>
    <t>拿地企业</t>
  </si>
  <si>
    <t>成交价</t>
  </si>
  <si>
    <t>成交每亩价</t>
  </si>
  <si>
    <t>成交楼面价</t>
  </si>
  <si>
    <t>溢价率</t>
  </si>
  <si>
    <t>限地价</t>
  </si>
  <si>
    <t>限售价(均价)</t>
  </si>
  <si>
    <t xml:space="preserve">北京经济技术开发区亦庄新城0510街区YZ00-0510-0017地块R2二类居住用地   </t>
  </si>
  <si>
    <t xml:space="preserve"> 大兴区</t>
  </si>
  <si>
    <t xml:space="preserve"> 台湖</t>
  </si>
  <si>
    <t xml:space="preserve"> 住宅用地</t>
  </si>
  <si>
    <t xml:space="preserve"> R2二类居住用地</t>
  </si>
  <si>
    <t xml:space="preserve"> -- </t>
  </si>
  <si>
    <t xml:space="preserve"> 限房价,限地价,90/70</t>
  </si>
  <si>
    <t xml:space="preserve"> --</t>
  </si>
  <si>
    <t xml:space="preserve"> 绿城中国</t>
  </si>
  <si>
    <t xml:space="preserve"> 70年</t>
  </si>
  <si>
    <t xml:space="preserve"> 153300 </t>
  </si>
  <si>
    <t xml:space="preserve"> 58000 </t>
  </si>
  <si>
    <t xml:space="preserve">北京市大兴区旧宫镇绿化隔离地区建设旧村二期1号地土地一级开发项目A2-2地块R2二类居住用地   </t>
  </si>
  <si>
    <t xml:space="preserve"> 东南四至五环沿线</t>
  </si>
  <si>
    <t xml:space="preserve"> 限房价,限地价</t>
  </si>
  <si>
    <t xml:space="preserve"> 中海地产</t>
  </si>
  <si>
    <t xml:space="preserve"> 256450 </t>
  </si>
  <si>
    <t xml:space="preserve"> 73000 </t>
  </si>
  <si>
    <t xml:space="preserve">北京市大兴区瀛海镇集体经营性建设用地入市试点(一期) YZ00-0803-0012 地块    </t>
  </si>
  <si>
    <t xml:space="preserve"> 瀛海</t>
  </si>
  <si>
    <t xml:space="preserve"> F81绿隔产业用地(建设人才公寓)</t>
  </si>
  <si>
    <t xml:space="preserve"> 北京亦庄国际人才发展集团有限公司</t>
  </si>
  <si>
    <t xml:space="preserve">北京市大兴区西红门镇DX04-0102-6011、6014地块R2二类居住用地(配建“保障性租赁住房”)   </t>
  </si>
  <si>
    <t xml:space="preserve"> 西红门</t>
  </si>
  <si>
    <t xml:space="preserve"> &lt;2.5</t>
  </si>
  <si>
    <t xml:space="preserve"> 华润置地,中国中铁</t>
  </si>
  <si>
    <t xml:space="preserve"> 居住70年</t>
  </si>
  <si>
    <t xml:space="preserve"> 787750 </t>
  </si>
  <si>
    <t xml:space="preserve"> 66000 </t>
  </si>
  <si>
    <t xml:space="preserve">北京市丰台区长辛店镇张郭庄村A区FT00-0203-6145、FT00-0203-6159地块R2二类居住用地    </t>
  </si>
  <si>
    <t xml:space="preserve"> 丰台区</t>
  </si>
  <si>
    <t xml:space="preserve"> 梅市口路</t>
  </si>
  <si>
    <t xml:space="preserve"> ≤2.3</t>
  </si>
  <si>
    <t xml:space="preserve"> 限地价,竞配建,90/70,含保障房用地</t>
  </si>
  <si>
    <t xml:space="preserve"> 首开股份,卓越置业</t>
  </si>
  <si>
    <t xml:space="preserve"> 居住70年、商业40年、办公50年</t>
  </si>
  <si>
    <t xml:space="preserve"> 620000 </t>
  </si>
  <si>
    <t xml:space="preserve">北京市丰台区长辛店镇张家坟村15-1、21-5地块R2二类居住用地    </t>
  </si>
  <si>
    <t xml:space="preserve"> 长辛店</t>
  </si>
  <si>
    <t xml:space="preserve"> ≤1.4</t>
  </si>
  <si>
    <t xml:space="preserve"> 限地价,限房价</t>
  </si>
  <si>
    <t xml:space="preserve"> 中国金茂</t>
  </si>
  <si>
    <t xml:space="preserve"> 403700 </t>
  </si>
  <si>
    <t xml:space="preserve">北京市大兴区榆垡镇中心区DX09-0102-0027、0044地块R2二类居住用地    </t>
  </si>
  <si>
    <t xml:space="preserve"> 榆垡</t>
  </si>
  <si>
    <t xml:space="preserve"> ≤2.0</t>
  </si>
  <si>
    <t xml:space="preserve"> 限地价</t>
  </si>
  <si>
    <t xml:space="preserve"> 保利发展,亦庄投资,首开股份</t>
  </si>
  <si>
    <t xml:space="preserve"> 167600 </t>
  </si>
  <si>
    <t xml:space="preserve">北京市大兴区旧宫镇南郊农场棚户区改造项目DX05-0200-0037、0038、6002等地块R2二类居住用地    </t>
  </si>
  <si>
    <t xml:space="preserve"> 旧宫</t>
  </si>
  <si>
    <t xml:space="preserve"> 合生创展</t>
  </si>
  <si>
    <t xml:space="preserve">北京市丰台区南苑乡分钟寺村L-39地块R2二类居住用地    </t>
  </si>
  <si>
    <t xml:space="preserve"> 刘家窑、大红门</t>
  </si>
  <si>
    <t xml:space="preserve"> ≤2.8</t>
  </si>
  <si>
    <t xml:space="preserve">北京市丰台区南苑乡分钟寺村L-41地块R2二类居住用地    </t>
  </si>
  <si>
    <t xml:space="preserve">北京市丰台区南苑乡分钟寺村L-24、L-26地块R2二类居住用地    </t>
  </si>
  <si>
    <t xml:space="preserve">北京市大兴区西红门镇B1-05-(3)地块R2二类居住用地    </t>
  </si>
  <si>
    <t xml:space="preserve"> ≤2.1</t>
  </si>
  <si>
    <t xml:space="preserve"> 限地价,限房价,90/70</t>
  </si>
  <si>
    <t xml:space="preserve"> 龙湖集团,首开股份</t>
  </si>
  <si>
    <t xml:space="preserve"> 64400 </t>
  </si>
  <si>
    <t xml:space="preserve">北京市大兴区采育镇DX10-0001-6004地块R2二类居住用地    </t>
  </si>
  <si>
    <t xml:space="preserve"> 采育</t>
  </si>
  <si>
    <t xml:space="preserve"> ≤2.5</t>
  </si>
  <si>
    <t xml:space="preserve"> 北京市大兴区国有资本投资运营有限公司,北京住总集团</t>
  </si>
  <si>
    <t xml:space="preserve">北京市大兴区采育镇01-0042地块R2二类居住用地    </t>
  </si>
  <si>
    <t xml:space="preserve"> ≤1.05</t>
  </si>
  <si>
    <t xml:space="preserve"> 京能置业</t>
  </si>
  <si>
    <t xml:space="preserve">北京市丰台区吴家村梅市口路1615-761、1615-762地块R2二类居住用地    </t>
  </si>
  <si>
    <t xml:space="preserve"> ≤3</t>
  </si>
  <si>
    <t xml:space="preserve"> 含自住房/共有产权住房,限房价</t>
  </si>
  <si>
    <t xml:space="preserve"> 首钢集团</t>
  </si>
  <si>
    <t xml:space="preserve"> 38000 </t>
  </si>
  <si>
    <t xml:space="preserve">北京市丰台区长辛店镇辛庄村A-46地块(丰台区长辛店镇辛庄村(一期)B地块土地一级开发项目)R2二类居住用地    </t>
  </si>
  <si>
    <t xml:space="preserve"> ≤1.1</t>
  </si>
  <si>
    <t xml:space="preserve"> 保利发展,首开股份</t>
  </si>
  <si>
    <t xml:space="preserve">北京经济技术开发区路东区E9R3、E9R4地块R2二类居住用地    </t>
  </si>
  <si>
    <t xml:space="preserve"> 招商蛇口</t>
  </si>
  <si>
    <t xml:space="preserve"> 52695 </t>
  </si>
  <si>
    <t xml:space="preserve">北京市大兴区瀛海镇YZ00-0803-0802、6021地块R2二类居住用地    </t>
  </si>
  <si>
    <t xml:space="preserve"> ≤2.2</t>
  </si>
  <si>
    <t xml:space="preserve"> 52449 </t>
  </si>
  <si>
    <t xml:space="preserve">北京经济技术开发区河西区X92R1地块R2二类居住用地    </t>
  </si>
  <si>
    <t xml:space="preserve"> 雅居乐集团</t>
  </si>
  <si>
    <t xml:space="preserve"> 54160 </t>
  </si>
  <si>
    <t xml:space="preserve">北京经济技术开发区河西区X92R2地块R2二类居住用地    </t>
  </si>
  <si>
    <t xml:space="preserve"> 港中旅房地产</t>
  </si>
  <si>
    <t>北京经济技术开发区路东区E9R2、E9A2地块R2二类居住用地、A33基础教育用地台湖</t>
    <phoneticPr fontId="225" type="noConversion"/>
  </si>
  <si>
    <t>R2二类居住用地、A33基础教育用地</t>
    <phoneticPr fontId="225" type="noConversion"/>
  </si>
  <si>
    <t>限地价,限房价,90/70</t>
    <phoneticPr fontId="225" type="noConversion"/>
  </si>
  <si>
    <t>山西通建房地产开发有限公司</t>
    <phoneticPr fontId="225" type="noConversion"/>
  </si>
  <si>
    <t>北京市大兴区地铁亦庄线旧宫东站2号地项目DX05-0102-6003、6004、6005地块R2居住用地、A334基础教育用地及S1城市道路用地旧宫</t>
    <phoneticPr fontId="225" type="noConversion"/>
  </si>
  <si>
    <t>旧宫</t>
    <phoneticPr fontId="225" type="noConversion"/>
  </si>
  <si>
    <t>综合用地(含住宅)</t>
    <phoneticPr fontId="225" type="noConversion"/>
  </si>
  <si>
    <t>R2居住用地及A334基础教育用地及S1城市道路用地</t>
    <phoneticPr fontId="225" type="noConversion"/>
  </si>
  <si>
    <t>中国电建地产集团有限公司 、京能置业股份有限公司联合体</t>
    <phoneticPr fontId="225" type="noConversion"/>
  </si>
  <si>
    <t>崔锴</t>
  </si>
  <si>
    <t>郑燚</t>
  </si>
  <si>
    <t>抵押价格</t>
  </si>
  <si>
    <t>企业</t>
  </si>
  <si>
    <t>一致</t>
  </si>
  <si>
    <t>出让</t>
  </si>
  <si>
    <t>商业</t>
  </si>
  <si>
    <t>车库</t>
  </si>
  <si>
    <t>仓储</t>
  </si>
  <si>
    <t>居住项目</t>
  </si>
  <si>
    <t>否</t>
  </si>
  <si>
    <t>场地平整</t>
  </si>
  <si>
    <t>通路</t>
  </si>
  <si>
    <t>通电</t>
  </si>
  <si>
    <t>通讯</t>
  </si>
  <si>
    <t>通上水</t>
  </si>
  <si>
    <t>通下水</t>
  </si>
  <si>
    <t>通热</t>
  </si>
  <si>
    <t>燃气</t>
  </si>
  <si>
    <t>地上</t>
  </si>
  <si>
    <t>普通住宅</t>
  </si>
  <si>
    <t>地下</t>
  </si>
  <si>
    <t>戊类库房</t>
  </si>
  <si>
    <t>住宅</t>
    <phoneticPr fontId="7" type="noConversion"/>
  </si>
  <si>
    <t>地下仓储</t>
  </si>
  <si>
    <t>地下仓储</t>
    <phoneticPr fontId="7" type="noConversion"/>
  </si>
  <si>
    <t>地下车库</t>
    <phoneticPr fontId="7" type="noConversion"/>
  </si>
  <si>
    <t>工程进度</t>
  </si>
  <si>
    <t>利息：取LPR加浮动点数</t>
  </si>
  <si>
    <t>较好</t>
  </si>
  <si>
    <t>一般</t>
  </si>
  <si>
    <t>一般</t>
    <phoneticPr fontId="3" type="noConversion"/>
  </si>
  <si>
    <t>七通</t>
  </si>
  <si>
    <t>七通</t>
    <phoneticPr fontId="3" type="noConversion"/>
  </si>
  <si>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</si>
  <si>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</si>
  <si>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</si>
  <si>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</si>
  <si>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</si>
  <si>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</si>
  <si>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</si>
  <si>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</si>
  <si>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</si>
  <si>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</si>
  <si>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</si>
  <si>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一般</t>
    <phoneticPr fontId="3" type="noConversion"/>
  </si>
  <si>
    <t xml:space="preserve"> </t>
    <phoneticPr fontId="26" type="noConversion"/>
  </si>
  <si>
    <t>比较法-住宅、综合</t>
  </si>
  <si>
    <t>剩余法-待开发</t>
  </si>
  <si>
    <t>拿地</t>
    <phoneticPr fontId="9" type="noConversion"/>
  </si>
  <si>
    <t>地下仓储</t>
    <phoneticPr fontId="9" type="noConversion"/>
  </si>
  <si>
    <t>地下车库</t>
    <phoneticPr fontId="9" type="noConversion"/>
  </si>
  <si>
    <t>成交金额</t>
    <phoneticPr fontId="225" type="noConversion"/>
  </si>
  <si>
    <t>套数</t>
    <phoneticPr fontId="225" type="noConversion"/>
  </si>
  <si>
    <t>车库</t>
    <phoneticPr fontId="225" type="noConversion"/>
  </si>
  <si>
    <t>雅居乐京华雅郡</t>
    <phoneticPr fontId="225" type="noConversion"/>
  </si>
  <si>
    <t>仓储</t>
    <phoneticPr fontId="225" type="noConversion"/>
  </si>
  <si>
    <t>项目名称</t>
    <phoneticPr fontId="225" type="noConversion"/>
  </si>
  <si>
    <t>单价</t>
    <phoneticPr fontId="225" type="noConversion"/>
  </si>
  <si>
    <t>柏雅景苑</t>
    <phoneticPr fontId="225" type="noConversion"/>
  </si>
  <si>
    <t>兴韵雅苑</t>
    <phoneticPr fontId="225" type="noConversion"/>
  </si>
  <si>
    <t>云锦佳园</t>
    <phoneticPr fontId="225" type="noConversion"/>
  </si>
  <si>
    <t>高层</t>
  </si>
  <si>
    <t>高层</t>
    <phoneticPr fontId="21" type="noConversion"/>
  </si>
  <si>
    <t>钢混</t>
  </si>
  <si>
    <t>钢混</t>
    <phoneticPr fontId="21" type="noConversion"/>
  </si>
  <si>
    <t>高档</t>
  </si>
  <si>
    <t>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</si>
  <si>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</si>
  <si>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</si>
  <si>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</si>
  <si>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</si>
  <si>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</si>
  <si>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</si>
  <si>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</si>
  <si>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</si>
  <si>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</si>
  <si>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</si>
  <si>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住宅</t>
    <phoneticPr fontId="21" type="noConversion"/>
  </si>
  <si>
    <t>60-70（含）</t>
  </si>
  <si>
    <t>售价</t>
  </si>
  <si>
    <t>库房</t>
  </si>
  <si>
    <t>库房</t>
    <phoneticPr fontId="27" type="noConversion"/>
  </si>
  <si>
    <t>40-50（含）</t>
  </si>
  <si>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</si>
  <si>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</si>
  <si>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</si>
  <si>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</si>
  <si>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</si>
  <si>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</si>
  <si>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有</t>
    <phoneticPr fontId="27" type="noConversion"/>
  </si>
  <si>
    <t>无</t>
    <phoneticPr fontId="27" type="noConversion"/>
  </si>
  <si>
    <t>是</t>
    <phoneticPr fontId="27" type="noConversion"/>
  </si>
  <si>
    <t>否</t>
    <phoneticPr fontId="27" type="noConversion"/>
  </si>
  <si>
    <t>地下车库</t>
    <phoneticPr fontId="27" type="noConversion"/>
  </si>
  <si>
    <t>元/车位</t>
  </si>
  <si>
    <t>较好</t>
    <phoneticPr fontId="21" type="noConversion"/>
  </si>
  <si>
    <t>较好</t>
    <phoneticPr fontId="27" type="noConversion"/>
  </si>
  <si>
    <t>熙悦宸著</t>
    <phoneticPr fontId="225" type="noConversion"/>
  </si>
  <si>
    <t xml:space="preserve"> </t>
    <phoneticPr fontId="3" type="noConversion"/>
  </si>
  <si>
    <t>较规则</t>
  </si>
  <si>
    <t>较适宜</t>
  </si>
  <si>
    <t>五通</t>
  </si>
  <si>
    <t>配套公共服务设施</t>
    <phoneticPr fontId="225" type="noConversion"/>
  </si>
  <si>
    <t>地下车库出地面楼梯</t>
    <phoneticPr fontId="225" type="noConversion"/>
  </si>
  <si>
    <t>人防出入口及人防警报室</t>
    <phoneticPr fontId="225" type="noConversion"/>
  </si>
  <si>
    <t>消防高位水箱间</t>
    <phoneticPr fontId="225" type="noConversion"/>
  </si>
  <si>
    <t>非人防工程</t>
    <phoneticPr fontId="225" type="noConversion"/>
  </si>
  <si>
    <t>存自行车处</t>
    <phoneticPr fontId="225" type="noConversion"/>
  </si>
  <si>
    <t>非人防机动车库</t>
    <phoneticPr fontId="225" type="noConversion"/>
  </si>
  <si>
    <t>生活仓储</t>
    <phoneticPr fontId="225" type="noConversion"/>
  </si>
  <si>
    <t>设备用房</t>
    <phoneticPr fontId="225" type="noConversion"/>
  </si>
  <si>
    <t>人防工程</t>
    <phoneticPr fontId="225" type="noConversion"/>
  </si>
  <si>
    <t>菜市场</t>
    <phoneticPr fontId="225" type="noConversion"/>
  </si>
  <si>
    <t>其中</t>
    <phoneticPr fontId="225" type="noConversion"/>
  </si>
  <si>
    <t>机房</t>
    <phoneticPr fontId="225" type="noConversion"/>
  </si>
  <si>
    <t>设备间</t>
    <phoneticPr fontId="225" type="noConversion"/>
  </si>
  <si>
    <t>有线</t>
    <phoneticPr fontId="225" type="noConversion"/>
  </si>
  <si>
    <t>配电室</t>
    <phoneticPr fontId="225" type="noConversion"/>
  </si>
  <si>
    <t>锅炉房</t>
    <phoneticPr fontId="225" type="noConversion"/>
  </si>
  <si>
    <t>小型商服</t>
    <phoneticPr fontId="225" type="noConversion"/>
  </si>
  <si>
    <t>物业服务</t>
    <phoneticPr fontId="225" type="noConversion"/>
  </si>
  <si>
    <t>其他配套商业</t>
    <phoneticPr fontId="225" type="noConversion"/>
  </si>
  <si>
    <t>城市之光东望</t>
    <phoneticPr fontId="225" type="noConversion"/>
  </si>
  <si>
    <t>绿城明月听蘭</t>
    <phoneticPr fontId="225" type="noConversion"/>
  </si>
  <si>
    <t>招商臻珑府</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</si>
</sst>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0" fontId="0" fillId="6" borderId="0" xfId="0" applyFill="1">
      <alignment vertical="center"/>
    </xf>
    <xf numFmtId="14" fontId="0" fillId="6" borderId="0" xfId="0" applyNumberFormat="1" applyFill="1">
      <alignment vertical="center"/>
    </xf>
    <xf numFmtId="0" fontId="144" fillId="0" borderId="0" xfId="0" applyFont="1">
      <alignment vertical="center"/>
    </xf>
    <xf numFmtId="14" fontId="144" fillId="0" borderId="0" xfId="0" applyNumberFormat="1" applyFont="1">
      <alignment vertical="center"/>
    </xf>
    <xf numFmtId="10" fontId="144"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78" fillId="0" borderId="59" xfId="0" applyNumberFormat="1" applyFont="1" applyFill="1" applyBorder="1" applyAlignment="1" applyProtection="1">
      <alignment horizontal="center" vertical="center" wrapText="1"/>
      <protection locked="0"/>
    </xf>
    <xf numFmtId="49" fontId="141" fillId="0" borderId="58" xfId="0" applyNumberFormat="1" applyFont="1" applyFill="1" applyBorder="1" applyAlignment="1" applyProtection="1">
      <alignment horizontal="center" vertical="center" wrapText="1"/>
      <protection locked="0"/>
    </xf>
    <xf numFmtId="49" fontId="141" fillId="0" borderId="22"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8</xdr:col>
      <xdr:colOff>161130</xdr:colOff>
      <xdr:row>16</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6361905" cy="1371429"/>
        </a:xfrm>
        <a:prstGeom prst="rect">
          <a:avLst/>
        </a:prstGeom>
      </xdr:spPr>
    </xdr:pic>
    <xdr:clientData/>
  </xdr:twoCellAnchor>
  <xdr:twoCellAnchor editAs="oneCell">
    <xdr:from>
      <xdr:col>0</xdr:col>
      <xdr:colOff>0</xdr:colOff>
      <xdr:row>18</xdr:row>
      <xdr:rowOff>0</xdr:rowOff>
    </xdr:from>
    <xdr:to>
      <xdr:col>7</xdr:col>
      <xdr:colOff>151692</xdr:colOff>
      <xdr:row>33</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666667" cy="2733334"/>
        </a:xfrm>
        <a:prstGeom prst="rect">
          <a:avLst/>
        </a:prstGeom>
      </xdr:spPr>
    </xdr:pic>
    <xdr:clientData/>
  </xdr:twoCellAnchor>
  <xdr:twoCellAnchor editAs="oneCell">
    <xdr:from>
      <xdr:col>0</xdr:col>
      <xdr:colOff>95163</xdr:colOff>
      <xdr:row>34</xdr:row>
      <xdr:rowOff>9612</xdr:rowOff>
    </xdr:from>
    <xdr:to>
      <xdr:col>4</xdr:col>
      <xdr:colOff>561398</xdr:colOff>
      <xdr:row>65</xdr:row>
      <xdr:rowOff>8948</xdr:rowOff>
    </xdr:to>
    <xdr:pic>
      <xdr:nvPicPr>
        <xdr:cNvPr id="4" name="图片 3"/>
        <xdr:cNvPicPr>
          <a:picLocks noChangeAspect="1"/>
        </xdr:cNvPicPr>
      </xdr:nvPicPr>
      <xdr:blipFill>
        <a:blip xmlns:r="http://schemas.openxmlformats.org/officeDocument/2006/relationships" r:embed="rId3"/>
        <a:stretch>
          <a:fillRect/>
        </a:stretch>
      </xdr:blipFill>
      <xdr:spPr>
        <a:xfrm rot="5400000">
          <a:off x="-600075" y="6534150"/>
          <a:ext cx="5314286" cy="3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0</xdr:row>
      <xdr:rowOff>0</xdr:rowOff>
    </xdr:from>
    <xdr:to>
      <xdr:col>13</xdr:col>
      <xdr:colOff>304181</xdr:colOff>
      <xdr:row>34</xdr:row>
      <xdr:rowOff>161134</xdr:rowOff>
    </xdr:to>
    <xdr:pic>
      <xdr:nvPicPr>
        <xdr:cNvPr id="3" name="图片 2"/>
        <xdr:cNvPicPr>
          <a:picLocks noChangeAspect="1"/>
        </xdr:cNvPicPr>
      </xdr:nvPicPr>
      <xdr:blipFill>
        <a:blip xmlns:r="http://schemas.openxmlformats.org/officeDocument/2006/relationships" r:embed="rId1"/>
        <a:stretch>
          <a:fillRect/>
        </a:stretch>
      </xdr:blipFill>
      <xdr:spPr>
        <a:xfrm>
          <a:off x="5238750" y="0"/>
          <a:ext cx="4952381" cy="6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447675</xdr:colOff>
      <xdr:row>31</xdr:row>
      <xdr:rowOff>161925</xdr:rowOff>
    </xdr:from>
    <xdr:to>
      <xdr:col>14</xdr:col>
      <xdr:colOff>275193</xdr:colOff>
      <xdr:row>69</xdr:row>
      <xdr:rowOff>84921</xdr:rowOff>
    </xdr:to>
    <xdr:pic>
      <xdr:nvPicPr>
        <xdr:cNvPr id="3" name="图片 2"/>
        <xdr:cNvPicPr>
          <a:picLocks noChangeAspect="1"/>
        </xdr:cNvPicPr>
      </xdr:nvPicPr>
      <xdr:blipFill>
        <a:blip xmlns:r="http://schemas.openxmlformats.org/officeDocument/2006/relationships" r:embed="rId1"/>
        <a:stretch>
          <a:fillRect/>
        </a:stretch>
      </xdr:blipFill>
      <xdr:spPr>
        <a:xfrm>
          <a:off x="1819275" y="7019925"/>
          <a:ext cx="8257143" cy="6438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67</xdr:row>
      <xdr:rowOff>116417</xdr:rowOff>
    </xdr:from>
    <xdr:to>
      <xdr:col>12</xdr:col>
      <xdr:colOff>247799</xdr:colOff>
      <xdr:row>93</xdr:row>
      <xdr:rowOff>4233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461750"/>
          <a:ext cx="8502799" cy="4290483"/>
        </a:xfrm>
        <a:prstGeom prst="rect">
          <a:avLst/>
        </a:prstGeom>
      </xdr:spPr>
    </xdr:pic>
    <xdr:clientData/>
  </xdr:twoCellAnchor>
  <xdr:twoCellAnchor editAs="oneCell">
    <xdr:from>
      <xdr:col>13</xdr:col>
      <xdr:colOff>0</xdr:colOff>
      <xdr:row>0</xdr:row>
      <xdr:rowOff>0</xdr:rowOff>
    </xdr:from>
    <xdr:to>
      <xdr:col>16</xdr:col>
      <xdr:colOff>85457</xdr:colOff>
      <xdr:row>2</xdr:row>
      <xdr:rowOff>38052</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142857" cy="380952"/>
        </a:xfrm>
        <a:prstGeom prst="rect">
          <a:avLst/>
        </a:prstGeom>
      </xdr:spPr>
    </xdr:pic>
    <xdr:clientData/>
  </xdr:twoCellAnchor>
  <xdr:twoCellAnchor editAs="oneCell">
    <xdr:from>
      <xdr:col>13</xdr:col>
      <xdr:colOff>0</xdr:colOff>
      <xdr:row>2</xdr:row>
      <xdr:rowOff>19050</xdr:rowOff>
    </xdr:from>
    <xdr:to>
      <xdr:col>22</xdr:col>
      <xdr:colOff>199229</xdr:colOff>
      <xdr:row>12</xdr:row>
      <xdr:rowOff>28360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61950"/>
          <a:ext cx="6371429" cy="1723810"/>
        </a:xfrm>
        <a:prstGeom prst="rect">
          <a:avLst/>
        </a:prstGeom>
      </xdr:spPr>
    </xdr:pic>
    <xdr:clientData/>
  </xdr:twoCellAnchor>
  <xdr:twoCellAnchor editAs="oneCell">
    <xdr:from>
      <xdr:col>0</xdr:col>
      <xdr:colOff>0</xdr:colOff>
      <xdr:row>25</xdr:row>
      <xdr:rowOff>0</xdr:rowOff>
    </xdr:from>
    <xdr:to>
      <xdr:col>3</xdr:col>
      <xdr:colOff>9267</xdr:colOff>
      <xdr:row>26</xdr:row>
      <xdr:rowOff>161883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2066667" cy="333333"/>
        </a:xfrm>
        <a:prstGeom prst="rect">
          <a:avLst/>
        </a:prstGeom>
      </xdr:spPr>
    </xdr:pic>
    <xdr:clientData/>
  </xdr:twoCellAnchor>
  <xdr:twoCellAnchor editAs="oneCell">
    <xdr:from>
      <xdr:col>0</xdr:col>
      <xdr:colOff>0</xdr:colOff>
      <xdr:row>27</xdr:row>
      <xdr:rowOff>0</xdr:rowOff>
    </xdr:from>
    <xdr:to>
      <xdr:col>9</xdr:col>
      <xdr:colOff>208753</xdr:colOff>
      <xdr:row>38</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6380953" cy="1952381"/>
        </a:xfrm>
        <a:prstGeom prst="rect">
          <a:avLst/>
        </a:prstGeom>
      </xdr:spPr>
    </xdr:pic>
    <xdr:clientData/>
  </xdr:twoCellAnchor>
  <xdr:twoCellAnchor editAs="oneCell">
    <xdr:from>
      <xdr:col>0</xdr:col>
      <xdr:colOff>0</xdr:colOff>
      <xdr:row>39</xdr:row>
      <xdr:rowOff>0</xdr:rowOff>
    </xdr:from>
    <xdr:to>
      <xdr:col>2</xdr:col>
      <xdr:colOff>199829</xdr:colOff>
      <xdr:row>41</xdr:row>
      <xdr:rowOff>47576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1571429" cy="390476"/>
        </a:xfrm>
        <a:prstGeom prst="rect">
          <a:avLst/>
        </a:prstGeom>
      </xdr:spPr>
    </xdr:pic>
    <xdr:clientData/>
  </xdr:twoCellAnchor>
  <xdr:twoCellAnchor editAs="oneCell">
    <xdr:from>
      <xdr:col>0</xdr:col>
      <xdr:colOff>0</xdr:colOff>
      <xdr:row>42</xdr:row>
      <xdr:rowOff>0</xdr:rowOff>
    </xdr:from>
    <xdr:to>
      <xdr:col>9</xdr:col>
      <xdr:colOff>132562</xdr:colOff>
      <xdr:row>53</xdr:row>
      <xdr:rowOff>85479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6304762" cy="1971429"/>
        </a:xfrm>
        <a:prstGeom prst="rect">
          <a:avLst/>
        </a:prstGeom>
      </xdr:spPr>
    </xdr:pic>
    <xdr:clientData/>
  </xdr:twoCellAnchor>
  <xdr:twoCellAnchor editAs="oneCell">
    <xdr:from>
      <xdr:col>0</xdr:col>
      <xdr:colOff>0</xdr:colOff>
      <xdr:row>54</xdr:row>
      <xdr:rowOff>0</xdr:rowOff>
    </xdr:from>
    <xdr:to>
      <xdr:col>2</xdr:col>
      <xdr:colOff>495067</xdr:colOff>
      <xdr:row>57</xdr:row>
      <xdr:rowOff>18983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58300"/>
          <a:ext cx="1866667" cy="533333"/>
        </a:xfrm>
        <a:prstGeom prst="rect">
          <a:avLst/>
        </a:prstGeom>
      </xdr:spPr>
    </xdr:pic>
    <xdr:clientData/>
  </xdr:twoCellAnchor>
  <xdr:twoCellAnchor editAs="oneCell">
    <xdr:from>
      <xdr:col>0</xdr:col>
      <xdr:colOff>0</xdr:colOff>
      <xdr:row>57</xdr:row>
      <xdr:rowOff>0</xdr:rowOff>
    </xdr:from>
    <xdr:to>
      <xdr:col>9</xdr:col>
      <xdr:colOff>94467</xdr:colOff>
      <xdr:row>68</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772650"/>
          <a:ext cx="6266667" cy="1914286"/>
        </a:xfrm>
        <a:prstGeom prst="rect">
          <a:avLst/>
        </a:prstGeom>
      </xdr:spPr>
    </xdr:pic>
    <xdr:clientData/>
  </xdr:twoCellAnchor>
  <xdr:twoCellAnchor editAs="oneCell">
    <xdr:from>
      <xdr:col>13</xdr:col>
      <xdr:colOff>0</xdr:colOff>
      <xdr:row>12</xdr:row>
      <xdr:rowOff>0</xdr:rowOff>
    </xdr:from>
    <xdr:to>
      <xdr:col>15</xdr:col>
      <xdr:colOff>447448</xdr:colOff>
      <xdr:row>15</xdr:row>
      <xdr:rowOff>57079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2057400"/>
          <a:ext cx="1819048" cy="571429"/>
        </a:xfrm>
        <a:prstGeom prst="rect">
          <a:avLst/>
        </a:prstGeom>
      </xdr:spPr>
    </xdr:pic>
    <xdr:clientData/>
  </xdr:twoCellAnchor>
  <xdr:twoCellAnchor editAs="oneCell">
    <xdr:from>
      <xdr:col>13</xdr:col>
      <xdr:colOff>0</xdr:colOff>
      <xdr:row>25</xdr:row>
      <xdr:rowOff>0</xdr:rowOff>
    </xdr:from>
    <xdr:to>
      <xdr:col>15</xdr:col>
      <xdr:colOff>333162</xdr:colOff>
      <xdr:row>27</xdr:row>
      <xdr:rowOff>2074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4286250"/>
          <a:ext cx="1704762" cy="342857"/>
        </a:xfrm>
        <a:prstGeom prst="rect">
          <a:avLst/>
        </a:prstGeom>
      </xdr:spPr>
    </xdr:pic>
    <xdr:clientData/>
  </xdr:twoCellAnchor>
  <xdr:twoCellAnchor editAs="oneCell">
    <xdr:from>
      <xdr:col>13</xdr:col>
      <xdr:colOff>0</xdr:colOff>
      <xdr:row>28</xdr:row>
      <xdr:rowOff>0</xdr:rowOff>
    </xdr:from>
    <xdr:to>
      <xdr:col>22</xdr:col>
      <xdr:colOff>208753</xdr:colOff>
      <xdr:row>39</xdr:row>
      <xdr:rowOff>123574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4800600"/>
          <a:ext cx="6380953" cy="2009524"/>
        </a:xfrm>
        <a:prstGeom prst="rect">
          <a:avLst/>
        </a:prstGeom>
      </xdr:spPr>
    </xdr:pic>
    <xdr:clientData/>
  </xdr:twoCellAnchor>
  <xdr:twoCellAnchor editAs="oneCell">
    <xdr:from>
      <xdr:col>13</xdr:col>
      <xdr:colOff>0</xdr:colOff>
      <xdr:row>15</xdr:row>
      <xdr:rowOff>0</xdr:rowOff>
    </xdr:from>
    <xdr:to>
      <xdr:col>22</xdr:col>
      <xdr:colOff>46848</xdr:colOff>
      <xdr:row>24</xdr:row>
      <xdr:rowOff>114093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915400" y="2571750"/>
          <a:ext cx="6219048" cy="1657143"/>
        </a:xfrm>
        <a:prstGeom prst="rect">
          <a:avLst/>
        </a:prstGeom>
      </xdr:spPr>
    </xdr:pic>
    <xdr:clientData/>
  </xdr:twoCellAnchor>
  <xdr:twoCellAnchor editAs="oneCell">
    <xdr:from>
      <xdr:col>13</xdr:col>
      <xdr:colOff>0</xdr:colOff>
      <xdr:row>40</xdr:row>
      <xdr:rowOff>0</xdr:rowOff>
    </xdr:from>
    <xdr:to>
      <xdr:col>16</xdr:col>
      <xdr:colOff>18791</xdr:colOff>
      <xdr:row>43</xdr:row>
      <xdr:rowOff>47555</xdr:rowOff>
    </xdr:to>
    <xdr:pic>
      <xdr:nvPicPr>
        <xdr:cNvPr id="18" name="图片 17"/>
        <xdr:cNvPicPr>
          <a:picLocks noChangeAspect="1"/>
        </xdr:cNvPicPr>
      </xdr:nvPicPr>
      <xdr:blipFill>
        <a:blip xmlns:r="http://schemas.openxmlformats.org/officeDocument/2006/relationships" r:embed="rId14"/>
        <a:stretch>
          <a:fillRect/>
        </a:stretch>
      </xdr:blipFill>
      <xdr:spPr>
        <a:xfrm>
          <a:off x="8915400" y="6858000"/>
          <a:ext cx="2076191" cy="561905"/>
        </a:xfrm>
        <a:prstGeom prst="rect">
          <a:avLst/>
        </a:prstGeom>
      </xdr:spPr>
    </xdr:pic>
    <xdr:clientData/>
  </xdr:twoCellAnchor>
  <xdr:twoCellAnchor editAs="oneCell">
    <xdr:from>
      <xdr:col>13</xdr:col>
      <xdr:colOff>0</xdr:colOff>
      <xdr:row>44</xdr:row>
      <xdr:rowOff>0</xdr:rowOff>
    </xdr:from>
    <xdr:to>
      <xdr:col>22</xdr:col>
      <xdr:colOff>56372</xdr:colOff>
      <xdr:row>53</xdr:row>
      <xdr:rowOff>152188</xdr:rowOff>
    </xdr:to>
    <xdr:pic>
      <xdr:nvPicPr>
        <xdr:cNvPr id="19" name="图片 18"/>
        <xdr:cNvPicPr>
          <a:picLocks noChangeAspect="1"/>
        </xdr:cNvPicPr>
      </xdr:nvPicPr>
      <xdr:blipFill>
        <a:blip xmlns:r="http://schemas.openxmlformats.org/officeDocument/2006/relationships" r:embed="rId15"/>
        <a:stretch>
          <a:fillRect/>
        </a:stretch>
      </xdr:blipFill>
      <xdr:spPr>
        <a:xfrm>
          <a:off x="8915400" y="7543800"/>
          <a:ext cx="6228572" cy="1695238"/>
        </a:xfrm>
        <a:prstGeom prst="rect">
          <a:avLst/>
        </a:prstGeom>
      </xdr:spPr>
    </xdr:pic>
    <xdr:clientData/>
  </xdr:twoCellAnchor>
  <xdr:twoCellAnchor editAs="oneCell">
    <xdr:from>
      <xdr:col>13</xdr:col>
      <xdr:colOff>613833</xdr:colOff>
      <xdr:row>54</xdr:row>
      <xdr:rowOff>126999</xdr:rowOff>
    </xdr:from>
    <xdr:to>
      <xdr:col>24</xdr:col>
      <xdr:colOff>589608</xdr:colOff>
      <xdr:row>64</xdr:row>
      <xdr:rowOff>24142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9556750" y="9270999"/>
          <a:ext cx="7542858" cy="1590476"/>
        </a:xfrm>
        <a:prstGeom prst="rect">
          <a:avLst/>
        </a:prstGeom>
      </xdr:spPr>
    </xdr:pic>
    <xdr:clientData/>
  </xdr:twoCellAnchor>
  <xdr:twoCellAnchor editAs="oneCell">
    <xdr:from>
      <xdr:col>9</xdr:col>
      <xdr:colOff>137583</xdr:colOff>
      <xdr:row>54</xdr:row>
      <xdr:rowOff>127000</xdr:rowOff>
    </xdr:from>
    <xdr:to>
      <xdr:col>14</xdr:col>
      <xdr:colOff>50381</xdr:colOff>
      <xdr:row>66</xdr:row>
      <xdr:rowOff>28333</xdr:rowOff>
    </xdr:to>
    <xdr:pic>
      <xdr:nvPicPr>
        <xdr:cNvPr id="21" name="图片 20"/>
        <xdr:cNvPicPr>
          <a:picLocks noChangeAspect="1"/>
        </xdr:cNvPicPr>
      </xdr:nvPicPr>
      <xdr:blipFill>
        <a:blip xmlns:r="http://schemas.openxmlformats.org/officeDocument/2006/relationships" r:embed="rId17"/>
        <a:stretch>
          <a:fillRect/>
        </a:stretch>
      </xdr:blipFill>
      <xdr:spPr>
        <a:xfrm>
          <a:off x="6328833" y="9271000"/>
          <a:ext cx="3352381" cy="1933333"/>
        </a:xfrm>
        <a:prstGeom prst="rect">
          <a:avLst/>
        </a:prstGeom>
      </xdr:spPr>
    </xdr:pic>
    <xdr:clientData/>
  </xdr:twoCellAnchor>
  <xdr:twoCellAnchor editAs="oneCell">
    <xdr:from>
      <xdr:col>14</xdr:col>
      <xdr:colOff>0</xdr:colOff>
      <xdr:row>67</xdr:row>
      <xdr:rowOff>0</xdr:rowOff>
    </xdr:from>
    <xdr:to>
      <xdr:col>24</xdr:col>
      <xdr:colOff>663691</xdr:colOff>
      <xdr:row>75</xdr:row>
      <xdr:rowOff>140571</xdr:rowOff>
    </xdr:to>
    <xdr:pic>
      <xdr:nvPicPr>
        <xdr:cNvPr id="22" name="图片 21"/>
        <xdr:cNvPicPr>
          <a:picLocks noChangeAspect="1"/>
        </xdr:cNvPicPr>
      </xdr:nvPicPr>
      <xdr:blipFill>
        <a:blip xmlns:r="http://schemas.openxmlformats.org/officeDocument/2006/relationships" r:embed="rId18"/>
        <a:stretch>
          <a:fillRect/>
        </a:stretch>
      </xdr:blipFill>
      <xdr:spPr>
        <a:xfrm>
          <a:off x="9630833" y="11345333"/>
          <a:ext cx="7542858" cy="1495238"/>
        </a:xfrm>
        <a:prstGeom prst="rect">
          <a:avLst/>
        </a:prstGeom>
      </xdr:spPr>
    </xdr:pic>
    <xdr:clientData/>
  </xdr:twoCellAnchor>
  <xdr:twoCellAnchor editAs="oneCell">
    <xdr:from>
      <xdr:col>12</xdr:col>
      <xdr:colOff>367770</xdr:colOff>
      <xdr:row>67</xdr:row>
      <xdr:rowOff>15875</xdr:rowOff>
    </xdr:from>
    <xdr:to>
      <xdr:col>17</xdr:col>
      <xdr:colOff>257288</xdr:colOff>
      <xdr:row>79</xdr:row>
      <xdr:rowOff>2923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8559270" y="11715750"/>
          <a:ext cx="3302643" cy="2082548"/>
        </a:xfrm>
        <a:prstGeom prst="rect">
          <a:avLst/>
        </a:prstGeom>
      </xdr:spPr>
    </xdr:pic>
    <xdr:clientData/>
  </xdr:twoCellAnchor>
  <xdr:twoCellAnchor editAs="oneCell">
    <xdr:from>
      <xdr:col>14</xdr:col>
      <xdr:colOff>0</xdr:colOff>
      <xdr:row>79</xdr:row>
      <xdr:rowOff>0</xdr:rowOff>
    </xdr:from>
    <xdr:to>
      <xdr:col>25</xdr:col>
      <xdr:colOff>61488</xdr:colOff>
      <xdr:row>88</xdr:row>
      <xdr:rowOff>66476</xdr:rowOff>
    </xdr:to>
    <xdr:pic>
      <xdr:nvPicPr>
        <xdr:cNvPr id="24" name="图片 23"/>
        <xdr:cNvPicPr>
          <a:picLocks noChangeAspect="1"/>
        </xdr:cNvPicPr>
      </xdr:nvPicPr>
      <xdr:blipFill>
        <a:blip xmlns:r="http://schemas.openxmlformats.org/officeDocument/2006/relationships" r:embed="rId20"/>
        <a:stretch>
          <a:fillRect/>
        </a:stretch>
      </xdr:blipFill>
      <xdr:spPr>
        <a:xfrm>
          <a:off x="9630833" y="13377333"/>
          <a:ext cx="7628572" cy="1590476"/>
        </a:xfrm>
        <a:prstGeom prst="rect">
          <a:avLst/>
        </a:prstGeom>
      </xdr:spPr>
    </xdr:pic>
    <xdr:clientData/>
  </xdr:twoCellAnchor>
  <xdr:twoCellAnchor editAs="oneCell">
    <xdr:from>
      <xdr:col>12</xdr:col>
      <xdr:colOff>333375</xdr:colOff>
      <xdr:row>79</xdr:row>
      <xdr:rowOff>63500</xdr:rowOff>
    </xdr:from>
    <xdr:to>
      <xdr:col>17</xdr:col>
      <xdr:colOff>41940</xdr:colOff>
      <xdr:row>90</xdr:row>
      <xdr:rowOff>105595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8524875" y="13858875"/>
          <a:ext cx="3121690" cy="1962970"/>
        </a:xfrm>
        <a:prstGeom prst="rect">
          <a:avLst/>
        </a:prstGeom>
      </xdr:spPr>
    </xdr:pic>
    <xdr:clientData/>
  </xdr:twoCellAnchor>
  <xdr:twoCellAnchor editAs="oneCell">
    <xdr:from>
      <xdr:col>14</xdr:col>
      <xdr:colOff>0</xdr:colOff>
      <xdr:row>89</xdr:row>
      <xdr:rowOff>0</xdr:rowOff>
    </xdr:from>
    <xdr:to>
      <xdr:col>25</xdr:col>
      <xdr:colOff>32917</xdr:colOff>
      <xdr:row>97</xdr:row>
      <xdr:rowOff>102477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9630833" y="15070667"/>
          <a:ext cx="7600001" cy="1457143"/>
        </a:xfrm>
        <a:prstGeom prst="rect">
          <a:avLst/>
        </a:prstGeom>
      </xdr:spPr>
    </xdr:pic>
    <xdr:clientData/>
  </xdr:twoCellAnchor>
  <xdr:twoCellAnchor editAs="oneCell">
    <xdr:from>
      <xdr:col>9</xdr:col>
      <xdr:colOff>0</xdr:colOff>
      <xdr:row>91</xdr:row>
      <xdr:rowOff>0</xdr:rowOff>
    </xdr:from>
    <xdr:to>
      <xdr:col>14</xdr:col>
      <xdr:colOff>8036</xdr:colOff>
      <xdr:row>103</xdr:row>
      <xdr:rowOff>25143</xdr:rowOff>
    </xdr:to>
    <xdr:pic>
      <xdr:nvPicPr>
        <xdr:cNvPr id="27" name="图片 26"/>
        <xdr:cNvPicPr>
          <a:picLocks noChangeAspect="1"/>
        </xdr:cNvPicPr>
      </xdr:nvPicPr>
      <xdr:blipFill>
        <a:blip xmlns:r="http://schemas.openxmlformats.org/officeDocument/2006/relationships" r:embed="rId23"/>
        <a:stretch>
          <a:fillRect/>
        </a:stretch>
      </xdr:blipFill>
      <xdr:spPr>
        <a:xfrm>
          <a:off x="6191250" y="15409333"/>
          <a:ext cx="3447619" cy="2057143"/>
        </a:xfrm>
        <a:prstGeom prst="rect">
          <a:avLst/>
        </a:prstGeom>
      </xdr:spPr>
    </xdr:pic>
    <xdr:clientData/>
  </xdr:twoCellAnchor>
  <xdr:twoCellAnchor editAs="oneCell">
    <xdr:from>
      <xdr:col>25</xdr:col>
      <xdr:colOff>0</xdr:colOff>
      <xdr:row>54</xdr:row>
      <xdr:rowOff>0</xdr:rowOff>
    </xdr:from>
    <xdr:to>
      <xdr:col>34</xdr:col>
      <xdr:colOff>189709</xdr:colOff>
      <xdr:row>61</xdr:row>
      <xdr:rowOff>110958</xdr:rowOff>
    </xdr:to>
    <xdr:pic>
      <xdr:nvPicPr>
        <xdr:cNvPr id="28" name="图片 27"/>
        <xdr:cNvPicPr>
          <a:picLocks noChangeAspect="1"/>
        </xdr:cNvPicPr>
      </xdr:nvPicPr>
      <xdr:blipFill>
        <a:blip xmlns:r="http://schemas.openxmlformats.org/officeDocument/2006/relationships" r:embed="rId24"/>
        <a:stretch>
          <a:fillRect/>
        </a:stretch>
      </xdr:blipFill>
      <xdr:spPr>
        <a:xfrm>
          <a:off x="17065625" y="9429750"/>
          <a:ext cx="6333334" cy="1333333"/>
        </a:xfrm>
        <a:prstGeom prst="rect">
          <a:avLst/>
        </a:prstGeom>
      </xdr:spPr>
    </xdr:pic>
    <xdr:clientData/>
  </xdr:twoCellAnchor>
  <xdr:twoCellAnchor editAs="oneCell">
    <xdr:from>
      <xdr:col>25</xdr:col>
      <xdr:colOff>0</xdr:colOff>
      <xdr:row>68</xdr:row>
      <xdr:rowOff>0</xdr:rowOff>
    </xdr:from>
    <xdr:to>
      <xdr:col>34</xdr:col>
      <xdr:colOff>580185</xdr:colOff>
      <xdr:row>75</xdr:row>
      <xdr:rowOff>139530</xdr:rowOff>
    </xdr:to>
    <xdr:pic>
      <xdr:nvPicPr>
        <xdr:cNvPr id="29" name="图片 28"/>
        <xdr:cNvPicPr>
          <a:picLocks noChangeAspect="1"/>
        </xdr:cNvPicPr>
      </xdr:nvPicPr>
      <xdr:blipFill>
        <a:blip xmlns:r="http://schemas.openxmlformats.org/officeDocument/2006/relationships" r:embed="rId25"/>
        <a:stretch>
          <a:fillRect/>
        </a:stretch>
      </xdr:blipFill>
      <xdr:spPr>
        <a:xfrm>
          <a:off x="17065625" y="11874500"/>
          <a:ext cx="6723810" cy="1361905"/>
        </a:xfrm>
        <a:prstGeom prst="rect">
          <a:avLst/>
        </a:prstGeom>
      </xdr:spPr>
    </xdr:pic>
    <xdr:clientData/>
  </xdr:twoCellAnchor>
  <xdr:twoCellAnchor editAs="oneCell">
    <xdr:from>
      <xdr:col>26</xdr:col>
      <xdr:colOff>0</xdr:colOff>
      <xdr:row>79</xdr:row>
      <xdr:rowOff>0</xdr:rowOff>
    </xdr:from>
    <xdr:to>
      <xdr:col>35</xdr:col>
      <xdr:colOff>484947</xdr:colOff>
      <xdr:row>88</xdr:row>
      <xdr:rowOff>56947</xdr:rowOff>
    </xdr:to>
    <xdr:pic>
      <xdr:nvPicPr>
        <xdr:cNvPr id="30" name="图片 29"/>
        <xdr:cNvPicPr>
          <a:picLocks noChangeAspect="1"/>
        </xdr:cNvPicPr>
      </xdr:nvPicPr>
      <xdr:blipFill>
        <a:blip xmlns:r="http://schemas.openxmlformats.org/officeDocument/2006/relationships" r:embed="rId26"/>
        <a:stretch>
          <a:fillRect/>
        </a:stretch>
      </xdr:blipFill>
      <xdr:spPr>
        <a:xfrm>
          <a:off x="17748250" y="13795375"/>
          <a:ext cx="6628572" cy="1628572"/>
        </a:xfrm>
        <a:prstGeom prst="rect">
          <a:avLst/>
        </a:prstGeom>
      </xdr:spPr>
    </xdr:pic>
    <xdr:clientData/>
  </xdr:twoCellAnchor>
  <xdr:twoCellAnchor editAs="oneCell">
    <xdr:from>
      <xdr:col>0</xdr:col>
      <xdr:colOff>0</xdr:colOff>
      <xdr:row>92</xdr:row>
      <xdr:rowOff>52915</xdr:rowOff>
    </xdr:from>
    <xdr:to>
      <xdr:col>8</xdr:col>
      <xdr:colOff>113751</xdr:colOff>
      <xdr:row>110</xdr:row>
      <xdr:rowOff>123272</xdr:rowOff>
    </xdr:to>
    <xdr:pic>
      <xdr:nvPicPr>
        <xdr:cNvPr id="12" name="图片 11"/>
        <xdr:cNvPicPr>
          <a:picLocks noChangeAspect="1"/>
        </xdr:cNvPicPr>
      </xdr:nvPicPr>
      <xdr:blipFill>
        <a:blip xmlns:r="http://schemas.openxmlformats.org/officeDocument/2006/relationships" r:embed="rId27"/>
        <a:stretch>
          <a:fillRect/>
        </a:stretch>
      </xdr:blipFill>
      <xdr:spPr>
        <a:xfrm>
          <a:off x="0" y="15631582"/>
          <a:ext cx="5617084" cy="3118357"/>
        </a:xfrm>
        <a:prstGeom prst="rect">
          <a:avLst/>
        </a:prstGeom>
      </xdr:spPr>
    </xdr:pic>
    <xdr:clientData/>
  </xdr:twoCellAnchor>
  <xdr:twoCellAnchor editAs="oneCell">
    <xdr:from>
      <xdr:col>0</xdr:col>
      <xdr:colOff>0</xdr:colOff>
      <xdr:row>111</xdr:row>
      <xdr:rowOff>0</xdr:rowOff>
    </xdr:from>
    <xdr:to>
      <xdr:col>9</xdr:col>
      <xdr:colOff>589703</xdr:colOff>
      <xdr:row>116</xdr:row>
      <xdr:rowOff>10476</xdr:rowOff>
    </xdr:to>
    <xdr:pic>
      <xdr:nvPicPr>
        <xdr:cNvPr id="15" name="图片 14"/>
        <xdr:cNvPicPr>
          <a:picLocks noChangeAspect="1"/>
        </xdr:cNvPicPr>
      </xdr:nvPicPr>
      <xdr:blipFill>
        <a:blip xmlns:r="http://schemas.openxmlformats.org/officeDocument/2006/relationships" r:embed="rId28"/>
        <a:stretch>
          <a:fillRect/>
        </a:stretch>
      </xdr:blipFill>
      <xdr:spPr>
        <a:xfrm>
          <a:off x="0" y="18796000"/>
          <a:ext cx="6780953" cy="857143"/>
        </a:xfrm>
        <a:prstGeom prst="rect">
          <a:avLst/>
        </a:prstGeom>
      </xdr:spPr>
    </xdr:pic>
    <xdr:clientData/>
  </xdr:twoCellAnchor>
  <xdr:twoCellAnchor editAs="oneCell">
    <xdr:from>
      <xdr:col>0</xdr:col>
      <xdr:colOff>0</xdr:colOff>
      <xdr:row>115</xdr:row>
      <xdr:rowOff>135379</xdr:rowOff>
    </xdr:from>
    <xdr:to>
      <xdr:col>8</xdr:col>
      <xdr:colOff>560917</xdr:colOff>
      <xdr:row>137</xdr:row>
      <xdr:rowOff>107381</xdr:rowOff>
    </xdr:to>
    <xdr:pic>
      <xdr:nvPicPr>
        <xdr:cNvPr id="16" name="图片 15"/>
        <xdr:cNvPicPr>
          <a:picLocks noChangeAspect="1"/>
        </xdr:cNvPicPr>
      </xdr:nvPicPr>
      <xdr:blipFill>
        <a:blip xmlns:r="http://schemas.openxmlformats.org/officeDocument/2006/relationships" r:embed="rId29"/>
        <a:stretch>
          <a:fillRect/>
        </a:stretch>
      </xdr:blipFill>
      <xdr:spPr>
        <a:xfrm>
          <a:off x="0" y="19608712"/>
          <a:ext cx="6064250" cy="3697336"/>
        </a:xfrm>
        <a:prstGeom prst="rect">
          <a:avLst/>
        </a:prstGeom>
      </xdr:spPr>
    </xdr:pic>
    <xdr:clientData/>
  </xdr:twoCellAnchor>
  <xdr:twoCellAnchor editAs="oneCell">
    <xdr:from>
      <xdr:col>0</xdr:col>
      <xdr:colOff>0</xdr:colOff>
      <xdr:row>138</xdr:row>
      <xdr:rowOff>0</xdr:rowOff>
    </xdr:from>
    <xdr:to>
      <xdr:col>9</xdr:col>
      <xdr:colOff>646846</xdr:colOff>
      <xdr:row>143</xdr:row>
      <xdr:rowOff>77143</xdr:rowOff>
    </xdr:to>
    <xdr:pic>
      <xdr:nvPicPr>
        <xdr:cNvPr id="31" name="图片 30"/>
        <xdr:cNvPicPr>
          <a:picLocks noChangeAspect="1"/>
        </xdr:cNvPicPr>
      </xdr:nvPicPr>
      <xdr:blipFill>
        <a:blip xmlns:r="http://schemas.openxmlformats.org/officeDocument/2006/relationships" r:embed="rId30"/>
        <a:stretch>
          <a:fillRect/>
        </a:stretch>
      </xdr:blipFill>
      <xdr:spPr>
        <a:xfrm>
          <a:off x="0" y="23368000"/>
          <a:ext cx="6838096" cy="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北京市北京经济技术开发区亦庄新城0510街区YZ00-0510-0017地块R2二类居住用地出让国有建设用地使用权抵押价格预评估</v>
      </c>
      <c r="AX2" s="2551"/>
      <c r="AZ2" s="2551"/>
      <c r="BA2" s="2552"/>
      <c r="BC2" s="2552"/>
    </row>
    <row r="3" spans="1:55" s="2553" customFormat="1">
      <c r="A3" s="2532" t="s">
        <v>2560</v>
      </c>
      <c r="B3" s="2535" t="str">
        <f>'预评函-封皮'!B40</f>
        <v>北京兴意房地产开发有限公司</v>
      </c>
    </row>
    <row r="4" spans="1:55" s="2534" customFormat="1">
      <c r="A4" s="2532" t="s">
        <v>2561</v>
      </c>
      <c r="B4" s="2533" t="str">
        <f>'预评函-封皮'!B46</f>
        <v>崔锴、郑燚</v>
      </c>
      <c r="N4" s="2534" t="str">
        <f>'预评函-1'!A28</f>
        <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受贵公司委托，我公司对北京市北京经济技术开发区亦庄新城0510街区YZ00-0510-0017地块R2二类居住用地出让国有建设用地使用权抵押价格进行了预评估。</v>
      </c>
      <c r="AM6" s="2557"/>
    </row>
    <row r="7" spans="1:55" s="2531" customFormat="1">
      <c r="A7" s="2532" t="s">
        <v>2556</v>
      </c>
      <c r="B7" s="2533" t="str">
        <f>'预评函-1'!A6</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31" customFormat="1">
      <c r="A10" s="2532" t="s">
        <v>2558</v>
      </c>
      <c r="B10" s="2533" t="str">
        <f>'预评函-1'!A11</f>
        <v>2022年3月29日（评估专业人员勘察现场之日）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根据委托估价方介绍及评估专业人员现场勘查，本次评估估价对象实际土地开发程度为红线外市政基础设施达“七通”（即通路、通电、通讯、通上水、通下水、通热、燃气）、宗地红线内场地平整。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根据《国有土地使用证》[]，估价对象（分摊）出让国有建设用地使用权面积为20797.28平方米。根据《建设工程规划许可证》[]、《出让合同》[]，估价对象规划建筑面积为62884.97平方米。</v>
      </c>
    </row>
    <row r="16" spans="1:55" s="2531" customFormat="1">
      <c r="A16" s="2532" t="s">
        <v>2568</v>
      </c>
      <c r="B16" s="2533" t="str">
        <f>'预评函-1'!A22</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2573</v>
      </c>
      <c r="B21" s="2555" t="str">
        <f>'预评函-1'!A28</f>
        <v/>
      </c>
    </row>
    <row r="22" spans="1:48" ht="15"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估价期日：2022年3月29日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红线外七通、宗地红线内场地平整</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20797.28</v>
      </c>
    </row>
    <row r="44" spans="1:2">
      <c r="A44" s="2532" t="s">
        <v>2639</v>
      </c>
      <c r="B44" s="2533" t="str">
        <f>'预评函-2'!O3</f>
        <v>规划建筑面积/㎡</v>
      </c>
    </row>
    <row r="45" spans="1:2">
      <c r="A45" s="2532" t="s">
        <v>2621</v>
      </c>
      <c r="B45" s="2533">
        <f>'预评函-2'!O5</f>
        <v>62884.97</v>
      </c>
    </row>
    <row r="46" spans="1:2">
      <c r="A46" s="2532" t="s">
        <v>2622</v>
      </c>
      <c r="B46" s="2533">
        <f ca="1">'预评函-2'!P5</f>
        <v>70264</v>
      </c>
    </row>
    <row r="47" spans="1:2">
      <c r="A47" s="2532" t="s">
        <v>2623</v>
      </c>
      <c r="B47" s="2533">
        <f ca="1">'预评函-2'!Q5</f>
        <v>23238</v>
      </c>
    </row>
    <row r="48" spans="1:2">
      <c r="A48" s="2532" t="s">
        <v>2624</v>
      </c>
      <c r="B48" s="2533">
        <f ca="1">'预评函-2'!R5</f>
        <v>146131</v>
      </c>
    </row>
    <row r="49" spans="1:2">
      <c r="A49" s="2532" t="s">
        <v>2640</v>
      </c>
      <c r="B49" s="2533" t="str">
        <f>'预评函-2'!A6</f>
        <v>抵押价格</v>
      </c>
    </row>
    <row r="50" spans="1:2">
      <c r="A50" s="2532" t="s">
        <v>2625</v>
      </c>
      <c r="B50" s="2533">
        <f ca="1">'预评函-2'!R6</f>
        <v>144081</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2.基础设施条件：估价对象实际开发程度为红线外七通、宗地红线内场地平整；本次评估设定开发程度为红线外七通、宗地红线内场地。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综上，本次评估估价师知悉的法定优先受偿款为人民币2050万元整。</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崔锴</v>
      </c>
    </row>
    <row r="70" spans="1:2">
      <c r="A70" s="2532" t="s">
        <v>2589</v>
      </c>
      <c r="B70" s="2539">
        <f ca="1">'预评函-3'!B20</f>
        <v>2010110070</v>
      </c>
    </row>
    <row r="71" spans="1:2">
      <c r="A71" s="2532" t="s">
        <v>2590</v>
      </c>
      <c r="B71" s="2533" t="str">
        <f>'预评函-3'!A21</f>
        <v>郑燚</v>
      </c>
    </row>
    <row r="72" spans="1:2" s="2547" customFormat="1" ht="15" thickBot="1">
      <c r="A72" s="2554" t="s">
        <v>2590</v>
      </c>
      <c r="B72" s="2560">
        <f ca="1">'预评函-3'!B21</f>
        <v>2014110011</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L43" sqref="L43"/>
    </sheetView>
  </sheetViews>
  <sheetFormatPr defaultColWidth="10" defaultRowHeight="14.25"/>
  <cols>
    <col min="1" max="1" width="15.375" style="1583" customWidth="1"/>
    <col min="2" max="2" width="11.375" style="1583" customWidth="1"/>
    <col min="3" max="3" width="12.625" style="1583" customWidth="1"/>
    <col min="4" max="4" width="10"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3"/>
  </cols>
  <sheetData>
    <row r="1" spans="1:21" ht="15" thickBot="1">
      <c r="A1" s="1557" t="s">
        <v>1911</v>
      </c>
      <c r="B1" s="3476" t="str">
        <f>IF(B10="北京市","北京市",C10)&amp;F10&amp;B16&amp;"国有建设用地使用权"&amp;B9&amp;"预评估"</f>
        <v>北京市北京经济技术开发区亦庄新城0510街区YZ00-0510-0017地块R2二类居住用地出让国有建设用地使用权抵押价格预评估</v>
      </c>
      <c r="C1" s="3477"/>
      <c r="D1" s="3477"/>
      <c r="E1" s="3477"/>
      <c r="F1" s="3477"/>
      <c r="G1" s="3477"/>
      <c r="H1" s="3477"/>
      <c r="I1" s="3478"/>
      <c r="J1" s="3007"/>
      <c r="K1" s="2279" t="str">
        <f>IF(B10="北京市","北京市",C10)&amp;F10&amp;B16&amp;"国有建设用地使用权"&amp;B9</f>
        <v>北京市北京经济技术开发区亦庄新城0510街区YZ00-0510-0017地块R2二类居住用地出让国有建设用地使用权抵押价格</v>
      </c>
      <c r="L1" s="2986"/>
      <c r="M1" s="2986"/>
      <c r="N1" s="2987"/>
      <c r="O1" s="2988"/>
      <c r="P1" s="2987"/>
      <c r="Q1" s="2987"/>
      <c r="R1" s="2987"/>
      <c r="S1" s="2987"/>
      <c r="T1" s="2987"/>
      <c r="U1" s="2987"/>
    </row>
    <row r="2" spans="1:21">
      <c r="A2" s="1558" t="s">
        <v>1912</v>
      </c>
      <c r="B2" s="1725"/>
      <c r="D2" s="3007"/>
      <c r="E2" s="3007"/>
      <c r="F2" s="3007"/>
      <c r="G2" s="3007"/>
      <c r="H2" s="3008"/>
      <c r="I2" s="3009"/>
      <c r="J2" s="3007"/>
      <c r="K2" s="2279" t="str">
        <f>IF(B10="北京市","北京市",C10)&amp;F10&amp;B16&amp;"国有建设用地使用权"</f>
        <v>北京市北京经济技术开发区亦庄新城0510街区YZ00-0510-0017地块R2二类居住用地出让国有建设用地使用权</v>
      </c>
      <c r="L2" s="2986"/>
      <c r="M2" s="2986"/>
      <c r="N2" s="2987"/>
      <c r="O2" s="2988"/>
      <c r="P2" s="2987"/>
      <c r="Q2" s="2987"/>
      <c r="R2" s="2987"/>
      <c r="S2" s="2987"/>
      <c r="T2" s="2987"/>
      <c r="U2" s="2987"/>
    </row>
    <row r="3" spans="1:21">
      <c r="A3" s="1559" t="s">
        <v>1913</v>
      </c>
      <c r="B3" s="1560">
        <v>44649</v>
      </c>
      <c r="C3" s="2930" t="s">
        <v>1969</v>
      </c>
      <c r="D3" s="1560">
        <f>B3</f>
        <v>44649</v>
      </c>
      <c r="E3" s="3007"/>
      <c r="F3" s="3007"/>
      <c r="G3" s="3007"/>
      <c r="H3" s="3008"/>
      <c r="I3" s="3009"/>
      <c r="J3" s="3007"/>
      <c r="K3" s="2990"/>
      <c r="L3" s="2986"/>
      <c r="M3" s="2986"/>
      <c r="N3" s="2987"/>
      <c r="O3" s="2988"/>
      <c r="P3" s="2987"/>
      <c r="Q3" s="2987"/>
      <c r="R3" s="2987"/>
      <c r="S3" s="2987"/>
      <c r="T3" s="2987"/>
      <c r="U3" s="2987"/>
    </row>
    <row r="4" spans="1:21" ht="15" thickBot="1">
      <c r="A4" s="1562" t="s">
        <v>1914</v>
      </c>
      <c r="B4" s="1726" t="s">
        <v>3232</v>
      </c>
      <c r="C4" s="1729">
        <f ca="1">SUMIF(土地估价师,B4,估价师及机构信息!E3:E16)</f>
        <v>2010110070</v>
      </c>
      <c r="D4" s="1726" t="s">
        <v>3233</v>
      </c>
      <c r="E4" s="1729">
        <f ca="1">SUMIF(土地估价师,D4,估价师及机构信息!E3:E16)</f>
        <v>2014110011</v>
      </c>
      <c r="F4" s="1726" t="s">
        <v>932</v>
      </c>
      <c r="G4" s="1729">
        <f>SUMIF(土地估价师,F4,估价师及机构信息!E3:E16)</f>
        <v>0</v>
      </c>
      <c r="H4" s="1726" t="s">
        <v>932</v>
      </c>
      <c r="I4" s="1729">
        <f>SUMIF(土地估价师,H4,估价师及机构信息!E3:E16)</f>
        <v>0</v>
      </c>
      <c r="J4" s="3007"/>
      <c r="K4" s="2279" t="str">
        <f>IF(AND(F4="——",H4="——"),B4&amp;"、"&amp;D4,IF(AND(F4&lt;&gt;"——",H4="——"),B4&amp;"、"&amp;D4&amp;"、"&amp;F4,B4&amp;"、"&amp;D4&amp;"、"&amp;F4&amp;"、"&amp;H4))</f>
        <v>崔锴、郑燚</v>
      </c>
      <c r="L4" s="2986"/>
      <c r="M4" s="2986"/>
      <c r="N4" s="2987"/>
      <c r="O4" s="2988"/>
      <c r="P4" s="2987"/>
      <c r="Q4" s="2987"/>
      <c r="R4" s="2987"/>
      <c r="S4" s="2987"/>
      <c r="T4" s="2987"/>
      <c r="U4" s="2987"/>
    </row>
    <row r="5" spans="1:21" ht="15" thickTop="1">
      <c r="A5" s="1563" t="s">
        <v>1915</v>
      </c>
      <c r="B5" s="1673" t="str">
        <f>资料!B72</f>
        <v>北京兴意房地产开发有限公司</v>
      </c>
      <c r="C5" s="1564"/>
      <c r="D5" s="1565"/>
      <c r="E5" s="3007"/>
      <c r="F5" s="3007"/>
      <c r="G5" s="3007"/>
      <c r="H5" s="3008"/>
      <c r="I5" s="3009"/>
      <c r="J5" s="3007"/>
      <c r="K5" s="2990"/>
      <c r="L5" s="2986"/>
      <c r="M5" s="2986"/>
      <c r="N5" s="2987"/>
      <c r="O5" s="2988"/>
      <c r="P5" s="2987"/>
      <c r="Q5" s="2987"/>
      <c r="R5" s="2987"/>
      <c r="S5" s="2987"/>
      <c r="T5" s="2987"/>
      <c r="U5" s="2987"/>
    </row>
    <row r="6" spans="1:21" ht="26.25">
      <c r="A6" s="1561" t="s">
        <v>2605</v>
      </c>
      <c r="B6" s="1673"/>
      <c r="C6" s="1648"/>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3" t="str">
        <f>B5</f>
        <v>北京兴意房地产开发有限公司</v>
      </c>
      <c r="C7" s="1648"/>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2866</v>
      </c>
      <c r="C8" s="1569"/>
      <c r="D8" s="3482" t="s">
        <v>1918</v>
      </c>
      <c r="E8" s="1727" t="s">
        <v>3234</v>
      </c>
      <c r="F8" s="1570"/>
      <c r="G8" s="3008"/>
      <c r="H8" s="3008"/>
      <c r="I8" s="3011"/>
      <c r="J8" s="3007"/>
      <c r="K8" s="2990"/>
      <c r="L8" s="2986"/>
      <c r="M8" s="2986"/>
      <c r="N8" s="2987"/>
      <c r="O8" s="2988"/>
      <c r="P8" s="2987"/>
      <c r="Q8" s="2987"/>
      <c r="R8" s="2987"/>
      <c r="S8" s="2987"/>
      <c r="T8" s="2987"/>
      <c r="U8" s="2987"/>
    </row>
    <row r="9" spans="1:21" ht="15" thickBot="1">
      <c r="A9" s="2932" t="s">
        <v>1917</v>
      </c>
      <c r="B9" s="1571" t="s">
        <v>3234</v>
      </c>
      <c r="C9" s="1572"/>
      <c r="D9" s="3483"/>
      <c r="E9" s="1571" t="s">
        <v>932</v>
      </c>
      <c r="F9" s="1634"/>
      <c r="G9" s="3012"/>
      <c r="H9" s="3012"/>
      <c r="I9" s="3013"/>
      <c r="J9" s="3007"/>
      <c r="K9" s="2990"/>
      <c r="L9" s="2986"/>
      <c r="M9" s="2986"/>
      <c r="N9" s="2987"/>
      <c r="O9" s="2988"/>
      <c r="P9" s="2987"/>
      <c r="Q9" s="2987"/>
      <c r="R9" s="2987"/>
      <c r="S9" s="2987"/>
      <c r="T9" s="2987"/>
      <c r="U9" s="2987"/>
    </row>
    <row r="10" spans="1:21" ht="15" thickTop="1">
      <c r="A10" s="2933" t="s">
        <v>1973</v>
      </c>
      <c r="B10" s="1610" t="s">
        <v>1919</v>
      </c>
      <c r="C10" s="1573"/>
      <c r="D10" s="1565"/>
      <c r="E10" s="1574" t="s">
        <v>1920</v>
      </c>
      <c r="F10" s="3430" t="str">
        <f>资料!B4</f>
        <v>北京经济技术开发区亦庄新城0510街区YZ00-0510-0017地块R2二类居住用地</v>
      </c>
      <c r="G10" s="1632"/>
      <c r="H10" s="1633"/>
      <c r="I10" s="1565"/>
      <c r="J10" s="3007"/>
      <c r="K10" s="2990"/>
      <c r="L10" s="2986"/>
      <c r="M10" s="2986"/>
      <c r="N10" s="2987"/>
      <c r="O10" s="2988"/>
      <c r="P10" s="2987"/>
      <c r="Q10" s="2987"/>
      <c r="R10" s="2987"/>
      <c r="S10" s="2987"/>
      <c r="T10" s="2987"/>
      <c r="U10" s="2987"/>
    </row>
    <row r="11" spans="1:21" ht="42.75">
      <c r="A11" s="2934" t="s">
        <v>1974</v>
      </c>
      <c r="B11" s="1589" t="s">
        <v>3235</v>
      </c>
      <c r="C11" s="1575" t="str">
        <f>B5</f>
        <v>北京兴意房地产开发有限公司</v>
      </c>
      <c r="D11" s="1649"/>
      <c r="E11" s="3006"/>
      <c r="F11" s="3006"/>
      <c r="G11" s="3006"/>
      <c r="H11" s="3006"/>
      <c r="I11" s="3006"/>
      <c r="J11" s="3007"/>
      <c r="K11" s="2990"/>
      <c r="L11" s="2986"/>
      <c r="M11" s="2986"/>
      <c r="N11" s="2987"/>
      <c r="O11" s="2988"/>
      <c r="P11" s="2987"/>
      <c r="Q11" s="2987"/>
      <c r="R11" s="2987"/>
      <c r="S11" s="2987"/>
      <c r="T11" s="2987"/>
      <c r="U11" s="2987"/>
    </row>
    <row r="12" spans="1:21">
      <c r="A12" s="1669" t="s">
        <v>2032</v>
      </c>
      <c r="B12" s="3479"/>
      <c r="C12" s="3480"/>
      <c r="D12" s="3481"/>
      <c r="E12" s="1590" t="s">
        <v>2035</v>
      </c>
      <c r="F12" s="3497" t="s">
        <v>2783</v>
      </c>
      <c r="G12" s="3498"/>
      <c r="H12" s="3498"/>
      <c r="I12" s="3499"/>
      <c r="J12" s="3007"/>
      <c r="K12" s="2990"/>
      <c r="L12" s="2986"/>
      <c r="M12" s="2986"/>
      <c r="N12" s="2987"/>
      <c r="O12" s="2988"/>
      <c r="P12" s="2987"/>
      <c r="Q12" s="2987"/>
      <c r="R12" s="2987"/>
      <c r="S12" s="2987"/>
      <c r="T12" s="2987"/>
      <c r="U12" s="2987"/>
    </row>
    <row r="13" spans="1:21">
      <c r="A13" s="1581" t="s">
        <v>2033</v>
      </c>
      <c r="B13" s="3479"/>
      <c r="C13" s="3480"/>
      <c r="D13" s="3481"/>
      <c r="E13" s="1590" t="s">
        <v>2035</v>
      </c>
      <c r="F13" s="3497" t="s">
        <v>2784</v>
      </c>
      <c r="G13" s="3498"/>
      <c r="H13" s="3498"/>
      <c r="I13" s="3499"/>
      <c r="J13" s="3007"/>
      <c r="K13" s="2990"/>
      <c r="L13" s="2986"/>
      <c r="M13" s="2986"/>
      <c r="N13" s="2987"/>
      <c r="O13" s="2988"/>
      <c r="P13" s="2987"/>
      <c r="Q13" s="2987"/>
      <c r="R13" s="2987"/>
      <c r="S13" s="2987"/>
      <c r="T13" s="2987"/>
      <c r="U13" s="2987"/>
    </row>
    <row r="14" spans="1:21">
      <c r="A14" s="1559" t="s">
        <v>2036</v>
      </c>
      <c r="B14" s="1590"/>
      <c r="C14" s="1728" t="s">
        <v>3236</v>
      </c>
      <c r="D14" s="1624" t="str">
        <f>IF(C14="不一致","是否符合证载地类范围","")</f>
        <v/>
      </c>
      <c r="E14" s="1590"/>
      <c r="F14" s="1674"/>
      <c r="G14" s="1619"/>
      <c r="H14" s="1619"/>
      <c r="I14" s="1721"/>
      <c r="J14" s="3007"/>
      <c r="K14" s="2990"/>
      <c r="L14" s="2986"/>
      <c r="M14" s="2986"/>
      <c r="N14" s="2987"/>
      <c r="O14" s="2988"/>
      <c r="P14" s="2987"/>
      <c r="Q14" s="2987"/>
      <c r="R14" s="2987"/>
      <c r="S14" s="2987"/>
      <c r="T14" s="2987"/>
      <c r="U14" s="2987"/>
    </row>
    <row r="15" spans="1:21" hidden="1">
      <c r="A15" s="2424"/>
      <c r="B15" s="1561"/>
      <c r="C15" s="1561"/>
      <c r="D15" s="1653" t="s">
        <v>1923</v>
      </c>
      <c r="E15" s="1653" t="s">
        <v>1924</v>
      </c>
      <c r="F15" s="1653" t="s">
        <v>1925</v>
      </c>
      <c r="G15" s="1580" t="s">
        <v>1926</v>
      </c>
      <c r="H15" s="1580" t="s">
        <v>1927</v>
      </c>
      <c r="I15" s="1580" t="s">
        <v>1928</v>
      </c>
      <c r="J15" s="3007"/>
      <c r="K15" s="2990"/>
      <c r="L15" s="2986"/>
      <c r="M15" s="2986"/>
      <c r="N15" s="2987"/>
      <c r="O15" s="2988"/>
      <c r="P15" s="2987"/>
      <c r="Q15" s="2987"/>
      <c r="R15" s="2987"/>
      <c r="S15" s="2987"/>
      <c r="T15" s="2987"/>
      <c r="U15" s="2987"/>
    </row>
    <row r="16" spans="1:21" ht="28.5">
      <c r="A16" s="2935" t="s">
        <v>1921</v>
      </c>
      <c r="B16" s="1576" t="s">
        <v>3237</v>
      </c>
      <c r="C16" s="1590" t="s">
        <v>1922</v>
      </c>
      <c r="D16" s="2425" t="s">
        <v>1923</v>
      </c>
      <c r="E16" s="1613" t="s">
        <v>3238</v>
      </c>
      <c r="F16" s="1613" t="s">
        <v>1657</v>
      </c>
      <c r="G16" s="1613" t="s">
        <v>3239</v>
      </c>
      <c r="H16" s="1613" t="s">
        <v>3240</v>
      </c>
      <c r="I16" s="1580" t="s">
        <v>1928</v>
      </c>
      <c r="J16" s="3007"/>
      <c r="K16" s="2280" t="str">
        <f>IF(D17="","",D16&amp;TEXT(D17,"yyyy年m月d日;;"))</f>
        <v>住宅2092年3月2日</v>
      </c>
      <c r="L16" s="1590" t="str">
        <f>IF(OR(K16="",M16=""),"","、")</f>
        <v>、</v>
      </c>
      <c r="M16" s="2280" t="str">
        <f>IF(E17="","",E16&amp;TEXT(E17,"yyyy年m月d日;;"))</f>
        <v>商业2062年3月2日</v>
      </c>
      <c r="N16" s="1590" t="str">
        <f>IF(OR(M16="",O16=""),"","、")</f>
        <v>、</v>
      </c>
      <c r="O16" s="2280" t="str">
        <f>IF(F17="","",F16&amp;TEXT(F17,"yyyy年m月d日;;"))</f>
        <v>办公2072年3月2日</v>
      </c>
      <c r="P16" s="1590" t="str">
        <f>IF(OR(O16="",Q16=""),"","、")</f>
        <v>、</v>
      </c>
      <c r="Q16" s="2280" t="str">
        <f>IF(G17="","",G16&amp;TEXT(G17,"yyyy年m月d日;;"))</f>
        <v>车库2072年3月2日</v>
      </c>
      <c r="R16" s="1590" t="str">
        <f>IF(OR(Q16="",S16=""),"","、")</f>
        <v>、</v>
      </c>
      <c r="S16" s="2280" t="str">
        <f>IF(H17="","",H16&amp;TEXT(H17,"yyyy年m月d日;;"))</f>
        <v>仓储2072年3月2日</v>
      </c>
      <c r="T16" s="1590" t="str">
        <f>IF(OR(S16="",U16=""),"","、")</f>
        <v>、</v>
      </c>
      <c r="U16" s="2280" t="str">
        <f>IF(I17="","",I16&amp;TEXT(I17,"yyyy年m月d日;;"))</f>
        <v>工业2072年3月2日</v>
      </c>
    </row>
    <row r="17" spans="1:21">
      <c r="A17" s="1650"/>
      <c r="B17" s="1577"/>
      <c r="C17" s="2936" t="s">
        <v>1929</v>
      </c>
      <c r="D17" s="1591">
        <f>资料!D9</f>
        <v>70190</v>
      </c>
      <c r="E17" s="1591">
        <v>59232</v>
      </c>
      <c r="F17" s="1591">
        <v>62885</v>
      </c>
      <c r="G17" s="1591">
        <f>F17</f>
        <v>62885</v>
      </c>
      <c r="H17" s="1591">
        <f>G17</f>
        <v>62885</v>
      </c>
      <c r="I17" s="1591">
        <f>H17</f>
        <v>62885</v>
      </c>
      <c r="J17" s="3007"/>
      <c r="K17" s="2985" t="str">
        <f>CONCATENATE(K16,L16,M16,N16,O16,P16,Q16,R16,S16,T16,,U16)</f>
        <v>住宅2092年3月2日、商业2062年3月2日、办公2072年3月2日、车库2072年3月2日、仓储2072年3月2日、工业2072年3月2日</v>
      </c>
      <c r="L17" s="2986"/>
      <c r="M17" s="2986"/>
      <c r="N17" s="2987"/>
      <c r="O17" s="2988"/>
      <c r="P17" s="2987"/>
      <c r="Q17" s="2987"/>
      <c r="R17" s="2987"/>
      <c r="S17" s="2987"/>
      <c r="T17" s="2987"/>
      <c r="U17" s="2987"/>
    </row>
    <row r="18" spans="1:21">
      <c r="A18" s="1650"/>
      <c r="B18" s="1577"/>
      <c r="C18" s="2936" t="s">
        <v>1930</v>
      </c>
      <c r="D18" s="1578">
        <v>70</v>
      </c>
      <c r="E18" s="1578">
        <v>40</v>
      </c>
      <c r="F18" s="1578">
        <v>50</v>
      </c>
      <c r="G18" s="1578">
        <v>50</v>
      </c>
      <c r="H18" s="1578">
        <v>50</v>
      </c>
      <c r="I18" s="1578">
        <v>50</v>
      </c>
      <c r="J18" s="3007"/>
      <c r="K18" s="2990"/>
      <c r="L18" s="2986"/>
      <c r="M18" s="2986"/>
      <c r="N18" s="2987"/>
      <c r="O18" s="2988"/>
      <c r="P18" s="2987"/>
      <c r="Q18" s="2987"/>
      <c r="R18" s="2987"/>
      <c r="S18" s="2987"/>
      <c r="T18" s="2987"/>
      <c r="U18" s="2987"/>
    </row>
    <row r="19" spans="1:21">
      <c r="A19" s="1650"/>
      <c r="B19" s="1577"/>
      <c r="C19" s="1558" t="s">
        <v>1931</v>
      </c>
      <c r="D19" s="1645">
        <f>IF(B16="出让",IF(D17="","",ROUNDDOWN(MIN((D17-$D$3)/365,D18),2)),D18)</f>
        <v>69.97</v>
      </c>
      <c r="E19" s="1579">
        <f>IF(B16="出让",IF(E17="","",ROUNDDOWN(MIN((E17-$D$3)/365,E18),2)),E18)</f>
        <v>39.950000000000003</v>
      </c>
      <c r="F19" s="1579">
        <f>IF(B16="出让",IF(F17="","",ROUNDDOWN(MIN((F17-$D$3)/365,F18),2)),F18)</f>
        <v>49.96</v>
      </c>
      <c r="G19" s="1579">
        <f>IF(B16="出让",IF(G17="","",ROUNDDOWN(MIN((G17-$D$3)/365,G18),2)),G18)</f>
        <v>49.96</v>
      </c>
      <c r="H19" s="1579">
        <f>IF(B16="出让",IF(H17="","",ROUNDDOWN(MIN((H17-$D$3)/365,H18),2)),H18)</f>
        <v>49.96</v>
      </c>
      <c r="I19" s="1579">
        <f>IF(B16="出让",IF(I17="","",ROUNDDOWN(MIN((I17-$D$3)/365,I18),2)),I18)</f>
        <v>49.96</v>
      </c>
      <c r="J19" s="3007"/>
      <c r="K19" s="2990"/>
      <c r="L19" s="2986"/>
      <c r="M19" s="2986"/>
      <c r="N19" s="2987"/>
      <c r="O19" s="2988"/>
      <c r="P19" s="2987"/>
      <c r="Q19" s="2987"/>
      <c r="R19" s="2987"/>
      <c r="S19" s="2987"/>
      <c r="T19" s="2987"/>
      <c r="U19" s="2987"/>
    </row>
    <row r="20" spans="1:21">
      <c r="A20" s="1670"/>
      <c r="B20" s="1671"/>
      <c r="C20" s="1672" t="s">
        <v>2034</v>
      </c>
      <c r="D20" s="3494"/>
      <c r="E20" s="3495"/>
      <c r="F20" s="3495"/>
      <c r="G20" s="3495"/>
      <c r="H20" s="3495"/>
      <c r="I20" s="3496"/>
      <c r="J20" s="3007"/>
      <c r="K20" s="2990"/>
      <c r="L20" s="2986"/>
      <c r="M20" s="2986"/>
      <c r="N20" s="2987"/>
      <c r="O20" s="2988"/>
      <c r="P20" s="2987"/>
      <c r="Q20" s="2987"/>
      <c r="R20" s="2987"/>
      <c r="S20" s="2987"/>
      <c r="T20" s="2987"/>
      <c r="U20" s="2987"/>
    </row>
    <row r="21" spans="1:21">
      <c r="A21" s="1650" t="s">
        <v>1932</v>
      </c>
      <c r="B21" s="1651" t="s">
        <v>1933</v>
      </c>
      <c r="C21" s="1646">
        <f>'数据-汇总表'!E3</f>
        <v>62884.97</v>
      </c>
      <c r="D21" s="1647" t="s">
        <v>1934</v>
      </c>
      <c r="E21" s="3484" t="s">
        <v>1972</v>
      </c>
      <c r="F21" s="3485"/>
      <c r="G21" s="3485"/>
      <c r="H21" s="3485"/>
      <c r="I21" s="3486"/>
      <c r="J21" s="3007"/>
      <c r="K21" s="2990"/>
      <c r="L21" s="2986"/>
      <c r="M21" s="2986"/>
      <c r="N21" s="2987"/>
      <c r="O21" s="2988"/>
      <c r="P21" s="2987"/>
      <c r="Q21" s="2987"/>
      <c r="R21" s="2987"/>
      <c r="S21" s="2987"/>
      <c r="T21" s="2987"/>
      <c r="U21" s="2987"/>
    </row>
    <row r="22" spans="1:21">
      <c r="A22" s="2735" t="s">
        <v>932</v>
      </c>
      <c r="B22" s="1559" t="s">
        <v>1935</v>
      </c>
      <c r="C22" s="1580">
        <f>'数据-汇总表'!D3</f>
        <v>20797.28</v>
      </c>
      <c r="D22" s="1581" t="s">
        <v>1934</v>
      </c>
      <c r="E22" s="3484" t="s">
        <v>2785</v>
      </c>
      <c r="F22" s="3485"/>
      <c r="G22" s="3485"/>
      <c r="H22" s="3485"/>
      <c r="I22" s="3486"/>
      <c r="J22" s="3007"/>
      <c r="K22" s="2990"/>
      <c r="L22" s="2986"/>
      <c r="M22" s="2986"/>
      <c r="N22" s="2987"/>
      <c r="O22" s="2988"/>
      <c r="P22" s="2987"/>
      <c r="Q22" s="2987"/>
      <c r="R22" s="2987"/>
      <c r="S22" s="2987"/>
      <c r="T22" s="2987"/>
      <c r="U22" s="2987"/>
    </row>
    <row r="23" spans="1:21" ht="43.5" thickBot="1">
      <c r="A23" s="1652" t="s">
        <v>1936</v>
      </c>
      <c r="B23" s="1592" t="s">
        <v>1937</v>
      </c>
      <c r="C23" s="1593"/>
      <c r="D23" s="1594" t="s">
        <v>1938</v>
      </c>
      <c r="E23" s="1595"/>
      <c r="F23" s="1596" t="str">
        <f>IF(AND(C23="是",E23="否"),"是否提供他项权证或相关说明","")</f>
        <v/>
      </c>
      <c r="G23" s="1597"/>
      <c r="H23" s="3007"/>
      <c r="I23" s="3011"/>
      <c r="J23" s="3007"/>
      <c r="K23" s="2990"/>
      <c r="L23" s="2986"/>
      <c r="M23" s="2986"/>
      <c r="N23" s="2987"/>
      <c r="O23" s="2988"/>
      <c r="P23" s="2987"/>
      <c r="Q23" s="2987"/>
      <c r="R23" s="2987"/>
      <c r="S23" s="2987"/>
      <c r="T23" s="2987"/>
      <c r="U23" s="2987"/>
    </row>
    <row r="24" spans="1:21">
      <c r="A24" s="1637" t="s">
        <v>1939</v>
      </c>
      <c r="B24" s="3487" t="s">
        <v>1940</v>
      </c>
      <c r="C24" s="3488"/>
      <c r="D24" s="3489" t="s">
        <v>1941</v>
      </c>
      <c r="E24" s="3490"/>
      <c r="F24" s="1599" t="s">
        <v>1942</v>
      </c>
      <c r="G24" s="3007"/>
      <c r="H24" s="3007"/>
      <c r="I24" s="3011"/>
      <c r="J24" s="3007"/>
      <c r="K24" s="3475"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7"/>
      <c r="O24" s="2988"/>
      <c r="P24" s="2987"/>
      <c r="Q24" s="2987"/>
      <c r="R24" s="2987"/>
      <c r="S24" s="2987"/>
      <c r="T24" s="2987"/>
      <c r="U24" s="2987"/>
    </row>
    <row r="25" spans="1:21" ht="28.5">
      <c r="A25" s="1638"/>
      <c r="B25" s="1635" t="s">
        <v>2297</v>
      </c>
      <c r="C25" s="1600" t="s">
        <v>1944</v>
      </c>
      <c r="D25" s="1601"/>
      <c r="E25" s="1602" t="s">
        <v>932</v>
      </c>
      <c r="F25" s="1603"/>
      <c r="G25" s="3007"/>
      <c r="H25" s="3007"/>
      <c r="I25" s="3011"/>
      <c r="J25" s="3007"/>
      <c r="K25" s="3475"/>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7"/>
      <c r="O25" s="2988"/>
      <c r="P25" s="2987"/>
      <c r="Q25" s="2987"/>
      <c r="R25" s="2987"/>
      <c r="S25" s="2987"/>
      <c r="T25" s="2987"/>
      <c r="U25" s="2987"/>
    </row>
    <row r="26" spans="1:21" ht="29.25" thickBot="1">
      <c r="A26" s="1639"/>
      <c r="B26" s="1636" t="s">
        <v>1945</v>
      </c>
      <c r="C26" s="1600" t="s">
        <v>2298</v>
      </c>
      <c r="D26" s="3008"/>
      <c r="E26" s="3008"/>
      <c r="F26" s="3014"/>
      <c r="G26" s="3007"/>
      <c r="H26" s="3007"/>
      <c r="I26" s="3011"/>
      <c r="J26" s="3007"/>
      <c r="K26" s="3475"/>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7"/>
      <c r="O26" s="2988"/>
      <c r="P26" s="2987"/>
      <c r="Q26" s="2987"/>
      <c r="R26" s="2987"/>
      <c r="S26" s="2987"/>
      <c r="T26" s="2987"/>
      <c r="U26" s="2987"/>
    </row>
    <row r="27" spans="1:21">
      <c r="A27" s="1642" t="s">
        <v>1946</v>
      </c>
      <c r="B27" s="1640" t="s">
        <v>1947</v>
      </c>
      <c r="C27" s="1604"/>
      <c r="D27" s="2430" t="s">
        <v>1947</v>
      </c>
      <c r="E27" s="1605"/>
      <c r="F27" s="3014"/>
      <c r="G27" s="3007"/>
      <c r="H27" s="3007"/>
      <c r="I27" s="3011"/>
      <c r="J27" s="3007"/>
      <c r="K27" s="2990"/>
      <c r="L27" s="2986"/>
      <c r="M27" s="2986"/>
      <c r="N27" s="2987"/>
      <c r="O27" s="2988"/>
      <c r="P27" s="2987"/>
      <c r="Q27" s="2987"/>
      <c r="R27" s="2987"/>
      <c r="S27" s="2987"/>
      <c r="T27" s="2987"/>
      <c r="U27" s="2987"/>
    </row>
    <row r="28" spans="1:21">
      <c r="A28" s="1643"/>
      <c r="B28" s="1640" t="s">
        <v>1948</v>
      </c>
      <c r="C28" s="1606"/>
      <c r="D28" s="2431" t="s">
        <v>1948</v>
      </c>
      <c r="E28" s="1607"/>
      <c r="F28" s="3014"/>
      <c r="G28" s="3007"/>
      <c r="H28" s="3007"/>
      <c r="I28" s="3011"/>
      <c r="J28" s="3007"/>
      <c r="K28" s="2990"/>
      <c r="L28" s="2986"/>
      <c r="M28" s="2986"/>
      <c r="N28" s="2987"/>
      <c r="O28" s="2988"/>
      <c r="P28" s="2987"/>
      <c r="Q28" s="2987"/>
      <c r="R28" s="2987"/>
      <c r="S28" s="2987"/>
      <c r="T28" s="2987"/>
      <c r="U28" s="2987"/>
    </row>
    <row r="29" spans="1:21">
      <c r="A29" s="1643"/>
      <c r="B29" s="1640" t="s">
        <v>1949</v>
      </c>
      <c r="C29" s="1606"/>
      <c r="D29" s="2431" t="s">
        <v>1949</v>
      </c>
      <c r="E29" s="1607"/>
      <c r="F29" s="3014"/>
      <c r="G29" s="3007"/>
      <c r="H29" s="3007"/>
      <c r="I29" s="3011"/>
      <c r="J29" s="3007"/>
      <c r="K29" s="2990"/>
      <c r="L29" s="2986"/>
      <c r="M29" s="2986"/>
      <c r="N29" s="2987"/>
      <c r="O29" s="2988"/>
      <c r="P29" s="2987"/>
      <c r="Q29" s="2987"/>
      <c r="R29" s="2987"/>
      <c r="S29" s="2987"/>
      <c r="T29" s="2987"/>
      <c r="U29" s="2987"/>
    </row>
    <row r="30" spans="1:21" ht="15" thickBot="1">
      <c r="A30" s="1644"/>
      <c r="B30" s="1641" t="s">
        <v>1950</v>
      </c>
      <c r="C30" s="1608"/>
      <c r="D30" s="2432" t="s">
        <v>1950</v>
      </c>
      <c r="E30" s="1609"/>
      <c r="F30" s="3015"/>
      <c r="G30" s="3012"/>
      <c r="H30" s="3012"/>
      <c r="I30" s="3013"/>
      <c r="J30" s="3007"/>
      <c r="K30" s="2990"/>
      <c r="L30" s="2986"/>
      <c r="M30" s="2986"/>
      <c r="N30" s="2987"/>
      <c r="O30" s="2988"/>
      <c r="P30" s="2987"/>
      <c r="Q30" s="2987"/>
      <c r="R30" s="2987"/>
      <c r="S30" s="2987"/>
      <c r="T30" s="2987"/>
      <c r="U30" s="2987"/>
    </row>
    <row r="31" spans="1:21" ht="15" thickTop="1">
      <c r="A31" s="3502" t="s">
        <v>1975</v>
      </c>
      <c r="B31" s="1651" t="s">
        <v>1976</v>
      </c>
      <c r="C31" s="3500" t="s">
        <v>3241</v>
      </c>
      <c r="D31" s="3501"/>
      <c r="E31" s="3007"/>
      <c r="F31" s="3007"/>
      <c r="G31" s="3007"/>
      <c r="H31" s="3007"/>
      <c r="I31" s="3011"/>
      <c r="J31" s="3007"/>
      <c r="K31" s="2993"/>
      <c r="L31" s="2987"/>
      <c r="M31" s="2987"/>
      <c r="N31" s="2987"/>
      <c r="O31" s="2987"/>
      <c r="P31" s="2987"/>
      <c r="Q31" s="2987"/>
      <c r="R31" s="2987"/>
      <c r="S31" s="2987"/>
      <c r="T31" s="2987"/>
      <c r="U31" s="2987"/>
    </row>
    <row r="32" spans="1:21">
      <c r="A32" s="3502"/>
      <c r="B32" s="1559" t="s">
        <v>1977</v>
      </c>
      <c r="C32" s="1610"/>
      <c r="D32" s="1611"/>
      <c r="E32" s="3007"/>
      <c r="F32" s="3007"/>
      <c r="G32" s="3007"/>
      <c r="H32" s="3007"/>
      <c r="I32" s="3011"/>
      <c r="J32" s="3007"/>
      <c r="K32" s="2993"/>
      <c r="L32" s="2987"/>
      <c r="M32" s="2987"/>
      <c r="N32" s="2987"/>
      <c r="O32" s="2987"/>
      <c r="P32" s="2987"/>
      <c r="Q32" s="2987"/>
      <c r="R32" s="2987"/>
      <c r="S32" s="2987"/>
      <c r="T32" s="2987"/>
      <c r="U32" s="2987"/>
    </row>
    <row r="33" spans="1:28">
      <c r="A33" s="3502"/>
      <c r="B33" s="1559" t="s">
        <v>1978</v>
      </c>
      <c r="C33" s="1612" t="s">
        <v>3242</v>
      </c>
      <c r="D33" s="1722"/>
      <c r="E33" s="3007"/>
      <c r="F33" s="3007"/>
      <c r="G33" s="3007"/>
      <c r="H33" s="3007"/>
      <c r="I33" s="3011"/>
      <c r="J33" s="3007"/>
      <c r="K33" s="2993"/>
      <c r="L33" s="2987"/>
      <c r="M33" s="2987"/>
      <c r="N33" s="2987"/>
      <c r="O33" s="2987"/>
      <c r="P33" s="2987"/>
      <c r="Q33" s="2987"/>
      <c r="R33" s="2987"/>
      <c r="S33" s="2987"/>
      <c r="T33" s="2987"/>
      <c r="U33" s="2987"/>
    </row>
    <row r="34" spans="1:28">
      <c r="A34" s="3503"/>
      <c r="B34" s="1559" t="s">
        <v>1979</v>
      </c>
      <c r="C34" s="3504"/>
      <c r="D34" s="3505"/>
      <c r="E34" s="3007"/>
      <c r="F34" s="3007"/>
      <c r="G34" s="3007"/>
      <c r="H34" s="3007"/>
      <c r="I34" s="3011"/>
      <c r="J34" s="3007"/>
      <c r="K34" s="2993"/>
      <c r="L34" s="2987"/>
      <c r="M34" s="2987"/>
      <c r="N34" s="2987"/>
      <c r="O34" s="2987"/>
      <c r="P34" s="2987"/>
      <c r="Q34" s="2987"/>
      <c r="R34" s="2987"/>
      <c r="S34" s="2987"/>
      <c r="T34" s="2987"/>
      <c r="U34" s="2987"/>
    </row>
    <row r="35" spans="1:28">
      <c r="A35" s="3506" t="s">
        <v>828</v>
      </c>
      <c r="B35" s="1613" t="s">
        <v>3243</v>
      </c>
      <c r="C35" s="1660" t="str">
        <f>IF(B35="场地平整","——","具体情况：")</f>
        <v>——</v>
      </c>
      <c r="D35" s="3508"/>
      <c r="E35" s="3509"/>
      <c r="F35" s="3509"/>
      <c r="G35" s="3509"/>
      <c r="H35" s="3509"/>
      <c r="I35" s="3510"/>
      <c r="J35" s="3007"/>
      <c r="K35" s="2994"/>
      <c r="L35" s="2986"/>
      <c r="M35" s="2986"/>
      <c r="N35" s="2987"/>
      <c r="O35" s="2988"/>
      <c r="P35" s="2987"/>
      <c r="Q35" s="2987"/>
      <c r="R35" s="2987"/>
      <c r="S35" s="2987"/>
      <c r="T35" s="2987"/>
      <c r="U35" s="2987"/>
    </row>
    <row r="36" spans="1:28">
      <c r="A36" s="3502"/>
      <c r="B36" s="3511" t="s">
        <v>2028</v>
      </c>
      <c r="C36" s="3512"/>
      <c r="D36" s="1676"/>
      <c r="E36" s="3513"/>
      <c r="F36" s="3513"/>
      <c r="G36" s="1581" t="str">
        <f>IF(B35="场地未平整","估价结果处理","")</f>
        <v/>
      </c>
      <c r="H36" s="3514"/>
      <c r="I36" s="3514"/>
      <c r="J36" s="3007"/>
      <c r="K36" s="2994"/>
      <c r="L36" s="2986"/>
      <c r="M36" s="2986"/>
      <c r="N36" s="2987"/>
      <c r="O36" s="2988"/>
      <c r="P36" s="2987"/>
      <c r="Q36" s="2987"/>
      <c r="R36" s="2987"/>
      <c r="S36" s="2987"/>
      <c r="T36" s="2987"/>
      <c r="U36" s="2987"/>
    </row>
    <row r="37" spans="1:28" ht="28.5">
      <c r="A37" s="3502"/>
      <c r="B37" s="3491" t="s">
        <v>829</v>
      </c>
      <c r="C37" s="1615" t="s">
        <v>830</v>
      </c>
      <c r="D37" s="1616"/>
      <c r="E37" s="1617"/>
      <c r="F37" s="3007"/>
      <c r="G37" s="3007"/>
      <c r="H37" s="3007"/>
      <c r="I37" s="3011"/>
      <c r="J37" s="3007"/>
      <c r="K37" s="2994"/>
      <c r="L37" s="2987"/>
      <c r="M37" s="2987"/>
      <c r="N37" s="2987"/>
      <c r="O37" s="2987"/>
      <c r="P37" s="2987"/>
      <c r="Q37" s="2987"/>
      <c r="R37" s="2987"/>
      <c r="S37" s="2987"/>
      <c r="T37" s="2987"/>
      <c r="U37" s="2987"/>
    </row>
    <row r="38" spans="1:28">
      <c r="A38" s="3502"/>
      <c r="B38" s="3492"/>
      <c r="C38" s="1567" t="s">
        <v>831</v>
      </c>
      <c r="D38" s="1675">
        <f>ROUNDDOWN(MIN(('数据-取费表'!$B$2-D37)/365,D34),1)</f>
        <v>122.3</v>
      </c>
      <c r="E38" s="1618" t="s">
        <v>832</v>
      </c>
      <c r="F38" s="3007"/>
      <c r="G38" s="3007"/>
      <c r="H38" s="3007"/>
      <c r="I38" s="3011"/>
      <c r="J38" s="3007"/>
      <c r="K38" s="2994"/>
      <c r="L38" s="2987"/>
      <c r="M38" s="2987"/>
      <c r="N38" s="2987"/>
      <c r="O38" s="2987"/>
      <c r="P38" s="2987"/>
      <c r="Q38" s="2987"/>
      <c r="R38" s="2987"/>
      <c r="S38" s="2987"/>
      <c r="T38" s="2987"/>
      <c r="U38" s="2987"/>
    </row>
    <row r="39" spans="1:28">
      <c r="A39" s="3503"/>
      <c r="B39" s="3493"/>
      <c r="C39" s="1588" t="str">
        <f>IF(D38&lt;1,"不存在土地闲置",IF(B35="宗地内已开工建设","已开工，不存在土地闲置","估价对象已涉嫌土地闲置"))</f>
        <v>估价对象已涉嫌土地闲置</v>
      </c>
      <c r="D39" s="1619"/>
      <c r="E39" s="1620"/>
      <c r="F39" s="3007"/>
      <c r="G39" s="3007"/>
      <c r="H39" s="3007"/>
      <c r="I39" s="3011"/>
      <c r="J39" s="3007"/>
      <c r="K39" s="2990"/>
      <c r="L39" s="2986"/>
      <c r="M39" s="2986"/>
      <c r="N39" s="2987"/>
      <c r="O39" s="2988"/>
      <c r="P39" s="2987"/>
      <c r="Q39" s="2987"/>
      <c r="R39" s="2987"/>
      <c r="S39" s="2987"/>
      <c r="T39" s="2987"/>
      <c r="U39" s="2987"/>
    </row>
    <row r="40" spans="1:28">
      <c r="A40" s="1581" t="s">
        <v>1951</v>
      </c>
      <c r="B40" s="1582" t="s">
        <v>3244</v>
      </c>
      <c r="C40" s="1582" t="s">
        <v>3245</v>
      </c>
      <c r="D40" s="1582" t="s">
        <v>3246</v>
      </c>
      <c r="E40" s="1582" t="s">
        <v>3247</v>
      </c>
      <c r="F40" s="1582" t="s">
        <v>3248</v>
      </c>
      <c r="G40" s="1582" t="s">
        <v>3249</v>
      </c>
      <c r="H40" s="1582" t="s">
        <v>3250</v>
      </c>
      <c r="I40" s="3011"/>
      <c r="J40" s="3007"/>
      <c r="K40" s="2955">
        <f>COUNTIF(B40:H40,"——")</f>
        <v>0</v>
      </c>
      <c r="L40" s="1590" t="s">
        <v>1952</v>
      </c>
      <c r="M40" s="1587" t="s">
        <v>1953</v>
      </c>
      <c r="N40" s="1587" t="s">
        <v>1954</v>
      </c>
      <c r="O40" s="1587" t="s">
        <v>1955</v>
      </c>
      <c r="P40" s="1587" t="s">
        <v>1956</v>
      </c>
      <c r="Q40" s="1587" t="s">
        <v>1957</v>
      </c>
      <c r="R40" s="1587" t="s">
        <v>1958</v>
      </c>
      <c r="S40" s="3474" t="s">
        <v>1959</v>
      </c>
      <c r="T40" s="1622" t="str">
        <f>NUMBERSTRING(7-K40,1)&amp;"通"</f>
        <v>七通</v>
      </c>
      <c r="U40" s="2987"/>
    </row>
    <row r="41" spans="1:28">
      <c r="A41" s="1561"/>
      <c r="B41" s="3507" t="s">
        <v>1701</v>
      </c>
      <c r="C41" s="3507"/>
      <c r="D41" s="3507"/>
      <c r="E41" s="3507"/>
      <c r="F41" s="1623">
        <f>C10</f>
        <v>0</v>
      </c>
      <c r="G41" s="3007"/>
      <c r="H41" s="3007"/>
      <c r="I41" s="3011"/>
      <c r="J41" s="3007"/>
      <c r="K41" s="1590"/>
      <c r="L41" s="1587"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通路、通电、通讯、通上水、通下水、通热</v>
      </c>
      <c r="R41" s="1625" t="str">
        <f>B40&amp;"、"&amp;C40&amp;"、"&amp;D40&amp;"、"&amp;E40&amp;"、"&amp;F40&amp;"、"&amp;G40&amp;"、"&amp;H40</f>
        <v>通路、通电、通讯、通上水、通下水、通热、燃气</v>
      </c>
      <c r="S41" s="3474"/>
      <c r="T41" s="1624" t="str">
        <f>IF(T40="一通",L41,IF(T40="二通",M41,IF(T40="三通",N41,IF(T40="四通",O41,IF(T40="五通",P41,IF(T40="六通",Q41,R41))))))</f>
        <v>通路、通电、通讯、通上水、通下水、通热、燃气</v>
      </c>
      <c r="U41" s="2987"/>
    </row>
    <row r="42" spans="1:28">
      <c r="A42" s="1626"/>
      <c r="B42" s="1653" t="s">
        <v>1873</v>
      </c>
      <c r="C42" s="1653" t="s">
        <v>1874</v>
      </c>
      <c r="D42" s="1653" t="s">
        <v>1875</v>
      </c>
      <c r="E42" s="1590" t="s">
        <v>1876</v>
      </c>
      <c r="F42" s="1627"/>
      <c r="G42" s="3007"/>
      <c r="H42" s="3007"/>
      <c r="I42" s="3011"/>
      <c r="J42" s="3007"/>
      <c r="K42" s="2990"/>
      <c r="L42" s="2986"/>
      <c r="M42" s="2986"/>
      <c r="N42" s="2987"/>
      <c r="O42" s="2988"/>
      <c r="P42" s="2987"/>
      <c r="Q42" s="2987"/>
      <c r="R42" s="2987"/>
      <c r="S42" s="2987"/>
      <c r="T42" s="2987"/>
      <c r="U42" s="2987"/>
    </row>
    <row r="43" spans="1:28">
      <c r="A43" s="2958" t="s">
        <v>1686</v>
      </c>
      <c r="B43" s="1628" t="s">
        <v>1393</v>
      </c>
      <c r="C43" s="1628" t="s">
        <v>1393</v>
      </c>
      <c r="D43" s="1628" t="s">
        <v>1393</v>
      </c>
      <c r="E43" s="1628"/>
      <c r="F43" s="1629"/>
      <c r="G43" s="3007"/>
      <c r="H43" s="3007"/>
      <c r="I43" s="3011"/>
      <c r="J43" s="3007"/>
      <c r="K43" s="2990"/>
      <c r="L43" s="2986"/>
      <c r="M43" s="2986"/>
      <c r="N43" s="2987"/>
      <c r="O43" s="2988"/>
      <c r="P43" s="2987"/>
      <c r="Q43" s="2987"/>
      <c r="R43" s="2987"/>
      <c r="S43" s="2987"/>
      <c r="T43" s="2987"/>
      <c r="U43" s="2987"/>
    </row>
    <row r="44" spans="1:28">
      <c r="A44" s="2958" t="s">
        <v>1687</v>
      </c>
      <c r="B44" s="1628"/>
      <c r="C44" s="1628"/>
      <c r="D44" s="1628"/>
      <c r="E44" s="1676"/>
      <c r="F44" s="1629"/>
      <c r="G44" s="3007"/>
      <c r="H44" s="3007"/>
      <c r="I44" s="3011"/>
      <c r="J44" s="3007"/>
      <c r="K44" s="2990"/>
      <c r="L44" s="2986"/>
      <c r="M44" s="2986"/>
      <c r="N44" s="2987"/>
      <c r="O44" s="2988"/>
      <c r="P44" s="2987"/>
      <c r="Q44" s="2987"/>
      <c r="R44" s="2987"/>
      <c r="S44" s="2987"/>
      <c r="T44" s="2987"/>
      <c r="U44" s="2987"/>
    </row>
    <row r="45" spans="1:28" s="2706" customFormat="1" ht="21" thickBot="1">
      <c r="A45" s="2707" t="s">
        <v>2786</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5"/>
      <c r="B46" s="1585"/>
      <c r="C46" s="1585"/>
      <c r="D46" s="1585"/>
      <c r="E46" s="1585"/>
      <c r="F46" s="1585"/>
      <c r="G46" s="1585"/>
      <c r="H46" s="1585"/>
      <c r="I46" s="1598"/>
      <c r="J46" s="1585"/>
      <c r="K46" s="2990"/>
      <c r="L46" s="2986"/>
      <c r="M46" s="2986"/>
      <c r="N46" s="2987"/>
      <c r="O46" s="2988"/>
      <c r="P46" s="2987"/>
      <c r="Q46" s="2987"/>
      <c r="R46" s="2987"/>
      <c r="S46" s="2987"/>
      <c r="T46" s="2987"/>
      <c r="U46" s="2987"/>
    </row>
    <row r="47" spans="1:28">
      <c r="A47" s="1630" t="s">
        <v>1980</v>
      </c>
      <c r="B47" s="1631"/>
      <c r="C47" s="1620"/>
      <c r="D47" s="1585"/>
      <c r="E47" s="1585"/>
      <c r="F47" s="1585"/>
      <c r="G47" s="1585"/>
      <c r="H47" s="1585"/>
      <c r="I47" s="1586"/>
      <c r="J47" s="1585"/>
      <c r="K47" s="2990"/>
      <c r="L47" s="2986"/>
      <c r="M47" s="2986"/>
      <c r="N47" s="2987"/>
      <c r="O47" s="2988"/>
      <c r="P47" s="2987"/>
      <c r="Q47" s="2987"/>
      <c r="R47" s="2987"/>
      <c r="S47" s="2987"/>
      <c r="T47" s="2987"/>
      <c r="U47" s="2987"/>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7"/>
      <c r="B49" s="1621"/>
      <c r="C49" s="1621"/>
      <c r="D49" s="1621"/>
      <c r="E49" s="1621"/>
      <c r="F49" s="1621"/>
      <c r="G49" s="1621"/>
      <c r="H49" s="1621"/>
      <c r="I49" s="1621"/>
      <c r="J49" s="1723"/>
      <c r="K49" s="3002"/>
      <c r="L49" s="3002"/>
      <c r="M49" s="1627"/>
      <c r="N49" s="1627"/>
      <c r="O49" s="1627"/>
      <c r="P49" s="1627"/>
      <c r="Q49" s="1627"/>
      <c r="R49" s="1627"/>
      <c r="S49" s="2987"/>
      <c r="T49" s="2987"/>
      <c r="U49" s="2987"/>
    </row>
    <row r="50" spans="1:21">
      <c r="A50" s="1587"/>
      <c r="B50" s="1587"/>
      <c r="C50" s="1621"/>
      <c r="D50" s="1621"/>
      <c r="E50" s="1621"/>
      <c r="F50" s="1621"/>
      <c r="G50" s="1621"/>
      <c r="H50" s="1621"/>
      <c r="I50" s="1621"/>
      <c r="J50" s="1723"/>
      <c r="K50" s="3002"/>
      <c r="L50" s="3002"/>
      <c r="M50" s="1627"/>
      <c r="N50" s="1627"/>
      <c r="O50" s="1627"/>
      <c r="P50" s="1627"/>
      <c r="Q50" s="1627"/>
      <c r="R50" s="1627"/>
      <c r="S50" s="2987"/>
      <c r="T50" s="2987"/>
      <c r="U50" s="2987"/>
    </row>
    <row r="51" spans="1:21">
      <c r="A51" s="1587"/>
      <c r="B51" s="1587"/>
      <c r="C51" s="1621"/>
      <c r="D51" s="1621"/>
      <c r="E51" s="1621"/>
      <c r="F51" s="1621"/>
      <c r="G51" s="1621"/>
      <c r="H51" s="1621"/>
      <c r="I51" s="1621"/>
      <c r="J51" s="1723"/>
      <c r="K51" s="3002"/>
      <c r="L51" s="3002"/>
      <c r="M51" s="1627"/>
      <c r="N51" s="1627"/>
      <c r="O51" s="1627"/>
      <c r="P51" s="1627"/>
      <c r="Q51" s="1627"/>
      <c r="R51" s="1627"/>
      <c r="S51" s="2987"/>
      <c r="T51" s="2987"/>
      <c r="U51" s="2987"/>
    </row>
    <row r="52" spans="1:21">
      <c r="A52" s="1587"/>
      <c r="B52" s="1587"/>
      <c r="C52" s="1621"/>
      <c r="D52" s="1621"/>
      <c r="E52" s="1621"/>
      <c r="F52" s="1621"/>
      <c r="G52" s="1621"/>
      <c r="H52" s="1621"/>
      <c r="I52" s="1621"/>
      <c r="J52" s="1723"/>
      <c r="K52" s="3002"/>
      <c r="L52" s="3002"/>
      <c r="M52" s="1627"/>
      <c r="N52" s="1627"/>
      <c r="O52" s="1627"/>
      <c r="P52" s="1627"/>
      <c r="Q52" s="1627"/>
      <c r="R52" s="1627"/>
      <c r="S52" s="2987"/>
      <c r="T52" s="2987"/>
      <c r="U52" s="2987"/>
    </row>
    <row r="53" spans="1:21">
      <c r="A53" s="1587"/>
      <c r="B53" s="1587"/>
      <c r="C53" s="1621"/>
      <c r="D53" s="1621"/>
      <c r="E53" s="1621"/>
      <c r="F53" s="1621"/>
      <c r="G53" s="1621"/>
      <c r="H53" s="1621"/>
      <c r="I53" s="1621"/>
      <c r="J53" s="1723"/>
      <c r="K53" s="3002"/>
      <c r="L53" s="3002"/>
      <c r="M53" s="1627"/>
      <c r="N53" s="1627"/>
      <c r="O53" s="1627"/>
      <c r="P53" s="1627"/>
      <c r="Q53" s="1627"/>
      <c r="R53" s="1627"/>
      <c r="S53" s="2987"/>
      <c r="T53" s="2987"/>
      <c r="U53" s="2987"/>
    </row>
    <row r="54" spans="1:21">
      <c r="A54" s="1587"/>
      <c r="B54" s="1587"/>
      <c r="C54" s="1587"/>
      <c r="D54" s="1587"/>
      <c r="E54" s="1587"/>
      <c r="F54" s="1621"/>
      <c r="G54" s="1587"/>
      <c r="H54" s="1587"/>
      <c r="I54" s="1587"/>
      <c r="J54" s="1724"/>
      <c r="K54" s="3002"/>
      <c r="L54" s="3002"/>
      <c r="M54" s="3002"/>
      <c r="N54" s="2954"/>
      <c r="O54" s="2954"/>
      <c r="P54" s="2954"/>
      <c r="Q54" s="2954"/>
      <c r="R54" s="2954"/>
      <c r="S54" s="2987"/>
      <c r="T54" s="2987"/>
      <c r="U54" s="2987"/>
    </row>
    <row r="55" spans="1:21">
      <c r="A55" s="1587"/>
      <c r="B55" s="1587"/>
      <c r="C55" s="1587"/>
      <c r="D55" s="1587"/>
      <c r="E55" s="1587"/>
      <c r="F55" s="1621"/>
      <c r="G55" s="1587"/>
      <c r="H55" s="1587"/>
      <c r="I55" s="1587"/>
      <c r="J55" s="1724"/>
      <c r="K55" s="3002"/>
      <c r="L55" s="3002"/>
      <c r="M55" s="3002"/>
      <c r="N55" s="2954"/>
      <c r="O55" s="2954"/>
      <c r="P55" s="2954"/>
      <c r="Q55" s="2954"/>
      <c r="R55" s="2954"/>
      <c r="S55" s="2987"/>
      <c r="T55" s="2987"/>
      <c r="U55" s="2987"/>
    </row>
    <row r="56" spans="1:21">
      <c r="A56" s="1587"/>
      <c r="B56" s="1587"/>
      <c r="C56" s="1587"/>
      <c r="D56" s="1587"/>
      <c r="E56" s="1587"/>
      <c r="F56" s="1621"/>
      <c r="G56" s="1587"/>
      <c r="H56" s="1587"/>
      <c r="I56" s="1587"/>
      <c r="J56" s="1724"/>
      <c r="K56" s="3002"/>
      <c r="L56" s="3002"/>
      <c r="M56" s="3002"/>
      <c r="N56" s="2954"/>
      <c r="O56" s="2954"/>
      <c r="P56" s="2954"/>
      <c r="Q56" s="2954"/>
      <c r="R56" s="2954"/>
      <c r="S56" s="2987"/>
      <c r="T56" s="2987"/>
      <c r="U56" s="2987"/>
    </row>
    <row r="57" spans="1:21">
      <c r="A57" s="1587"/>
      <c r="B57" s="1587"/>
      <c r="C57" s="1587"/>
      <c r="D57" s="1587"/>
      <c r="E57" s="1587"/>
      <c r="F57" s="1621"/>
      <c r="G57" s="1587"/>
      <c r="H57" s="1587"/>
      <c r="I57" s="1587"/>
      <c r="J57" s="1724"/>
      <c r="K57" s="3002"/>
      <c r="L57" s="3002"/>
      <c r="M57" s="3002"/>
      <c r="N57" s="2954"/>
      <c r="O57" s="2954"/>
      <c r="P57" s="2954"/>
      <c r="Q57" s="2954"/>
      <c r="R57" s="2954"/>
      <c r="S57" s="2987"/>
      <c r="T57" s="2987"/>
      <c r="U57" s="2987"/>
    </row>
    <row r="58" spans="1:21">
      <c r="A58" s="1587"/>
      <c r="B58" s="1587"/>
      <c r="C58" s="1587"/>
      <c r="D58" s="1587"/>
      <c r="E58" s="1587"/>
      <c r="F58" s="1621"/>
      <c r="G58" s="1587"/>
      <c r="H58" s="1587"/>
      <c r="I58" s="1587"/>
      <c r="J58" s="1724"/>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activeCell="S49" sqref="S49"/>
      <selection pane="topRight" activeCell="S49" sqref="S49"/>
      <selection pane="bottomLeft" activeCell="S49" sqref="S49"/>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8" t="s">
        <v>2305</v>
      </c>
      <c r="BA2" s="2189"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f>资料!B3</f>
        <v>22115.200000000001</v>
      </c>
      <c r="B3" s="22">
        <f>IF(C3="否",G5-AT5,G5)</f>
        <v>66869.97</v>
      </c>
      <c r="C3" s="23" t="s">
        <v>1658</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0"/>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66869.97</v>
      </c>
      <c r="H5" s="27">
        <f t="shared" ref="H5:AT5" si="0">SUM(H13:H641)</f>
        <v>58884.03</v>
      </c>
      <c r="I5" s="27">
        <f t="shared" si="0"/>
        <v>43988.19</v>
      </c>
      <c r="J5" s="27">
        <f t="shared" si="0"/>
        <v>0</v>
      </c>
      <c r="K5" s="27">
        <f t="shared" si="0"/>
        <v>11890.43</v>
      </c>
      <c r="L5" s="27">
        <f t="shared" si="0"/>
        <v>0</v>
      </c>
      <c r="M5" s="27">
        <f t="shared" si="0"/>
        <v>3005.41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4000.9399999999996</v>
      </c>
      <c r="AD5" s="27">
        <f t="shared" si="0"/>
        <v>51.1</v>
      </c>
      <c r="AE5" s="27">
        <f t="shared" si="0"/>
        <v>0</v>
      </c>
      <c r="AF5" s="27">
        <f t="shared" si="0"/>
        <v>1036</v>
      </c>
      <c r="AG5" s="27">
        <f t="shared" si="0"/>
        <v>0</v>
      </c>
      <c r="AH5" s="27">
        <f t="shared" si="0"/>
        <v>100</v>
      </c>
      <c r="AI5" s="27">
        <f t="shared" si="0"/>
        <v>0</v>
      </c>
      <c r="AJ5" s="27">
        <f t="shared" si="0"/>
        <v>50</v>
      </c>
      <c r="AK5" s="27">
        <f t="shared" si="0"/>
        <v>0</v>
      </c>
      <c r="AL5" s="27">
        <f t="shared" si="0"/>
        <v>63.11</v>
      </c>
      <c r="AM5" s="27">
        <f t="shared" si="0"/>
        <v>0</v>
      </c>
      <c r="AN5" s="27">
        <f t="shared" si="0"/>
        <v>2700.73</v>
      </c>
      <c r="AO5" s="27">
        <f t="shared" si="0"/>
        <v>0</v>
      </c>
      <c r="AP5" s="27">
        <f t="shared" si="0"/>
        <v>0</v>
      </c>
      <c r="AQ5" s="27">
        <f t="shared" si="0"/>
        <v>0</v>
      </c>
      <c r="AR5" s="27">
        <f t="shared" si="0"/>
        <v>0</v>
      </c>
      <c r="AS5" s="27">
        <f t="shared" si="0"/>
        <v>0</v>
      </c>
      <c r="AT5" s="27">
        <f t="shared" si="0"/>
        <v>3985</v>
      </c>
      <c r="AU5" s="956"/>
      <c r="AV5" s="26" t="s">
        <v>168</v>
      </c>
      <c r="AW5" s="957"/>
      <c r="AX5" s="957"/>
      <c r="AY5" s="28" t="s">
        <v>3</v>
      </c>
      <c r="AZ5" s="29">
        <f t="shared" ref="AZ5:BT5" si="1">SUM(AZ13:AZ641)</f>
        <v>62884.97</v>
      </c>
      <c r="BA5" s="29">
        <f t="shared" si="1"/>
        <v>58884.03</v>
      </c>
      <c r="BB5" s="29">
        <f t="shared" si="1"/>
        <v>43988.19</v>
      </c>
      <c r="BC5" s="29">
        <f t="shared" si="1"/>
        <v>11890.43</v>
      </c>
      <c r="BD5" s="29">
        <f t="shared" si="1"/>
        <v>3005.41</v>
      </c>
      <c r="BE5" s="29">
        <f t="shared" si="1"/>
        <v>0</v>
      </c>
      <c r="BF5" s="29">
        <f t="shared" si="1"/>
        <v>0</v>
      </c>
      <c r="BG5" s="29">
        <f t="shared" si="1"/>
        <v>0</v>
      </c>
      <c r="BH5" s="29">
        <f t="shared" si="1"/>
        <v>0</v>
      </c>
      <c r="BI5" s="29">
        <f t="shared" si="1"/>
        <v>0</v>
      </c>
      <c r="BJ5" s="29">
        <f t="shared" si="1"/>
        <v>0</v>
      </c>
      <c r="BK5" s="29">
        <f t="shared" si="1"/>
        <v>0</v>
      </c>
      <c r="BL5" s="29">
        <f t="shared" si="1"/>
        <v>4000.9399999999996</v>
      </c>
      <c r="BM5" s="29">
        <f t="shared" si="1"/>
        <v>51.1</v>
      </c>
      <c r="BN5" s="29">
        <f t="shared" si="1"/>
        <v>1036</v>
      </c>
      <c r="BO5" s="29">
        <f t="shared" si="1"/>
        <v>100</v>
      </c>
      <c r="BP5" s="29">
        <f t="shared" si="1"/>
        <v>50</v>
      </c>
      <c r="BQ5" s="29">
        <f t="shared" si="1"/>
        <v>63.11</v>
      </c>
      <c r="BR5" s="29">
        <f t="shared" si="1"/>
        <v>2700.73</v>
      </c>
      <c r="BS5" s="29">
        <f t="shared" si="1"/>
        <v>0</v>
      </c>
      <c r="BT5" s="30">
        <f t="shared" si="1"/>
        <v>0</v>
      </c>
    </row>
    <row r="6" spans="1:72" s="37" customFormat="1" ht="12.75">
      <c r="A6" s="26" t="s">
        <v>169</v>
      </c>
      <c r="B6" s="31"/>
      <c r="C6" s="31"/>
      <c r="D6" s="32"/>
      <c r="E6" s="27">
        <f>H6+AC6+AT6</f>
        <v>22115.21</v>
      </c>
      <c r="F6" s="27" t="s">
        <v>1</v>
      </c>
      <c r="G6" s="27" t="s">
        <v>2</v>
      </c>
      <c r="H6" s="33">
        <f>SUMIF(I$12:AB$12,"总值",I6:AB6)</f>
        <v>19474.100000000002</v>
      </c>
      <c r="I6" s="27">
        <f t="shared" ref="I6:AB6" si="2">ROUND($A$3*I5/$B$3,2)</f>
        <v>14547.75</v>
      </c>
      <c r="J6" s="27">
        <f t="shared" si="2"/>
        <v>0</v>
      </c>
      <c r="K6" s="27">
        <f t="shared" si="2"/>
        <v>3932.4</v>
      </c>
      <c r="L6" s="27">
        <f t="shared" si="2"/>
        <v>0</v>
      </c>
      <c r="M6" s="27">
        <f t="shared" si="2"/>
        <v>993.95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1323.19</v>
      </c>
      <c r="AD6" s="27">
        <f t="shared" ref="AD6:AS6" si="3">ROUND($A$3*AD5/$B$3,2)</f>
        <v>16.899999999999999</v>
      </c>
      <c r="AE6" s="27">
        <f t="shared" si="3"/>
        <v>0</v>
      </c>
      <c r="AF6" s="27">
        <f t="shared" si="3"/>
        <v>342.63</v>
      </c>
      <c r="AG6" s="27">
        <f t="shared" si="3"/>
        <v>0</v>
      </c>
      <c r="AH6" s="27">
        <f t="shared" si="3"/>
        <v>33.07</v>
      </c>
      <c r="AI6" s="27">
        <f t="shared" si="3"/>
        <v>0</v>
      </c>
      <c r="AJ6" s="27">
        <f t="shared" si="3"/>
        <v>16.54</v>
      </c>
      <c r="AK6" s="27">
        <f t="shared" si="3"/>
        <v>0</v>
      </c>
      <c r="AL6" s="27">
        <f t="shared" si="3"/>
        <v>20.87</v>
      </c>
      <c r="AM6" s="27">
        <f t="shared" si="3"/>
        <v>0</v>
      </c>
      <c r="AN6" s="27">
        <f t="shared" si="3"/>
        <v>893.18</v>
      </c>
      <c r="AO6" s="27">
        <f t="shared" si="3"/>
        <v>0</v>
      </c>
      <c r="AP6" s="27">
        <f t="shared" si="3"/>
        <v>0</v>
      </c>
      <c r="AQ6" s="27">
        <f t="shared" si="3"/>
        <v>0</v>
      </c>
      <c r="AR6" s="27">
        <f t="shared" si="3"/>
        <v>0</v>
      </c>
      <c r="AS6" s="27">
        <f t="shared" si="3"/>
        <v>0</v>
      </c>
      <c r="AT6" s="33">
        <f>IF(C3="是",ROUND($A$3*AT5/$B$3,2),0)</f>
        <v>1317.92</v>
      </c>
      <c r="AU6" s="34"/>
      <c r="AV6" s="26" t="s">
        <v>169</v>
      </c>
      <c r="AW6" s="31"/>
      <c r="AX6" s="31"/>
      <c r="AY6" s="35">
        <f>IF(AY3&gt;0,AY3,ROUND($A$3*AZ5/$B$3,2))</f>
        <v>20797.28</v>
      </c>
      <c r="AZ6" s="27" t="s">
        <v>3</v>
      </c>
      <c r="BA6" s="27">
        <f>ROUND($AY$6*BA5/$AZ$5,2)</f>
        <v>19474.09</v>
      </c>
      <c r="BB6" s="27">
        <f>ROUND($AY$6*BB5/$AZ$5,2)</f>
        <v>14547.75</v>
      </c>
      <c r="BC6" s="27">
        <f t="shared" ref="BC6:BH6" si="4">ROUND($AY$6*BC5/$AZ$5,2)</f>
        <v>3932.4</v>
      </c>
      <c r="BD6" s="27">
        <f t="shared" si="4"/>
        <v>993.95</v>
      </c>
      <c r="BE6" s="27">
        <f t="shared" si="4"/>
        <v>0</v>
      </c>
      <c r="BF6" s="27">
        <f t="shared" si="4"/>
        <v>0</v>
      </c>
      <c r="BG6" s="27">
        <f t="shared" si="4"/>
        <v>0</v>
      </c>
      <c r="BH6" s="27">
        <f t="shared" si="4"/>
        <v>0</v>
      </c>
      <c r="BI6" s="27">
        <f t="shared" ref="BI6:BT6" si="5">ROUND($AY$6*BI5/$AZ$5,2)</f>
        <v>0</v>
      </c>
      <c r="BJ6" s="27">
        <f t="shared" si="5"/>
        <v>0</v>
      </c>
      <c r="BK6" s="27">
        <f t="shared" si="5"/>
        <v>0</v>
      </c>
      <c r="BL6" s="27">
        <f t="shared" si="5"/>
        <v>1323.19</v>
      </c>
      <c r="BM6" s="27">
        <f t="shared" si="5"/>
        <v>16.899999999999999</v>
      </c>
      <c r="BN6" s="27">
        <f t="shared" si="5"/>
        <v>342.63</v>
      </c>
      <c r="BO6" s="27">
        <f t="shared" si="5"/>
        <v>33.07</v>
      </c>
      <c r="BP6" s="27">
        <f t="shared" si="5"/>
        <v>16.54</v>
      </c>
      <c r="BQ6" s="27">
        <f t="shared" si="5"/>
        <v>20.87</v>
      </c>
      <c r="BR6" s="27">
        <f t="shared" si="5"/>
        <v>893.18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6"/>
      <c r="AT8" s="2177"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68" t="s">
        <v>3251</v>
      </c>
      <c r="J9" s="51"/>
      <c r="K9" s="2668" t="s">
        <v>3253</v>
      </c>
      <c r="L9" s="51"/>
      <c r="M9" s="2668" t="s">
        <v>3253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8"/>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68" t="s">
        <v>903</v>
      </c>
      <c r="J10" s="51"/>
      <c r="K10" s="2670" t="s">
        <v>3239</v>
      </c>
      <c r="L10" s="51"/>
      <c r="M10" s="2670" t="s">
        <v>3240</v>
      </c>
      <c r="N10" s="51"/>
      <c r="O10" s="66"/>
      <c r="P10" s="51"/>
      <c r="Q10" s="66"/>
      <c r="R10" s="51"/>
      <c r="S10" s="66"/>
      <c r="T10" s="51"/>
      <c r="U10" s="66"/>
      <c r="V10" s="51"/>
      <c r="W10" s="66"/>
      <c r="X10" s="51"/>
      <c r="Y10" s="66"/>
      <c r="Z10" s="51"/>
      <c r="AA10" s="66"/>
      <c r="AB10" s="51"/>
      <c r="AC10" s="55"/>
      <c r="AD10" s="2163" t="s">
        <v>2289</v>
      </c>
      <c r="AE10" s="2185"/>
      <c r="AF10" s="2163" t="s">
        <v>2289</v>
      </c>
      <c r="AG10" s="2185"/>
      <c r="AH10" s="2163" t="s">
        <v>2290</v>
      </c>
      <c r="AI10" s="2185"/>
      <c r="AJ10" s="26" t="s">
        <v>2303</v>
      </c>
      <c r="AK10" s="2182"/>
      <c r="AL10" s="2163" t="s">
        <v>2291</v>
      </c>
      <c r="AM10" s="2164"/>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69" t="s">
        <v>3252</v>
      </c>
      <c r="J11" s="71"/>
      <c r="K11" s="2669" t="s">
        <v>3239</v>
      </c>
      <c r="L11" s="71"/>
      <c r="M11" s="70" t="s">
        <v>3254</v>
      </c>
      <c r="N11" s="71"/>
      <c r="O11" s="70"/>
      <c r="P11" s="71"/>
      <c r="Q11" s="70"/>
      <c r="R11" s="71"/>
      <c r="S11" s="70"/>
      <c r="T11" s="71"/>
      <c r="U11" s="70"/>
      <c r="V11" s="71"/>
      <c r="W11" s="70"/>
      <c r="X11" s="71"/>
      <c r="Y11" s="70"/>
      <c r="Z11" s="71"/>
      <c r="AA11" s="70"/>
      <c r="AB11" s="71"/>
      <c r="AC11" s="55"/>
      <c r="AD11" s="2183" t="s">
        <v>2302</v>
      </c>
      <c r="AE11" s="970"/>
      <c r="AF11" s="2183" t="s">
        <v>2302</v>
      </c>
      <c r="AG11" s="970"/>
      <c r="AH11" s="2183" t="s">
        <v>2301</v>
      </c>
      <c r="AI11" s="2184"/>
      <c r="AJ11" s="2183" t="s">
        <v>2301</v>
      </c>
      <c r="AK11" s="2182"/>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t="str">
        <f>I11</f>
        <v>普通住宅</v>
      </c>
      <c r="BC12" s="79" t="str">
        <f>K11</f>
        <v>车库</v>
      </c>
      <c r="BD12" s="79" t="str">
        <f>M11</f>
        <v>戊类库房</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63"/>
      <c r="B13" s="2663"/>
      <c r="C13" s="2663"/>
      <c r="D13" s="2664" t="s">
        <v>1658</v>
      </c>
      <c r="E13" s="27">
        <f t="shared" ref="E13:E20" si="6">IF($C$3="是",ROUND($A$3*G13/$B$3,2),ROUND($A$3*(G13-AT13)/$B$3,2))</f>
        <v>22115.200000000001</v>
      </c>
      <c r="F13" s="81"/>
      <c r="G13" s="82">
        <f t="shared" ref="G13:G20" si="7">H13+AC13+AT13</f>
        <v>66869.97</v>
      </c>
      <c r="H13" s="33">
        <f t="shared" ref="H13:H20" si="8">SUMIF(I$12:AB$12,"总值",I13:AB13)</f>
        <v>58884.03</v>
      </c>
      <c r="I13" s="2667">
        <f>指标!B5</f>
        <v>43988.19</v>
      </c>
      <c r="J13" s="2667"/>
      <c r="K13" s="2667">
        <f>指标!B14</f>
        <v>11890.43</v>
      </c>
      <c r="L13" s="2667"/>
      <c r="M13" s="2667">
        <f>指标!B15</f>
        <v>3005.41</v>
      </c>
      <c r="N13" s="83"/>
      <c r="O13" s="83"/>
      <c r="P13" s="83"/>
      <c r="Q13" s="83"/>
      <c r="R13" s="83"/>
      <c r="S13" s="83"/>
      <c r="T13" s="83"/>
      <c r="U13" s="83"/>
      <c r="V13" s="83"/>
      <c r="W13" s="83"/>
      <c r="X13" s="83"/>
      <c r="Y13" s="83"/>
      <c r="Z13" s="83"/>
      <c r="AA13" s="83"/>
      <c r="AB13" s="83"/>
      <c r="AC13" s="27">
        <f t="shared" ref="AC13:AC20" si="9">SUMIF(AD$12:AS$12,"总值",AD13:AS13)</f>
        <v>4000.9399999999996</v>
      </c>
      <c r="AD13" s="2671">
        <f>指标!F7</f>
        <v>51.1</v>
      </c>
      <c r="AE13" s="2671"/>
      <c r="AF13" s="2671">
        <f>指标!B13+指标!F17+指标!F19</f>
        <v>1036</v>
      </c>
      <c r="AG13" s="2671"/>
      <c r="AH13" s="2671">
        <f>指标!F6</f>
        <v>100</v>
      </c>
      <c r="AI13" s="2671"/>
      <c r="AJ13" s="2671">
        <f>指标!F18</f>
        <v>50</v>
      </c>
      <c r="AK13" s="2671"/>
      <c r="AL13" s="2671">
        <f>指标!B9+指标!B7</f>
        <v>63.11</v>
      </c>
      <c r="AM13" s="2671"/>
      <c r="AN13" s="2671">
        <f>指标!F12+指标!F13+指标!F14+指标!F15+指标!F16+指标!B16</f>
        <v>2700.73</v>
      </c>
      <c r="AO13" s="2671"/>
      <c r="AP13" s="2671"/>
      <c r="AQ13" s="2671"/>
      <c r="AR13" s="2671"/>
      <c r="AS13" s="2671"/>
      <c r="AT13" s="2672">
        <f>指标!B17+指标!B8</f>
        <v>3985</v>
      </c>
      <c r="AU13" s="2673"/>
      <c r="AV13" s="17">
        <f t="shared" ref="AV13:AX20" si="10">A13</f>
        <v>0</v>
      </c>
      <c r="AW13" s="17">
        <f t="shared" si="10"/>
        <v>0</v>
      </c>
      <c r="AX13" s="17">
        <f t="shared" si="10"/>
        <v>0</v>
      </c>
      <c r="AY13" s="964">
        <f t="shared" ref="AY13:AY20" si="11">ROUND($AY$6*AZ13/$AZ$5,2)</f>
        <v>20797.28</v>
      </c>
      <c r="AZ13" s="27">
        <f t="shared" ref="AZ13:AZ20" si="12">BA13+BL13</f>
        <v>62884.97</v>
      </c>
      <c r="BA13" s="27">
        <f t="shared" ref="BA13:BA20" si="13">SUM(BB13:BK13)</f>
        <v>58884.03</v>
      </c>
      <c r="BB13" s="27">
        <f t="shared" ref="BB13:BB20" si="14">IF($D13="是",I13-J13,0)</f>
        <v>43988.19</v>
      </c>
      <c r="BC13" s="27">
        <f t="shared" ref="BC13:BC20" si="15">IF($D13="是",K13-L13,0)</f>
        <v>11890.43</v>
      </c>
      <c r="BD13" s="27">
        <f t="shared" ref="BD13:BD20" si="16">IF($D13="是",M13-N13,0)</f>
        <v>3005.41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4000.9399999999996</v>
      </c>
      <c r="BM13" s="27">
        <f t="shared" ref="BM13:BM20" si="25">IF($D13="是",AD13-AE13,0)</f>
        <v>51.1</v>
      </c>
      <c r="BN13" s="27">
        <f t="shared" ref="BN13:BN20" si="26">IF($D13="是",AF13-AG13,0)</f>
        <v>1036</v>
      </c>
      <c r="BO13" s="27">
        <f t="shared" ref="BO13:BO20" si="27">IF($D13="是",AH13-AI13,0)</f>
        <v>100</v>
      </c>
      <c r="BP13" s="27">
        <f t="shared" ref="BP13:BP20" si="28">IF($D13="是",AJ13-AK13,0)</f>
        <v>50</v>
      </c>
      <c r="BQ13" s="27">
        <f t="shared" ref="BQ13:BQ20" si="29">IF($D13="是",AL13-AM13,0)</f>
        <v>63.11</v>
      </c>
      <c r="BR13" s="27">
        <f t="shared" ref="BR13:BR20" si="30">IF($D13="是",AN13-AO13,0)</f>
        <v>2700.73</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5" t="s">
        <v>0</v>
      </c>
      <c r="B1" s="3515" t="s">
        <v>4</v>
      </c>
      <c r="C1" s="3515" t="s">
        <v>5</v>
      </c>
      <c r="D1" s="3516" t="s">
        <v>40</v>
      </c>
      <c r="E1" s="3516" t="s">
        <v>41</v>
      </c>
      <c r="F1" s="3516"/>
      <c r="G1" s="3516"/>
      <c r="H1" s="3516"/>
      <c r="I1" s="3516"/>
      <c r="J1" s="3516"/>
      <c r="K1" s="3516"/>
      <c r="L1" s="3516"/>
      <c r="M1" s="3516"/>
    </row>
    <row r="2" spans="1:13" ht="27" customHeight="1">
      <c r="A2" s="3515"/>
      <c r="B2" s="3515"/>
      <c r="C2" s="3515"/>
      <c r="D2" s="3516"/>
      <c r="E2" s="3516" t="s">
        <v>24</v>
      </c>
      <c r="F2" s="3516" t="s">
        <v>25</v>
      </c>
      <c r="G2" s="3516"/>
      <c r="H2" s="3516"/>
      <c r="I2" s="3516"/>
      <c r="J2" s="3516" t="s">
        <v>26</v>
      </c>
      <c r="K2" s="3516"/>
      <c r="L2" s="3516"/>
      <c r="M2" s="3516"/>
    </row>
    <row r="3" spans="1:13" ht="28.5">
      <c r="A3" s="3515"/>
      <c r="B3" s="3515"/>
      <c r="C3" s="3515"/>
      <c r="D3" s="3516"/>
      <c r="E3" s="35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16" t="s">
        <v>42</v>
      </c>
      <c r="B9" s="3516"/>
      <c r="C9" s="35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8" sqref="G38"/>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526" t="s">
        <v>203</v>
      </c>
      <c r="B2" s="3526"/>
      <c r="C2" s="3526"/>
      <c r="D2" s="1858" t="s">
        <v>204</v>
      </c>
      <c r="E2" s="106" t="s">
        <v>205</v>
      </c>
      <c r="F2" s="3016"/>
      <c r="G2" s="1161"/>
      <c r="H2" s="1162"/>
      <c r="I2" s="1163" t="s">
        <v>838</v>
      </c>
      <c r="J2" s="3016"/>
      <c r="K2" s="3016"/>
      <c r="L2" s="3016"/>
      <c r="M2" s="3016"/>
      <c r="N2" s="3016"/>
      <c r="O2" s="3016"/>
      <c r="P2" s="3016"/>
    </row>
    <row r="3" spans="1:16" ht="15.75" thickBot="1">
      <c r="A3" s="3527" t="s">
        <v>206</v>
      </c>
      <c r="B3" s="3527"/>
      <c r="C3" s="3527"/>
      <c r="D3" s="107">
        <f>'数据-基础表'!AY6</f>
        <v>20797.28</v>
      </c>
      <c r="E3" s="107">
        <f>'数据-基础表'!AZ5</f>
        <v>62884.97</v>
      </c>
      <c r="F3" s="3016"/>
      <c r="G3" s="278" t="s">
        <v>839</v>
      </c>
      <c r="H3" s="273" t="s">
        <v>840</v>
      </c>
      <c r="I3" s="1859">
        <f>ROUND('数据-基础表'!B3/'数据-基础表'!A3,2)</f>
        <v>3.02</v>
      </c>
      <c r="J3" s="3016"/>
      <c r="K3" s="3016"/>
      <c r="L3" s="3016"/>
      <c r="M3" s="3016"/>
      <c r="N3" s="3016"/>
      <c r="O3" s="3016"/>
      <c r="P3" s="3016"/>
    </row>
    <row r="4" spans="1:16" ht="15">
      <c r="A4" s="3528"/>
      <c r="B4" s="3529"/>
      <c r="C4" s="3530"/>
      <c r="D4" s="108" t="s">
        <v>204</v>
      </c>
      <c r="E4" s="109" t="s">
        <v>205</v>
      </c>
      <c r="F4" s="3016"/>
      <c r="G4" s="1164"/>
      <c r="H4" s="273" t="s">
        <v>841</v>
      </c>
      <c r="I4" s="1859">
        <f>ROUND(SUMIF('数据-基础表'!I9:AS9,"地上",'数据-基础表'!I5:AS5)/'数据-基础表'!A3,2)</f>
        <v>2</v>
      </c>
      <c r="J4" s="3016"/>
      <c r="K4" s="3016"/>
      <c r="L4" s="3016"/>
      <c r="M4" s="3016"/>
      <c r="N4" s="3016"/>
      <c r="O4" s="3016"/>
      <c r="P4" s="3016"/>
    </row>
    <row r="5" spans="1:16">
      <c r="A5" s="110" t="s">
        <v>207</v>
      </c>
      <c r="B5" s="3531" t="s">
        <v>230</v>
      </c>
      <c r="C5" s="3531"/>
      <c r="D5" s="111">
        <f>ROUND($D$3*E5/$E$3,2)</f>
        <v>14547.75</v>
      </c>
      <c r="E5" s="112">
        <f>SUMIF('数据-基础表'!$11:$11,"住宅",'数据-基础表'!$5:$5)</f>
        <v>43988.19</v>
      </c>
      <c r="F5" s="3016"/>
      <c r="G5" s="278" t="s">
        <v>842</v>
      </c>
      <c r="H5" s="273" t="s">
        <v>840</v>
      </c>
      <c r="I5" s="1859">
        <f>ROUND(E31/D31,2)</f>
        <v>3.02</v>
      </c>
      <c r="J5" s="3016"/>
      <c r="K5" s="3016"/>
      <c r="L5" s="3016"/>
      <c r="M5" s="3016"/>
      <c r="N5" s="3016"/>
      <c r="O5" s="3016"/>
      <c r="P5" s="3016"/>
    </row>
    <row r="6" spans="1:16" ht="15" thickBot="1">
      <c r="A6" s="113"/>
      <c r="B6" s="3531" t="s">
        <v>208</v>
      </c>
      <c r="C6" s="3531"/>
      <c r="D6" s="111">
        <f>ROUND($D$3*E6/$E$3,2)</f>
        <v>6249.53</v>
      </c>
      <c r="E6" s="112">
        <f>E3-E5</f>
        <v>18896.78</v>
      </c>
      <c r="F6" s="3016"/>
      <c r="G6" s="1164"/>
      <c r="H6" s="273" t="s">
        <v>841</v>
      </c>
      <c r="I6" s="1859">
        <f>ROUND(F31/D31,2)</f>
        <v>2.13</v>
      </c>
      <c r="J6" s="3016"/>
      <c r="K6" s="3016"/>
      <c r="L6" s="3016"/>
      <c r="M6" s="3016"/>
      <c r="N6" s="3016"/>
      <c r="O6" s="3016"/>
      <c r="P6" s="3016"/>
    </row>
    <row r="7" spans="1:16" ht="15">
      <c r="A7" s="3523"/>
      <c r="B7" s="3524"/>
      <c r="C7" s="3525"/>
      <c r="D7" s="108" t="s">
        <v>204</v>
      </c>
      <c r="E7" s="114" t="s">
        <v>231</v>
      </c>
      <c r="F7" s="3016"/>
      <c r="G7" s="1119" t="s">
        <v>1625</v>
      </c>
      <c r="H7" s="1120"/>
      <c r="I7" s="1730"/>
      <c r="J7" s="3016"/>
      <c r="K7" s="3016"/>
      <c r="L7" s="3016"/>
      <c r="M7" s="3016"/>
      <c r="N7" s="3016"/>
      <c r="O7" s="3016"/>
      <c r="P7" s="3016"/>
    </row>
    <row r="8" spans="1:16">
      <c r="A8" s="110" t="s">
        <v>209</v>
      </c>
      <c r="B8" s="115" t="s">
        <v>210</v>
      </c>
      <c r="C8" s="111" t="s">
        <v>211</v>
      </c>
      <c r="D8" s="111">
        <f t="shared" ref="D8:D15" si="0">ROUND($D$3*E8/$E$3,2)</f>
        <v>14547.75</v>
      </c>
      <c r="E8" s="116">
        <f>SUMIF('数据-基础表'!BB10:BK10,"地上",'数据-基础表'!BB5:BK5)</f>
        <v>43988.19</v>
      </c>
      <c r="F8" s="3016"/>
      <c r="G8" s="3017"/>
      <c r="H8" s="3017"/>
      <c r="I8" s="3016"/>
      <c r="J8" s="3016"/>
      <c r="K8" s="3016"/>
      <c r="L8" s="3016"/>
      <c r="M8" s="3016"/>
      <c r="N8" s="3016"/>
      <c r="O8" s="3016"/>
      <c r="P8" s="3016"/>
    </row>
    <row r="9" spans="1:16">
      <c r="A9" s="117"/>
      <c r="B9" s="118"/>
      <c r="C9" s="111" t="s">
        <v>212</v>
      </c>
      <c r="D9" s="111">
        <f t="shared" si="0"/>
        <v>33.07</v>
      </c>
      <c r="E9" s="119">
        <f>'数据-基础表'!AH13</f>
        <v>100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0" t="s">
        <v>2299</v>
      </c>
      <c r="D11" s="111">
        <f t="shared" si="0"/>
        <v>16.54</v>
      </c>
      <c r="E11" s="116">
        <f>SUMPRODUCT(('数据-基础表'!BB10:BK10="地下")*('数据-基础表'!BB11:BK11="办公")*('数据-基础表'!BB5:BK5))+'数据-基础表'!AJ5</f>
        <v>50</v>
      </c>
      <c r="F11" s="3016"/>
      <c r="G11" s="3017"/>
      <c r="H11" s="3017"/>
      <c r="I11" s="3016"/>
      <c r="J11" s="3016"/>
      <c r="K11" s="3016"/>
      <c r="L11" s="3016"/>
      <c r="M11" s="3016"/>
      <c r="N11" s="3016"/>
      <c r="O11" s="3016"/>
      <c r="P11" s="3016"/>
    </row>
    <row r="12" spans="1:16">
      <c r="A12" s="117"/>
      <c r="B12" s="118"/>
      <c r="C12" s="111" t="s">
        <v>214</v>
      </c>
      <c r="D12" s="111">
        <f t="shared" si="0"/>
        <v>993.95</v>
      </c>
      <c r="E12" s="116">
        <f>SUMPRODUCT(('数据-基础表'!BB10:BK10="地下")*('数据-基础表'!BB11:BK11="仓储")*('数据-基础表'!BB5:BK5))</f>
        <v>3005.41</v>
      </c>
      <c r="F12" s="3016"/>
      <c r="G12" s="3017"/>
      <c r="H12" s="3017"/>
      <c r="I12" s="3016"/>
      <c r="J12" s="3016"/>
      <c r="K12" s="3016"/>
      <c r="L12" s="3016"/>
      <c r="M12" s="3016"/>
      <c r="N12" s="3016"/>
      <c r="O12" s="3016"/>
      <c r="P12" s="3016"/>
    </row>
    <row r="13" spans="1:16">
      <c r="A13" s="117"/>
      <c r="B13" s="118"/>
      <c r="C13" s="2180" t="s">
        <v>2306</v>
      </c>
      <c r="D13" s="111">
        <f t="shared" si="0"/>
        <v>3932.4</v>
      </c>
      <c r="E13" s="116">
        <f>SUMPRODUCT(('数据-基础表'!BB10:BK10="地下")*('数据-基础表'!BB11:BK11="车库")*('数据-基础表'!BB5:BK5))</f>
        <v>11890.43</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19523.710000000003</v>
      </c>
      <c r="E16" s="120">
        <f>SUM(E8:E15)</f>
        <v>59034.030000000006</v>
      </c>
      <c r="F16" s="3016"/>
      <c r="G16" s="3017"/>
      <c r="H16" s="936" t="s">
        <v>219</v>
      </c>
      <c r="I16" s="937"/>
      <c r="J16" s="1867"/>
      <c r="K16" s="3517" t="s">
        <v>2466</v>
      </c>
      <c r="L16" s="3518"/>
      <c r="M16" s="3518"/>
      <c r="N16" s="3518"/>
      <c r="O16" s="3518"/>
      <c r="P16" s="3519"/>
    </row>
    <row r="17" spans="1:19" ht="15">
      <c r="A17" s="121" t="s">
        <v>216</v>
      </c>
      <c r="B17" s="122" t="s">
        <v>217</v>
      </c>
      <c r="C17" s="2147" t="s">
        <v>2285</v>
      </c>
      <c r="D17" s="108" t="s">
        <v>204</v>
      </c>
      <c r="E17" s="124" t="s">
        <v>205</v>
      </c>
      <c r="F17" s="125"/>
      <c r="G17" s="1291"/>
      <c r="H17" s="938" t="s">
        <v>218</v>
      </c>
      <c r="I17" s="939" t="s">
        <v>2284</v>
      </c>
      <c r="J17" s="1867"/>
      <c r="K17" s="3520" t="s">
        <v>2467</v>
      </c>
      <c r="L17" s="3521"/>
      <c r="M17" s="3522"/>
      <c r="N17" s="3520" t="s">
        <v>2468</v>
      </c>
      <c r="O17" s="3521"/>
      <c r="P17" s="3522"/>
      <c r="R17" s="2148" t="s">
        <v>2283</v>
      </c>
      <c r="S17" s="142"/>
    </row>
    <row r="18" spans="1:19" ht="15">
      <c r="A18" s="117"/>
      <c r="B18" s="128"/>
      <c r="C18" s="129"/>
      <c r="D18" s="2421"/>
      <c r="E18" s="130" t="s">
        <v>220</v>
      </c>
      <c r="F18" s="131" t="s">
        <v>221</v>
      </c>
      <c r="G18" s="1292" t="s">
        <v>222</v>
      </c>
      <c r="H18" s="940" t="s">
        <v>223</v>
      </c>
      <c r="I18" s="941" t="s">
        <v>224</v>
      </c>
      <c r="J18" s="1867"/>
      <c r="K18" s="2386" t="s">
        <v>2469</v>
      </c>
      <c r="L18" s="2387" t="s">
        <v>2470</v>
      </c>
      <c r="M18" s="2388" t="s">
        <v>2471</v>
      </c>
      <c r="N18" s="2386" t="s">
        <v>2469</v>
      </c>
      <c r="O18" s="2387" t="s">
        <v>2470</v>
      </c>
      <c r="P18" s="2388" t="s">
        <v>2471</v>
      </c>
      <c r="R18" s="2149" t="s">
        <v>2281</v>
      </c>
      <c r="S18" s="2149" t="s">
        <v>2282</v>
      </c>
    </row>
    <row r="19" spans="1:19">
      <c r="A19" s="133"/>
      <c r="B19" s="115" t="s">
        <v>225</v>
      </c>
      <c r="C19" s="2674" t="s">
        <v>3255</v>
      </c>
      <c r="D19" s="111">
        <f t="shared" ref="D19:D26" si="1">ROUND($D$3*E19/$E$3,2)</f>
        <v>14547.75</v>
      </c>
      <c r="E19" s="134">
        <f t="shared" ref="E19:E26" si="2">SUM(F19:G19)</f>
        <v>43988.19</v>
      </c>
      <c r="F19" s="3018">
        <f>'数据-基础表'!I5</f>
        <v>43988.19</v>
      </c>
      <c r="G19" s="3019"/>
      <c r="H19" s="942">
        <f>ROUND($D$3*I19/$E$3,2)</f>
        <v>1091.96</v>
      </c>
      <c r="I19" s="116">
        <f>IF($I$17="自定义",P19,M19)</f>
        <v>3301.77</v>
      </c>
      <c r="J19" s="1867"/>
      <c r="K19" s="2389">
        <f t="shared" ref="K19:K26" si="3">ROUND(E$28*E19/E$27,2)</f>
        <v>2064.67</v>
      </c>
      <c r="L19" s="273">
        <f t="shared" ref="L19:L26" si="4">ROUND(IF(COUNTIF(C19,"*住宅*")&gt;0,E$29*E19/E$32,0),2)</f>
        <v>1237.0999999999999</v>
      </c>
      <c r="M19" s="2390">
        <f>K19+L19</f>
        <v>3301.77</v>
      </c>
      <c r="N19" s="2391"/>
      <c r="O19" s="2392"/>
      <c r="P19" s="2393">
        <f>N19+O19</f>
        <v>0</v>
      </c>
      <c r="R19" s="273">
        <f t="shared" ref="R19:S26" si="5">D19+H19</f>
        <v>15639.71</v>
      </c>
      <c r="S19" s="2150">
        <f t="shared" si="5"/>
        <v>47289.96</v>
      </c>
    </row>
    <row r="20" spans="1:19">
      <c r="A20" s="137"/>
      <c r="B20" s="115" t="s">
        <v>226</v>
      </c>
      <c r="C20" s="2674" t="s">
        <v>3257</v>
      </c>
      <c r="D20" s="111">
        <f t="shared" si="1"/>
        <v>993.95</v>
      </c>
      <c r="E20" s="134">
        <f t="shared" si="2"/>
        <v>3005.41</v>
      </c>
      <c r="F20" s="3018"/>
      <c r="G20" s="3019">
        <f>'数据-基础表'!M5</f>
        <v>3005.41</v>
      </c>
      <c r="H20" s="942">
        <f t="shared" ref="H20:H26" si="6">ROUND($D$3*I20/$E$3,2)</f>
        <v>46.65</v>
      </c>
      <c r="I20" s="116">
        <f t="shared" ref="I20:I26" si="7">IF($I$17="自定义",P20,M20)</f>
        <v>141.06</v>
      </c>
      <c r="J20" s="1867"/>
      <c r="K20" s="2389">
        <f t="shared" si="3"/>
        <v>141.06</v>
      </c>
      <c r="L20" s="273">
        <f t="shared" si="4"/>
        <v>0</v>
      </c>
      <c r="M20" s="2390">
        <f t="shared" ref="M20:M26" si="8">K20+L20</f>
        <v>141.06</v>
      </c>
      <c r="N20" s="2391"/>
      <c r="O20" s="2392"/>
      <c r="P20" s="2393">
        <f t="shared" ref="P20:P26" si="9">N20+O20</f>
        <v>0</v>
      </c>
      <c r="R20" s="273">
        <f t="shared" si="5"/>
        <v>1040.6000000000001</v>
      </c>
      <c r="S20" s="2150">
        <f t="shared" si="5"/>
        <v>3146.47</v>
      </c>
    </row>
    <row r="21" spans="1:19">
      <c r="A21" s="137"/>
      <c r="B21" s="115" t="s">
        <v>226</v>
      </c>
      <c r="C21" s="2674" t="s">
        <v>3258</v>
      </c>
      <c r="D21" s="111">
        <f t="shared" si="1"/>
        <v>3932.4</v>
      </c>
      <c r="E21" s="134">
        <f t="shared" si="2"/>
        <v>11890.43</v>
      </c>
      <c r="F21" s="3018"/>
      <c r="G21" s="3019">
        <f>'数据-基础表'!K5</f>
        <v>11890.43</v>
      </c>
      <c r="H21" s="942">
        <f t="shared" si="6"/>
        <v>184.57</v>
      </c>
      <c r="I21" s="116">
        <f t="shared" si="7"/>
        <v>558.1</v>
      </c>
      <c r="J21" s="1867"/>
      <c r="K21" s="2389">
        <f t="shared" si="3"/>
        <v>558.1</v>
      </c>
      <c r="L21" s="273">
        <f t="shared" si="4"/>
        <v>0</v>
      </c>
      <c r="M21" s="2390">
        <f t="shared" si="8"/>
        <v>558.1</v>
      </c>
      <c r="N21" s="2391"/>
      <c r="O21" s="2392"/>
      <c r="P21" s="2393">
        <f t="shared" si="9"/>
        <v>0</v>
      </c>
      <c r="R21" s="273">
        <f t="shared" si="5"/>
        <v>4116.97</v>
      </c>
      <c r="S21" s="2150">
        <f t="shared" si="5"/>
        <v>12448.53</v>
      </c>
    </row>
    <row r="22" spans="1:19">
      <c r="A22" s="137"/>
      <c r="B22" s="115" t="s">
        <v>226</v>
      </c>
      <c r="C22" s="1290"/>
      <c r="D22" s="111">
        <f t="shared" si="1"/>
        <v>0</v>
      </c>
      <c r="E22" s="134">
        <f t="shared" si="2"/>
        <v>0</v>
      </c>
      <c r="F22" s="3020"/>
      <c r="G22" s="3021"/>
      <c r="H22" s="942">
        <f t="shared" si="6"/>
        <v>0</v>
      </c>
      <c r="I22" s="116">
        <f t="shared" si="7"/>
        <v>0</v>
      </c>
      <c r="J22" s="1867"/>
      <c r="K22" s="2389">
        <f t="shared" si="3"/>
        <v>0</v>
      </c>
      <c r="L22" s="273">
        <f t="shared" si="4"/>
        <v>0</v>
      </c>
      <c r="M22" s="2390">
        <f t="shared" si="8"/>
        <v>0</v>
      </c>
      <c r="N22" s="2391"/>
      <c r="O22" s="2392"/>
      <c r="P22" s="2393">
        <f t="shared" si="9"/>
        <v>0</v>
      </c>
      <c r="R22" s="273">
        <f t="shared" si="5"/>
        <v>0</v>
      </c>
      <c r="S22" s="2150">
        <f t="shared" si="5"/>
        <v>0</v>
      </c>
    </row>
    <row r="23" spans="1:19">
      <c r="A23" s="137"/>
      <c r="B23" s="115" t="s">
        <v>226</v>
      </c>
      <c r="C23" s="138"/>
      <c r="D23" s="111">
        <f>ROUND($D$3*E23/$E$3,2)</f>
        <v>0</v>
      </c>
      <c r="E23" s="134">
        <f>SUM(F23:G23)</f>
        <v>0</v>
      </c>
      <c r="F23" s="3020"/>
      <c r="G23" s="3021"/>
      <c r="H23" s="942">
        <f>ROUND($D$3*I23/$E$3,2)</f>
        <v>0</v>
      </c>
      <c r="I23" s="116">
        <f t="shared" si="7"/>
        <v>0</v>
      </c>
      <c r="J23" s="1867"/>
      <c r="K23" s="2389">
        <f t="shared" si="3"/>
        <v>0</v>
      </c>
      <c r="L23" s="273">
        <f t="shared" si="4"/>
        <v>0</v>
      </c>
      <c r="M23" s="2390">
        <f t="shared" si="8"/>
        <v>0</v>
      </c>
      <c r="N23" s="2391"/>
      <c r="O23" s="2392"/>
      <c r="P23" s="2393">
        <f t="shared" si="9"/>
        <v>0</v>
      </c>
      <c r="R23" s="273">
        <f t="shared" si="5"/>
        <v>0</v>
      </c>
      <c r="S23" s="2150">
        <f t="shared" si="5"/>
        <v>0</v>
      </c>
    </row>
    <row r="24" spans="1:19">
      <c r="A24" s="137"/>
      <c r="B24" s="115" t="s">
        <v>226</v>
      </c>
      <c r="C24" s="138"/>
      <c r="D24" s="111">
        <f>ROUND($D$3*E24/$E$3,2)</f>
        <v>0</v>
      </c>
      <c r="E24" s="134">
        <f>SUM(F24:G24)</f>
        <v>0</v>
      </c>
      <c r="F24" s="3020"/>
      <c r="G24" s="3021"/>
      <c r="H24" s="942">
        <f>ROUND($D$3*I24/$E$3,2)</f>
        <v>0</v>
      </c>
      <c r="I24" s="116">
        <f t="shared" si="7"/>
        <v>0</v>
      </c>
      <c r="J24" s="1867"/>
      <c r="K24" s="2389">
        <f t="shared" si="3"/>
        <v>0</v>
      </c>
      <c r="L24" s="273">
        <f t="shared" si="4"/>
        <v>0</v>
      </c>
      <c r="M24" s="2390">
        <f t="shared" si="8"/>
        <v>0</v>
      </c>
      <c r="N24" s="2391"/>
      <c r="O24" s="2392"/>
      <c r="P24" s="2393">
        <f t="shared" si="9"/>
        <v>0</v>
      </c>
      <c r="R24" s="273">
        <f t="shared" si="5"/>
        <v>0</v>
      </c>
      <c r="S24" s="2150">
        <f t="shared" si="5"/>
        <v>0</v>
      </c>
    </row>
    <row r="25" spans="1:19">
      <c r="A25" s="137"/>
      <c r="B25" s="115" t="s">
        <v>226</v>
      </c>
      <c r="C25" s="138"/>
      <c r="D25" s="111">
        <f t="shared" si="1"/>
        <v>0</v>
      </c>
      <c r="E25" s="134">
        <f t="shared" si="2"/>
        <v>0</v>
      </c>
      <c r="F25" s="3020"/>
      <c r="G25" s="3021"/>
      <c r="H25" s="110">
        <f t="shared" si="6"/>
        <v>0</v>
      </c>
      <c r="I25" s="116">
        <f t="shared" si="7"/>
        <v>0</v>
      </c>
      <c r="J25" s="1867"/>
      <c r="K25" s="2389">
        <f t="shared" si="3"/>
        <v>0</v>
      </c>
      <c r="L25" s="273">
        <f t="shared" si="4"/>
        <v>0</v>
      </c>
      <c r="M25" s="2390">
        <f t="shared" si="8"/>
        <v>0</v>
      </c>
      <c r="N25" s="2391"/>
      <c r="O25" s="2392"/>
      <c r="P25" s="2393">
        <f t="shared" si="9"/>
        <v>0</v>
      </c>
      <c r="R25" s="273">
        <f t="shared" si="5"/>
        <v>0</v>
      </c>
      <c r="S25" s="2150">
        <f t="shared" si="5"/>
        <v>0</v>
      </c>
    </row>
    <row r="26" spans="1:19">
      <c r="A26" s="137"/>
      <c r="B26" s="115" t="s">
        <v>226</v>
      </c>
      <c r="C26" s="140"/>
      <c r="D26" s="111">
        <f t="shared" si="1"/>
        <v>0</v>
      </c>
      <c r="E26" s="134">
        <f t="shared" si="2"/>
        <v>0</v>
      </c>
      <c r="F26" s="3020"/>
      <c r="G26" s="3021"/>
      <c r="H26" s="110">
        <f t="shared" si="6"/>
        <v>0</v>
      </c>
      <c r="I26" s="116">
        <f t="shared" si="7"/>
        <v>0</v>
      </c>
      <c r="J26" s="1867"/>
      <c r="K26" s="2394">
        <f t="shared" si="3"/>
        <v>0</v>
      </c>
      <c r="L26" s="278">
        <f t="shared" si="4"/>
        <v>0</v>
      </c>
      <c r="M26" s="144">
        <f t="shared" si="8"/>
        <v>0</v>
      </c>
      <c r="N26" s="2395"/>
      <c r="O26" s="2396"/>
      <c r="P26" s="2397">
        <f t="shared" si="9"/>
        <v>0</v>
      </c>
      <c r="R26" s="273">
        <f t="shared" si="5"/>
        <v>0</v>
      </c>
      <c r="S26" s="2150">
        <f t="shared" si="5"/>
        <v>0</v>
      </c>
    </row>
    <row r="27" spans="1:19" ht="29.25" thickBot="1">
      <c r="A27" s="137"/>
      <c r="B27" s="111"/>
      <c r="C27" s="127" t="s">
        <v>215</v>
      </c>
      <c r="D27" s="134">
        <f>SUM(D19:D26)</f>
        <v>19474.100000000002</v>
      </c>
      <c r="E27" s="141">
        <f>IF(SUM(E19:E26)='数据-基础表'!BA5,SUM(E19:E26),IF(F27="地上面积有误","面积有误","地下面积有误"))</f>
        <v>58884.030000000006</v>
      </c>
      <c r="F27" s="134">
        <f>IF(SUM(F19:F26)=E8,SUM(F19:F26),"地上面积有误")</f>
        <v>43988.19</v>
      </c>
      <c r="G27" s="112">
        <f>SUM(G19:G26)</f>
        <v>14895.84</v>
      </c>
      <c r="H27" s="943">
        <f>SUM(H19:H26)</f>
        <v>1323.18</v>
      </c>
      <c r="I27" s="944">
        <f>SUM(I19:I26)</f>
        <v>4000.93</v>
      </c>
      <c r="J27" s="1867"/>
      <c r="K27" s="2398">
        <f>SUM(K19:K26)</f>
        <v>2763.83</v>
      </c>
      <c r="L27" s="2399">
        <f>SUM(L19:L26)</f>
        <v>1237.0999999999999</v>
      </c>
      <c r="M27" s="2400">
        <f>SUM(M19:M26)</f>
        <v>4000.93</v>
      </c>
      <c r="N27" s="2398">
        <f t="shared" ref="N27:O27" si="10">SUM(N19:N26)</f>
        <v>0</v>
      </c>
      <c r="O27" s="2399">
        <f t="shared" si="10"/>
        <v>0</v>
      </c>
      <c r="P27" s="2401">
        <f>SUM(P19:P26)</f>
        <v>0</v>
      </c>
      <c r="R27" s="2154">
        <f>IF(SUM(R19:R26)=$D$3,SUM(R19:R26),SUM(R19:R26)&amp;"误差"&amp;ROUND(SUM(R19:R26)-$D$3,2))</f>
        <v>20797.28</v>
      </c>
      <c r="S27" s="273" t="str">
        <f>IF(SUM(S19:S26)=$E$3,SUM(S19:S26),SUM(S19:S26)&amp;"误差"&amp;ROUND(SUM(S19:S26)-E3,2))</f>
        <v>62884.96误差-0.01</v>
      </c>
    </row>
    <row r="28" spans="1:19">
      <c r="A28" s="137"/>
      <c r="B28" s="115" t="s">
        <v>227</v>
      </c>
      <c r="C28" s="135" t="s">
        <v>228</v>
      </c>
      <c r="D28" s="111">
        <f>ROUND($D$3*E28/$E$3,2)</f>
        <v>914.06</v>
      </c>
      <c r="E28" s="134">
        <f>SUM(F28:G28)</f>
        <v>2763.84</v>
      </c>
      <c r="F28" s="142">
        <f>'数据-基础表'!BQ5+'数据-基础表'!BS5</f>
        <v>63.11</v>
      </c>
      <c r="G28" s="143">
        <f>'数据-基础表'!BR5+'数据-基础表'!BT5</f>
        <v>2700.73</v>
      </c>
      <c r="H28" s="3016"/>
      <c r="I28" s="3016"/>
      <c r="J28" s="3016"/>
      <c r="K28" s="3016"/>
      <c r="L28" s="3016"/>
      <c r="M28" s="3016"/>
      <c r="N28" s="3016"/>
      <c r="O28" s="3016"/>
      <c r="P28" s="3016"/>
    </row>
    <row r="29" spans="1:19">
      <c r="A29" s="137"/>
      <c r="B29" s="115" t="s">
        <v>227</v>
      </c>
      <c r="C29" s="2162" t="s">
        <v>2292</v>
      </c>
      <c r="D29" s="111">
        <f>ROUND($D$3*E29/$E$3,2)</f>
        <v>409.13</v>
      </c>
      <c r="E29" s="134">
        <f>SUM(F29:G29)</f>
        <v>1237.0999999999999</v>
      </c>
      <c r="F29" s="142">
        <f>'数据-基础表'!BM5+'数据-基础表'!BO5</f>
        <v>151.1</v>
      </c>
      <c r="G29" s="144">
        <f>'数据-基础表'!BN5+'数据-基础表'!BP5</f>
        <v>1086</v>
      </c>
      <c r="H29" s="3016"/>
      <c r="I29" s="3016"/>
      <c r="J29" s="3016"/>
      <c r="K29" s="3016"/>
      <c r="L29" s="3016"/>
      <c r="M29" s="3016"/>
      <c r="N29" s="3016"/>
      <c r="O29" s="3016"/>
      <c r="P29" s="3016"/>
    </row>
    <row r="30" spans="1:19">
      <c r="A30" s="137"/>
      <c r="B30" s="111"/>
      <c r="C30" s="145" t="s">
        <v>215</v>
      </c>
      <c r="D30" s="134">
        <f>SUM(D28:D29)</f>
        <v>1323.19</v>
      </c>
      <c r="E30" s="134">
        <f>SUM(E28:E29)</f>
        <v>4000.94</v>
      </c>
      <c r="F30" s="134">
        <f>SUM(F28:F29)</f>
        <v>214.20999999999998</v>
      </c>
      <c r="G30" s="112">
        <f>SUM(G28:G29)</f>
        <v>3786.73</v>
      </c>
      <c r="H30" s="3016"/>
      <c r="I30" s="3016"/>
      <c r="J30" s="3016"/>
      <c r="K30" s="3016"/>
      <c r="L30" s="3016"/>
      <c r="M30" s="3016"/>
      <c r="N30" s="3016"/>
      <c r="O30" s="3016"/>
      <c r="P30" s="3016"/>
    </row>
    <row r="31" spans="1:19" ht="32.25" customHeight="1" thickBot="1">
      <c r="A31" s="1293"/>
      <c r="B31" s="1294" t="s">
        <v>229</v>
      </c>
      <c r="C31" s="2179" t="s">
        <v>2294</v>
      </c>
      <c r="D31" s="1295">
        <f>D27+D30</f>
        <v>20797.29</v>
      </c>
      <c r="E31" s="1295">
        <f>E27+E30</f>
        <v>62884.970000000008</v>
      </c>
      <c r="F31" s="1296">
        <f>F27+F30</f>
        <v>44202.400000000001</v>
      </c>
      <c r="G31" s="1297">
        <f>G27+G30</f>
        <v>18682.57</v>
      </c>
      <c r="H31" s="3016"/>
      <c r="I31" s="3016"/>
      <c r="J31" s="3016"/>
      <c r="K31" s="3016"/>
      <c r="L31" s="3016"/>
      <c r="M31" s="3016"/>
      <c r="N31" s="3016"/>
      <c r="O31" s="3016"/>
      <c r="P31" s="3016"/>
    </row>
    <row r="32" spans="1:19">
      <c r="A32" s="1867"/>
      <c r="B32" s="2191" t="s">
        <v>2293</v>
      </c>
      <c r="C32" s="2426"/>
      <c r="D32" s="1164"/>
      <c r="E32" s="1164">
        <f>SUMIF(C19:C26,"*住宅*",E19:E26)</f>
        <v>43988.19</v>
      </c>
      <c r="F32" s="1164"/>
      <c r="G32" s="1164"/>
      <c r="H32" s="3016"/>
      <c r="I32" s="3016"/>
      <c r="J32" s="3016"/>
      <c r="K32" s="3016"/>
      <c r="L32" s="3016"/>
      <c r="M32" s="3016"/>
      <c r="N32" s="3016"/>
      <c r="O32" s="3016"/>
      <c r="P32" s="301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S49" sqref="S49"/>
      <selection pane="topRight" activeCell="S49" sqref="S49"/>
      <selection pane="bottomLeft" activeCell="S49" sqref="S49"/>
      <selection pane="bottomRight" activeCell="J24" sqref="J24"/>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23"/>
      <c r="AO1" s="3023"/>
      <c r="AP1" s="3023"/>
      <c r="AQ1" s="3023"/>
      <c r="AR1" s="3023"/>
      <c r="AS1" s="3023"/>
      <c r="AT1" s="3023"/>
      <c r="AU1" s="3023"/>
      <c r="AV1" s="3023"/>
      <c r="AW1" s="3023"/>
      <c r="AX1" s="3023"/>
      <c r="AY1" s="3023"/>
      <c r="AZ1" s="3023"/>
    </row>
    <row r="2" spans="1:83" s="1169" customFormat="1" ht="15.75" thickBot="1">
      <c r="A2" s="147" t="s">
        <v>235</v>
      </c>
      <c r="B2" s="2187">
        <f>项目基本情况!D3</f>
        <v>44649</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26"/>
      <c r="AO2" s="3026"/>
      <c r="AP2" s="3026"/>
      <c r="AQ2" s="3026"/>
      <c r="AR2" s="3026"/>
      <c r="AS2" s="3026"/>
      <c r="AT2" s="3026"/>
      <c r="AU2" s="3026"/>
      <c r="AV2" s="3026"/>
      <c r="AW2" s="3026"/>
      <c r="AX2" s="3026"/>
      <c r="AY2" s="3026"/>
      <c r="AZ2" s="302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26"/>
      <c r="AO3" s="3026"/>
      <c r="AP3" s="3026"/>
      <c r="AQ3" s="3026"/>
      <c r="AR3" s="3026"/>
      <c r="AS3" s="3026"/>
      <c r="AT3" s="3026"/>
      <c r="AU3" s="3026"/>
      <c r="AV3" s="3026"/>
      <c r="AW3" s="3026"/>
      <c r="AX3" s="3026"/>
      <c r="AY3" s="3026"/>
      <c r="AZ3" s="302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54">
      <c r="A5" s="2153"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3259</v>
      </c>
      <c r="O5" s="161" t="s">
        <v>246</v>
      </c>
      <c r="P5" s="163" t="s">
        <v>247</v>
      </c>
      <c r="Q5" s="164" t="s">
        <v>248</v>
      </c>
      <c r="R5" s="165" t="s">
        <v>249</v>
      </c>
      <c r="S5" s="2402" t="s">
        <v>2472</v>
      </c>
      <c r="T5" s="166" t="s">
        <v>250</v>
      </c>
      <c r="U5" s="167" t="s">
        <v>251</v>
      </c>
      <c r="V5" s="157" t="s">
        <v>252</v>
      </c>
      <c r="W5" s="157" t="s">
        <v>253</v>
      </c>
      <c r="X5" s="1703"/>
      <c r="Y5" s="168" t="s">
        <v>254</v>
      </c>
      <c r="Z5" s="169" t="s">
        <v>255</v>
      </c>
      <c r="AA5" s="157" t="s">
        <v>252</v>
      </c>
      <c r="AB5" s="157" t="s">
        <v>253</v>
      </c>
      <c r="AC5" s="1704"/>
      <c r="AD5" s="170" t="s">
        <v>254</v>
      </c>
      <c r="AE5" s="1" t="s">
        <v>851</v>
      </c>
      <c r="AF5" s="157" t="s">
        <v>256</v>
      </c>
      <c r="AG5" s="168" t="s">
        <v>257</v>
      </c>
      <c r="AH5" s="1704" t="s">
        <v>2295</v>
      </c>
      <c r="AI5" s="169" t="s">
        <v>2264</v>
      </c>
      <c r="AJ5" s="169" t="s">
        <v>258</v>
      </c>
      <c r="AK5" s="157" t="s">
        <v>259</v>
      </c>
      <c r="AL5" s="157" t="s">
        <v>260</v>
      </c>
      <c r="AM5" s="170" t="s">
        <v>261</v>
      </c>
      <c r="AN5" s="2215" t="s">
        <v>2342</v>
      </c>
      <c r="AO5" s="3037"/>
      <c r="AP5" s="3022" t="s">
        <v>2884</v>
      </c>
      <c r="AQ5" s="3037"/>
      <c r="AR5" s="3037"/>
      <c r="AS5" s="3037"/>
      <c r="AT5" s="3037"/>
      <c r="AU5" s="3037"/>
      <c r="AV5" s="3037"/>
      <c r="AW5" s="3037"/>
      <c r="AX5" s="3037"/>
      <c r="AY5" s="3037"/>
      <c r="AZ5" s="303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1" t="str">
        <f>'数据-汇总表'!C19</f>
        <v>住宅</v>
      </c>
      <c r="B6" s="2186" t="str">
        <f>IF(A6=0,"","经营性")</f>
        <v>经营性</v>
      </c>
      <c r="C6" s="171" t="s">
        <v>903</v>
      </c>
      <c r="D6" s="2157">
        <f>SUMIF(项目基本情况!D$15:I$15,C6,项目基本情况!D$18:I$18)</f>
        <v>70</v>
      </c>
      <c r="E6" s="2158">
        <f>IF(B6="","",SUMIF(项目基本情况!D$15:I$15,C6,项目基本情况!D$17:I$17))</f>
        <v>70190</v>
      </c>
      <c r="F6" s="172">
        <f>SUMIF(项目基本情况!D$15:I$15,C6,项目基本情况!D$19:I$19)</f>
        <v>69.97</v>
      </c>
      <c r="G6" s="173">
        <f>IF(ISERROR(ROUND(POWER(1+H6,D6-F6)*(POWER(1+H6,F6)-1)/(POWER(1+H6,D6)-1),3)),0,ROUND(POWER(1+H6,D6-F6)*(POWER(1+H6,F6)-1)/(POWER(1+H6,D6)-1),3))</f>
        <v>1</v>
      </c>
      <c r="H6" s="2675">
        <v>0.04</v>
      </c>
      <c r="I6" s="2675">
        <v>4.4999999999999998E-2</v>
      </c>
      <c r="J6" s="174"/>
      <c r="K6" s="177">
        <f>SUMIF('数据-汇总表'!C$19:C$33,'数据-取费表'!A6,'数据-汇总表'!E$19:E$33)</f>
        <v>43988.19</v>
      </c>
      <c r="L6" s="2676">
        <v>4500</v>
      </c>
      <c r="M6" s="175">
        <f t="shared" ref="M6:M14" si="0">ROUND(K6*L6/10000,0)</f>
        <v>19795</v>
      </c>
      <c r="N6" s="2677">
        <v>0</v>
      </c>
      <c r="O6" s="175">
        <f>IF($N$5="成新度","——",ROUND(M6*N6,0))</f>
        <v>0</v>
      </c>
      <c r="P6" s="176">
        <f>IF($N$5="成新度","——",M6-O6)</f>
        <v>19795</v>
      </c>
      <c r="Q6" s="2678">
        <v>0.2</v>
      </c>
      <c r="R6" s="177">
        <f>SUMIF('数据-汇总表'!C$19:C$33,A6,'数据-汇总表'!R$19:R$33)</f>
        <v>15639.71</v>
      </c>
      <c r="S6" s="132">
        <f>IF('数据-汇总表'!$I$17="按面积比例",SUMIF('数据-汇总表'!C$19:C$33,A6,'数据-汇总表'!K$19:K$33),SUMIF('数据-汇总表'!C$19:C$33,A6,'数据-汇总表'!N$19:N$33))</f>
        <v>2064.67</v>
      </c>
      <c r="T6" s="2083">
        <f>IF($T$4="按面积比例",IF(ISERROR(ROUND($M$14*S6/S$16,0)),"0",ROUND($M$14*S6/S$16,0)),"需自行计算录入")</f>
        <v>722</v>
      </c>
      <c r="U6" s="178"/>
      <c r="V6" s="179"/>
      <c r="W6" s="179"/>
      <c r="X6" s="2170"/>
      <c r="Y6" s="180"/>
      <c r="Z6" s="181"/>
      <c r="AA6" s="174"/>
      <c r="AB6" s="174"/>
      <c r="AC6" s="2173"/>
      <c r="AD6" s="182"/>
      <c r="AE6" s="940">
        <f ca="1">IF(AN6="",0,SUMIF(INDIRECT("'"&amp;AN6&amp;"'"&amp;"!E:E"),$AE$5,INDIRECT("'"&amp;AN6&amp;"'"&amp;"!F:F")))</f>
        <v>0</v>
      </c>
      <c r="AF6" s="139"/>
      <c r="AG6" s="1176">
        <f>IF(AF6="",0,AE6-AF6)</f>
        <v>0</v>
      </c>
      <c r="AH6" s="139"/>
      <c r="AI6" s="185"/>
      <c r="AJ6" s="186"/>
      <c r="AK6" s="187"/>
      <c r="AL6" s="188"/>
      <c r="AM6" s="2687"/>
      <c r="AN6" s="2216"/>
      <c r="AO6" s="3026"/>
      <c r="AP6" s="1167">
        <f>ROUND(1-1/(1+H6)^F6,3)</f>
        <v>0.93600000000000005</v>
      </c>
      <c r="AQ6" s="3026"/>
      <c r="AR6" s="3026"/>
      <c r="AS6" s="3026"/>
      <c r="AT6" s="3026"/>
      <c r="AU6" s="3026"/>
      <c r="AV6" s="3026"/>
      <c r="AW6" s="3026"/>
      <c r="AX6" s="3026"/>
      <c r="AY6" s="3026"/>
      <c r="AZ6" s="302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1" t="str">
        <f>'数据-汇总表'!C20</f>
        <v>地下仓储</v>
      </c>
      <c r="B7" s="2186" t="str">
        <f t="shared" ref="B7:B13" si="1">IF(A7=0,"","经营性")</f>
        <v>经营性</v>
      </c>
      <c r="C7" s="171" t="s">
        <v>3240</v>
      </c>
      <c r="D7" s="2157">
        <f>SUMIF(项目基本情况!D$15:I$15,C7,项目基本情况!D$18:I$18)</f>
        <v>50</v>
      </c>
      <c r="E7" s="2158">
        <f>IF(B7="","",SUMIF(项目基本情况!D$15:I$15,C7,项目基本情况!D$17:I$17))</f>
        <v>62885</v>
      </c>
      <c r="F7" s="172">
        <f>SUMIF(项目基本情况!D$15:I$15,C7,项目基本情况!D$19:I$19)</f>
        <v>49.96</v>
      </c>
      <c r="G7" s="173">
        <f t="shared" ref="G7:G11" si="2">IF(ISERROR(ROUND(POWER(1+H7,D7-F7)*(POWER(1+H7,F7)-1)/(POWER(1+H7,D7)-1),3)),0,ROUND(POWER(1+H7,D7-F7)*(POWER(1+H7,F7)-1)/(POWER(1+H7,D7)-1),3))</f>
        <v>1</v>
      </c>
      <c r="H7" s="2675">
        <v>4.4999999999999998E-2</v>
      </c>
      <c r="I7" s="2675">
        <v>0.05</v>
      </c>
      <c r="J7" s="174"/>
      <c r="K7" s="177">
        <f>SUMIF('数据-汇总表'!C$19:C$33,'数据-取费表'!A7,'数据-汇总表'!E$19:E$33)</f>
        <v>3005.41</v>
      </c>
      <c r="L7" s="2676">
        <v>3500</v>
      </c>
      <c r="M7" s="175">
        <f t="shared" si="0"/>
        <v>1052</v>
      </c>
      <c r="N7" s="2677">
        <f>N6</f>
        <v>0</v>
      </c>
      <c r="O7" s="175">
        <f t="shared" ref="O7:O14" si="3">IF($N$5="成新度","——",ROUND(M7*N7,0))</f>
        <v>0</v>
      </c>
      <c r="P7" s="176">
        <f t="shared" ref="P7:P14" si="4">IF($N$5="成新度","——",M7-O7)</f>
        <v>1052</v>
      </c>
      <c r="Q7" s="2678">
        <v>0.1</v>
      </c>
      <c r="R7" s="177">
        <f>SUMIF('数据-汇总表'!C$19:C$33,A7,'数据-汇总表'!R$19:R$33)</f>
        <v>1040.6000000000001</v>
      </c>
      <c r="S7" s="132">
        <f>IF('数据-汇总表'!$I$17="按面积比例",SUMIF('数据-汇总表'!C$19:C$33,A7,'数据-汇总表'!K$19:K$33),SUMIF('数据-汇总表'!C$19:C$33,A7,'数据-汇总表'!N$19:N$33))</f>
        <v>141.06</v>
      </c>
      <c r="T7" s="2083">
        <f t="shared" ref="T7:T13" si="5">IF($T$4="按面积比例",IF(ISERROR(ROUND($M$14*S7/S$16,0)),"0",ROUND($M$14*S7/S$16,0)),"需自行计算录入")</f>
        <v>49</v>
      </c>
      <c r="U7" s="178"/>
      <c r="V7" s="179"/>
      <c r="W7" s="179"/>
      <c r="X7" s="2170"/>
      <c r="Y7" s="180"/>
      <c r="Z7" s="181"/>
      <c r="AA7" s="174"/>
      <c r="AB7" s="174"/>
      <c r="AC7" s="2173"/>
      <c r="AD7" s="182"/>
      <c r="AE7" s="940">
        <f t="shared" ref="AE7:AE13" ca="1" si="6">IF(AN7="",0,SUMIF(INDIRECT("'"&amp;AN7&amp;"'"&amp;"!E:E"),$AE$5,INDIRECT("'"&amp;AN7&amp;"'"&amp;"!F:F")))</f>
        <v>0</v>
      </c>
      <c r="AF7" s="139"/>
      <c r="AG7" s="1176">
        <f t="shared" ref="AG7:AG13" si="7">IF(AF7="",0,AE7-AF7)</f>
        <v>0</v>
      </c>
      <c r="AH7" s="139"/>
      <c r="AI7" s="185"/>
      <c r="AJ7" s="186"/>
      <c r="AK7" s="187"/>
      <c r="AL7" s="188"/>
      <c r="AM7" s="2214"/>
      <c r="AN7" s="2216"/>
      <c r="AO7" s="3026"/>
      <c r="AP7" s="1167">
        <f t="shared" ref="AP7:AP13" si="8">ROUND(1-1/(1+H7)^F7,3)</f>
        <v>0.88900000000000001</v>
      </c>
      <c r="AQ7" s="3026"/>
      <c r="AR7" s="3026"/>
      <c r="AS7" s="3026"/>
      <c r="AT7" s="3026"/>
      <c r="AU7" s="3026"/>
      <c r="AV7" s="3026"/>
      <c r="AW7" s="3026"/>
      <c r="AX7" s="3026"/>
      <c r="AY7" s="3026"/>
      <c r="AZ7" s="302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1" t="str">
        <f>'数据-汇总表'!C21</f>
        <v>地下车库</v>
      </c>
      <c r="B8" s="2186" t="str">
        <f t="shared" si="1"/>
        <v>经营性</v>
      </c>
      <c r="C8" s="171" t="s">
        <v>3239</v>
      </c>
      <c r="D8" s="2157">
        <f>SUMIF(项目基本情况!D$15:I$15,C8,项目基本情况!D$18:I$18)</f>
        <v>50</v>
      </c>
      <c r="E8" s="2158">
        <f>IF(B8="","",SUMIF(项目基本情况!D$15:I$15,C8,项目基本情况!D$17:I$17))</f>
        <v>62885</v>
      </c>
      <c r="F8" s="172">
        <f>SUMIF(项目基本情况!D$15:I$15,C8,项目基本情况!D$19:I$19)</f>
        <v>49.96</v>
      </c>
      <c r="G8" s="173">
        <f t="shared" si="2"/>
        <v>1</v>
      </c>
      <c r="H8" s="2675">
        <v>4.4999999999999998E-2</v>
      </c>
      <c r="I8" s="2675">
        <v>0.05</v>
      </c>
      <c r="J8" s="174"/>
      <c r="K8" s="177">
        <f>SUMIF('数据-汇总表'!C$19:C$33,'数据-取费表'!A8,'数据-汇总表'!E$19:E$33)</f>
        <v>11890.43</v>
      </c>
      <c r="L8" s="2676">
        <f>L7</f>
        <v>3500</v>
      </c>
      <c r="M8" s="175">
        <f>ROUND(K8*L8/10000,0)</f>
        <v>4162</v>
      </c>
      <c r="N8" s="2677">
        <f>N7</f>
        <v>0</v>
      </c>
      <c r="O8" s="175">
        <f t="shared" si="3"/>
        <v>0</v>
      </c>
      <c r="P8" s="176">
        <f t="shared" si="4"/>
        <v>4162</v>
      </c>
      <c r="Q8" s="2678">
        <v>0.05</v>
      </c>
      <c r="R8" s="177">
        <f>SUMIF('数据-汇总表'!C$19:C$33,A8,'数据-汇总表'!R$19:R$33)</f>
        <v>4116.97</v>
      </c>
      <c r="S8" s="132">
        <f>IF('数据-汇总表'!$I$17="按面积比例",SUMIF('数据-汇总表'!C$19:C$33,A8,'数据-汇总表'!K$19:K$33),SUMIF('数据-汇总表'!C$19:C$33,A8,'数据-汇总表'!N$19:N$33))</f>
        <v>558.1</v>
      </c>
      <c r="T8" s="2083">
        <f t="shared" si="5"/>
        <v>195</v>
      </c>
      <c r="U8" s="178"/>
      <c r="V8" s="179"/>
      <c r="W8" s="179"/>
      <c r="X8" s="2170"/>
      <c r="Y8" s="180"/>
      <c r="Z8" s="181"/>
      <c r="AA8" s="174"/>
      <c r="AB8" s="174"/>
      <c r="AC8" s="2173"/>
      <c r="AD8" s="182"/>
      <c r="AE8" s="940">
        <f t="shared" ca="1" si="6"/>
        <v>0</v>
      </c>
      <c r="AF8" s="139"/>
      <c r="AG8" s="1176">
        <f t="shared" si="7"/>
        <v>0</v>
      </c>
      <c r="AH8" s="139">
        <f>指标!D26</f>
        <v>379</v>
      </c>
      <c r="AI8" s="185"/>
      <c r="AJ8" s="186"/>
      <c r="AK8" s="187"/>
      <c r="AL8" s="188"/>
      <c r="AM8" s="2214"/>
      <c r="AN8" s="2216"/>
      <c r="AO8" s="3026"/>
      <c r="AP8" s="1167">
        <f t="shared" si="8"/>
        <v>0.88900000000000001</v>
      </c>
      <c r="AQ8" s="3026"/>
      <c r="AR8" s="3026"/>
      <c r="AS8" s="3026"/>
      <c r="AT8" s="3026"/>
      <c r="AU8" s="3026"/>
      <c r="AV8" s="3026"/>
      <c r="AW8" s="3026"/>
      <c r="AX8" s="3026"/>
      <c r="AY8" s="3026"/>
      <c r="AZ8" s="302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3">
        <f t="shared" si="5"/>
        <v>0</v>
      </c>
      <c r="U9" s="178"/>
      <c r="V9" s="179"/>
      <c r="W9" s="179"/>
      <c r="X9" s="2170"/>
      <c r="Y9" s="180"/>
      <c r="Z9" s="181"/>
      <c r="AA9" s="174"/>
      <c r="AB9" s="174"/>
      <c r="AC9" s="2173"/>
      <c r="AD9" s="182"/>
      <c r="AE9" s="940">
        <f t="shared" ca="1" si="6"/>
        <v>0</v>
      </c>
      <c r="AF9" s="139"/>
      <c r="AG9" s="1176">
        <f t="shared" si="7"/>
        <v>0</v>
      </c>
      <c r="AH9" s="139"/>
      <c r="AI9" s="185"/>
      <c r="AJ9" s="186"/>
      <c r="AK9" s="187"/>
      <c r="AL9" s="188"/>
      <c r="AM9" s="2214"/>
      <c r="AN9" s="2216"/>
      <c r="AO9" s="3026"/>
      <c r="AP9" s="1167">
        <f t="shared" si="8"/>
        <v>0</v>
      </c>
      <c r="AQ9" s="3026"/>
      <c r="AR9" s="3026"/>
      <c r="AS9" s="3026"/>
      <c r="AT9" s="3026"/>
      <c r="AU9" s="3026"/>
      <c r="AV9" s="3026"/>
      <c r="AW9" s="3026"/>
      <c r="AX9" s="3026"/>
      <c r="AY9" s="3026"/>
      <c r="AZ9" s="302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3">
        <f t="shared" si="5"/>
        <v>0</v>
      </c>
      <c r="U10" s="178"/>
      <c r="V10" s="179"/>
      <c r="W10" s="179"/>
      <c r="X10" s="2170"/>
      <c r="Y10" s="180"/>
      <c r="Z10" s="181"/>
      <c r="AA10" s="174"/>
      <c r="AB10" s="174"/>
      <c r="AC10" s="2173"/>
      <c r="AD10" s="182"/>
      <c r="AE10" s="940">
        <f t="shared" ca="1" si="6"/>
        <v>0</v>
      </c>
      <c r="AF10" s="139"/>
      <c r="AG10" s="1176">
        <f t="shared" si="7"/>
        <v>0</v>
      </c>
      <c r="AH10" s="139"/>
      <c r="AI10" s="185"/>
      <c r="AJ10" s="186"/>
      <c r="AK10" s="187"/>
      <c r="AL10" s="188"/>
      <c r="AM10" s="2214"/>
      <c r="AN10" s="2216"/>
      <c r="AO10" s="3026"/>
      <c r="AP10" s="1167">
        <f t="shared" si="8"/>
        <v>0</v>
      </c>
      <c r="AQ10" s="3026"/>
      <c r="AR10" s="3026"/>
      <c r="AS10" s="3026"/>
      <c r="AT10" s="3026"/>
      <c r="AU10" s="3026"/>
      <c r="AV10" s="3026"/>
      <c r="AW10" s="3026"/>
      <c r="AX10" s="3026"/>
      <c r="AY10" s="3026"/>
      <c r="AZ10" s="302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3">
        <f t="shared" si="5"/>
        <v>0</v>
      </c>
      <c r="U11" s="183"/>
      <c r="V11" s="174"/>
      <c r="W11" s="174"/>
      <c r="X11" s="2173"/>
      <c r="Y11" s="180"/>
      <c r="Z11" s="193"/>
      <c r="AA11" s="174"/>
      <c r="AB11" s="174"/>
      <c r="AC11" s="2173"/>
      <c r="AD11" s="182"/>
      <c r="AE11" s="940">
        <f t="shared" ca="1" si="6"/>
        <v>0</v>
      </c>
      <c r="AF11" s="139"/>
      <c r="AG11" s="1176">
        <f t="shared" si="7"/>
        <v>0</v>
      </c>
      <c r="AH11" s="139"/>
      <c r="AI11" s="185"/>
      <c r="AJ11" s="186"/>
      <c r="AK11" s="194"/>
      <c r="AL11" s="195"/>
      <c r="AM11" s="1702"/>
      <c r="AN11" s="2216"/>
      <c r="AO11" s="3026"/>
      <c r="AP11" s="1167">
        <f t="shared" si="8"/>
        <v>0</v>
      </c>
      <c r="AQ11" s="3026"/>
      <c r="AR11" s="3026"/>
      <c r="AS11" s="3026"/>
      <c r="AT11" s="3026"/>
      <c r="AU11" s="3026"/>
      <c r="AV11" s="3026"/>
      <c r="AW11" s="3026"/>
      <c r="AX11" s="3026"/>
      <c r="AY11" s="3026"/>
      <c r="AZ11" s="302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3">
        <f t="shared" si="5"/>
        <v>0</v>
      </c>
      <c r="U12" s="183"/>
      <c r="V12" s="174"/>
      <c r="W12" s="174"/>
      <c r="X12" s="2173"/>
      <c r="Y12" s="180"/>
      <c r="Z12" s="193"/>
      <c r="AA12" s="174"/>
      <c r="AB12" s="174"/>
      <c r="AC12" s="2173"/>
      <c r="AD12" s="182"/>
      <c r="AE12" s="940">
        <f t="shared" ca="1" si="6"/>
        <v>0</v>
      </c>
      <c r="AF12" s="139"/>
      <c r="AG12" s="1176">
        <f t="shared" si="7"/>
        <v>0</v>
      </c>
      <c r="AH12" s="139"/>
      <c r="AI12" s="185"/>
      <c r="AJ12" s="186"/>
      <c r="AK12" s="194"/>
      <c r="AL12" s="195"/>
      <c r="AM12" s="1702"/>
      <c r="AN12" s="2216"/>
      <c r="AO12" s="3026"/>
      <c r="AP12" s="1167">
        <f t="shared" si="8"/>
        <v>0</v>
      </c>
      <c r="AQ12" s="3026"/>
      <c r="AR12" s="3026"/>
      <c r="AS12" s="3026"/>
      <c r="AT12" s="3026"/>
      <c r="AU12" s="3026"/>
      <c r="AV12" s="3026"/>
      <c r="AW12" s="3026"/>
      <c r="AX12" s="3026"/>
      <c r="AY12" s="3026"/>
      <c r="AZ12" s="302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3">
        <f t="shared" si="5"/>
        <v>0</v>
      </c>
      <c r="U13" s="178"/>
      <c r="V13" s="179"/>
      <c r="W13" s="179"/>
      <c r="X13" s="2170"/>
      <c r="Y13" s="180"/>
      <c r="Z13" s="181"/>
      <c r="AA13" s="174"/>
      <c r="AB13" s="174"/>
      <c r="AC13" s="2173"/>
      <c r="AD13" s="182"/>
      <c r="AE13" s="940">
        <f t="shared" ca="1" si="6"/>
        <v>0</v>
      </c>
      <c r="AF13" s="139"/>
      <c r="AG13" s="1176">
        <f t="shared" si="7"/>
        <v>0</v>
      </c>
      <c r="AH13" s="139"/>
      <c r="AI13" s="185"/>
      <c r="AJ13" s="186"/>
      <c r="AK13" s="187"/>
      <c r="AL13" s="188"/>
      <c r="AM13" s="2214"/>
      <c r="AN13" s="2216"/>
      <c r="AO13" s="3026"/>
      <c r="AP13" s="1167">
        <f t="shared" si="8"/>
        <v>0</v>
      </c>
      <c r="AQ13" s="3026"/>
      <c r="AR13" s="3026"/>
      <c r="AS13" s="3026"/>
      <c r="AT13" s="3026"/>
      <c r="AU13" s="3026"/>
      <c r="AV13" s="3026"/>
      <c r="AW13" s="3026"/>
      <c r="AX13" s="3026"/>
      <c r="AY13" s="3026"/>
      <c r="AZ13" s="302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2" t="s">
        <v>2286</v>
      </c>
      <c r="B14" s="2155" t="s">
        <v>1659</v>
      </c>
      <c r="C14" s="2156" t="s">
        <v>2286</v>
      </c>
      <c r="D14" s="2157"/>
      <c r="E14" s="2158"/>
      <c r="F14" s="172"/>
      <c r="G14" s="173"/>
      <c r="H14" s="2159"/>
      <c r="I14" s="2159"/>
      <c r="J14" s="2159"/>
      <c r="K14" s="177">
        <f>SUMIF('数据-汇总表'!C$19:C$33,'数据-取费表'!A14,'数据-汇总表'!E$19:E$33)</f>
        <v>2763.84</v>
      </c>
      <c r="L14" s="191">
        <f>L8</f>
        <v>3500</v>
      </c>
      <c r="M14" s="175">
        <f t="shared" si="0"/>
        <v>967</v>
      </c>
      <c r="N14" s="192">
        <f>N8</f>
        <v>0</v>
      </c>
      <c r="O14" s="175">
        <f t="shared" si="3"/>
        <v>0</v>
      </c>
      <c r="P14" s="176">
        <f t="shared" si="4"/>
        <v>967</v>
      </c>
      <c r="Q14" s="2167"/>
      <c r="R14" s="177"/>
      <c r="S14" s="132"/>
      <c r="T14" s="2166"/>
      <c r="U14" s="942"/>
      <c r="V14" s="2169"/>
      <c r="W14" s="2169"/>
      <c r="X14" s="2170"/>
      <c r="Y14" s="2171"/>
      <c r="Z14" s="135"/>
      <c r="AA14" s="2172"/>
      <c r="AB14" s="2172"/>
      <c r="AC14" s="2173"/>
      <c r="AD14" s="2170"/>
      <c r="AE14" s="940"/>
      <c r="AF14" s="2145"/>
      <c r="AG14" s="1176"/>
      <c r="AH14" s="2145"/>
      <c r="AI14" s="1478"/>
      <c r="AJ14" s="1478"/>
      <c r="AK14" s="2174"/>
      <c r="AL14" s="2175"/>
      <c r="AM14" s="2176"/>
      <c r="AN14" s="3026"/>
      <c r="AO14" s="3026"/>
      <c r="AP14" s="3026"/>
      <c r="AQ14" s="3026"/>
      <c r="AR14" s="3026"/>
      <c r="AS14" s="3026"/>
      <c r="AT14" s="3026"/>
      <c r="AU14" s="3026"/>
      <c r="AV14" s="3026"/>
      <c r="AW14" s="3026"/>
      <c r="AX14" s="3026"/>
      <c r="AY14" s="3026"/>
      <c r="AZ14" s="302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1" t="s">
        <v>2288</v>
      </c>
      <c r="B15" s="2155" t="s">
        <v>1659</v>
      </c>
      <c r="C15" s="2156" t="s">
        <v>2287</v>
      </c>
      <c r="D15" s="2157"/>
      <c r="E15" s="2158"/>
      <c r="F15" s="172"/>
      <c r="G15" s="173"/>
      <c r="H15" s="2159"/>
      <c r="I15" s="2159"/>
      <c r="J15" s="2159"/>
      <c r="K15" s="177">
        <f>SUMIF('数据-汇总表'!C$19:C$33,'数据-取费表'!A15,'数据-汇总表'!E$19:E$33)</f>
        <v>1237.0999999999999</v>
      </c>
      <c r="L15" s="2165"/>
      <c r="M15" s="175"/>
      <c r="N15" s="2168"/>
      <c r="O15" s="175"/>
      <c r="P15" s="176"/>
      <c r="Q15" s="2167"/>
      <c r="R15" s="177"/>
      <c r="S15" s="132"/>
      <c r="T15" s="2166"/>
      <c r="U15" s="942"/>
      <c r="V15" s="2169"/>
      <c r="W15" s="2169"/>
      <c r="X15" s="2170"/>
      <c r="Y15" s="2171"/>
      <c r="Z15" s="135"/>
      <c r="AA15" s="2172"/>
      <c r="AB15" s="2172"/>
      <c r="AC15" s="2173"/>
      <c r="AD15" s="2170"/>
      <c r="AE15" s="940"/>
      <c r="AF15" s="2145"/>
      <c r="AG15" s="1176"/>
      <c r="AH15" s="2145"/>
      <c r="AI15" s="1478"/>
      <c r="AJ15" s="1478"/>
      <c r="AK15" s="2174"/>
      <c r="AL15" s="2175"/>
      <c r="AM15" s="2176"/>
      <c r="AN15" s="3026"/>
      <c r="AO15" s="3026"/>
      <c r="AP15" s="3026"/>
      <c r="AQ15" s="3026"/>
      <c r="AR15" s="3026"/>
      <c r="AS15" s="3026"/>
      <c r="AT15" s="3026"/>
      <c r="AU15" s="3026"/>
      <c r="AV15" s="3026"/>
      <c r="AW15" s="3026"/>
      <c r="AX15" s="3026"/>
      <c r="AY15" s="3026"/>
      <c r="AZ15" s="302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62884.970000000008</v>
      </c>
      <c r="L16" s="204">
        <f>ROUND(M16*10000/SUM(K6:K14),0)</f>
        <v>4214</v>
      </c>
      <c r="M16" s="204">
        <f>SUM(M6:M14)</f>
        <v>25976</v>
      </c>
      <c r="N16" s="205">
        <f>ROUND(SUMPRODUCT(M6:M14,N6:N14)/M16,3)</f>
        <v>0</v>
      </c>
      <c r="O16" s="204">
        <f>SUM(O6:O14)</f>
        <v>0</v>
      </c>
      <c r="P16" s="204">
        <f>SUM(P6:P14)</f>
        <v>25976</v>
      </c>
      <c r="Q16" s="206">
        <f>ROUND(SUMPRODUCT(Q6:Q13,K6:K13)/SUMPRODUCT((Q6:Q13&gt;0)*(K6:K13)),2)</f>
        <v>0.16</v>
      </c>
      <c r="R16" s="2160">
        <f>SUM(R6:R13)</f>
        <v>20797.28</v>
      </c>
      <c r="S16" s="207">
        <f>SUM(S6:S13)</f>
        <v>2763.83</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0.92400000000000004</v>
      </c>
      <c r="AQ16" s="3026"/>
      <c r="AR16" s="3026"/>
      <c r="AS16" s="3026"/>
      <c r="AT16" s="3026"/>
      <c r="AU16" s="3026"/>
      <c r="AV16" s="3026"/>
      <c r="AW16" s="3026"/>
      <c r="AX16" s="3026"/>
      <c r="AY16" s="3026"/>
      <c r="AZ16" s="302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2896</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2</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7.75">
      <c r="A27" s="224" t="s">
        <v>2309</v>
      </c>
      <c r="B27" s="225">
        <v>160</v>
      </c>
      <c r="C27" s="3039" t="s">
        <v>2897</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3" t="s">
        <v>273</v>
      </c>
      <c r="B30" s="946">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6" t="s">
        <v>274</v>
      </c>
      <c r="B31" s="228">
        <f>B30-B32</f>
        <v>100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5" t="s">
        <v>275</v>
      </c>
      <c r="B32" s="1301">
        <v>100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41" t="s">
        <v>2885</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0.05</v>
      </c>
      <c r="C34" s="3041" t="s">
        <v>2886</v>
      </c>
      <c r="D34" s="3042" t="s">
        <v>2893</v>
      </c>
      <c r="E34" s="3023"/>
      <c r="F34" s="3026"/>
      <c r="G34" s="3026" t="s">
        <v>3331</v>
      </c>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f>B30</f>
        <v>200</v>
      </c>
      <c r="C35" s="3041" t="s">
        <v>2887</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2888</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2889</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2889</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27.75" thickBot="1">
      <c r="A40" s="3211" t="s">
        <v>3260</v>
      </c>
      <c r="B40" s="2303">
        <f ca="1">IF(A40="利息：取LPR",存贷款利率!E2,存贷款利率!E2+C40)</f>
        <v>4.2000000000000003E-2</v>
      </c>
      <c r="C40" s="3212">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5.5000000000000007E-2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7"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7" t="s">
        <v>284</v>
      </c>
      <c r="B43" s="239">
        <f>B42*(B44+B45+B46)+B47</f>
        <v>5.000000000000001E-3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0.05</v>
      </c>
      <c r="C44" s="3041" t="s">
        <v>2894</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2890</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2891</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v>0</v>
      </c>
      <c r="C47" s="3039" t="s">
        <v>2898</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0.03</v>
      </c>
      <c r="C48" s="3044" t="s">
        <v>2890</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2892</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3</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1387</v>
      </c>
      <c r="C53" s="3034" t="s">
        <v>2787</v>
      </c>
      <c r="D53" s="3045" t="s">
        <v>2895</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2788</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2789</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2790</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2791</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2792</v>
      </c>
      <c r="B58" s="184">
        <v>3</v>
      </c>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2793</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2794</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2795</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2796</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2797</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9" sqref="S49"/>
      <selection pane="topRight" activeCell="S49" sqref="S49"/>
      <selection pane="bottomLeft" activeCell="S49" sqref="S49"/>
      <selection pane="bottomRight" activeCell="C4" sqref="C4"/>
    </sheetView>
  </sheetViews>
  <sheetFormatPr defaultColWidth="9" defaultRowHeight="13.5"/>
  <cols>
    <col min="1" max="1" width="9.5" style="3057"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7"/>
  </cols>
  <sheetData>
    <row r="1" spans="1:18" s="3051" customFormat="1" ht="19.5" thickBot="1">
      <c r="A1" s="3532" t="s">
        <v>1643</v>
      </c>
      <c r="B1" s="3533"/>
      <c r="C1" s="3533"/>
      <c r="D1" s="3533"/>
      <c r="E1" s="3533"/>
      <c r="F1" s="3533"/>
      <c r="G1" s="3533"/>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28.5">
      <c r="A3" s="3058" t="s">
        <v>1646</v>
      </c>
      <c r="B3" s="3059" t="s">
        <v>1633</v>
      </c>
      <c r="C3" s="3431" t="s">
        <v>3277</v>
      </c>
      <c r="D3" s="3060"/>
      <c r="E3" s="3061" t="s">
        <v>1646</v>
      </c>
      <c r="F3" s="3062" t="s">
        <v>1634</v>
      </c>
      <c r="G3" s="3063" t="s">
        <v>2802</v>
      </c>
      <c r="H3" s="3057"/>
      <c r="I3" s="3057"/>
      <c r="J3" s="3057"/>
      <c r="K3" s="3057"/>
      <c r="L3" s="3057"/>
      <c r="M3" s="3057"/>
      <c r="N3" s="3057"/>
      <c r="O3" s="3057"/>
      <c r="P3" s="3057"/>
      <c r="Q3" s="3057"/>
      <c r="R3" s="3057"/>
    </row>
    <row r="4" spans="1:18" ht="40.5">
      <c r="A4" s="3061"/>
      <c r="B4" s="3064" t="s">
        <v>1647</v>
      </c>
      <c r="C4" s="3432" t="s">
        <v>3263</v>
      </c>
      <c r="D4" s="3060"/>
      <c r="E4" s="3065"/>
      <c r="F4" s="3066" t="s">
        <v>1648</v>
      </c>
      <c r="G4" s="3067" t="s">
        <v>2799</v>
      </c>
      <c r="H4" s="3057"/>
      <c r="I4" s="3057"/>
      <c r="J4" s="3057"/>
      <c r="K4" s="3057"/>
      <c r="L4" s="3057"/>
      <c r="M4" s="3057"/>
      <c r="N4" s="3057"/>
      <c r="O4" s="3057"/>
      <c r="P4" s="3057"/>
      <c r="Q4" s="3057"/>
      <c r="R4" s="3057"/>
    </row>
    <row r="5" spans="1:18" ht="27">
      <c r="A5" s="3061"/>
      <c r="B5" s="3064" t="s">
        <v>1649</v>
      </c>
      <c r="C5" s="3432" t="s">
        <v>3263</v>
      </c>
      <c r="D5" s="3060"/>
      <c r="E5" s="3065"/>
      <c r="F5" s="3064" t="s">
        <v>2446</v>
      </c>
      <c r="G5" s="3067" t="s">
        <v>2800</v>
      </c>
      <c r="H5" s="3057"/>
      <c r="I5" s="3057"/>
      <c r="J5" s="3057"/>
      <c r="K5" s="3057"/>
      <c r="L5" s="3057"/>
      <c r="M5" s="3057"/>
      <c r="N5" s="3057"/>
      <c r="O5" s="3057"/>
      <c r="P5" s="3057"/>
      <c r="Q5" s="3057"/>
      <c r="R5" s="3057"/>
    </row>
    <row r="6" spans="1:18">
      <c r="A6" s="3061"/>
      <c r="B6" s="3064" t="s">
        <v>1635</v>
      </c>
      <c r="C6" s="3433" t="s">
        <v>3263</v>
      </c>
      <c r="D6" s="3060"/>
      <c r="E6" s="3065"/>
      <c r="F6" s="3064" t="s">
        <v>2447</v>
      </c>
      <c r="G6" s="3067" t="s">
        <v>2798</v>
      </c>
      <c r="H6" s="3057"/>
      <c r="I6" s="3057"/>
      <c r="J6" s="3057"/>
      <c r="K6" s="3057"/>
      <c r="L6" s="3057"/>
      <c r="M6" s="3057"/>
      <c r="N6" s="3057"/>
      <c r="O6" s="3057"/>
      <c r="P6" s="3057"/>
      <c r="Q6" s="3057"/>
      <c r="R6" s="3057"/>
    </row>
    <row r="7" spans="1:18" ht="27.75" thickBot="1">
      <c r="A7" s="3061"/>
      <c r="B7" s="3064" t="s">
        <v>2446</v>
      </c>
      <c r="C7" s="3433" t="s">
        <v>3263</v>
      </c>
      <c r="D7" s="3068"/>
      <c r="E7" s="3069"/>
      <c r="F7" s="3070" t="s">
        <v>1650</v>
      </c>
      <c r="G7" s="3071" t="s">
        <v>2801</v>
      </c>
      <c r="H7" s="3057"/>
      <c r="I7" s="3057"/>
      <c r="J7" s="3057"/>
      <c r="K7" s="3057"/>
      <c r="L7" s="3057"/>
      <c r="M7" s="3057"/>
      <c r="N7" s="3057"/>
      <c r="O7" s="3057"/>
      <c r="P7" s="3057"/>
      <c r="Q7" s="3057"/>
      <c r="R7" s="3057"/>
    </row>
    <row r="8" spans="1:18">
      <c r="A8" s="3061"/>
      <c r="B8" s="3064" t="s">
        <v>2447</v>
      </c>
      <c r="C8" s="3433" t="s">
        <v>3265</v>
      </c>
      <c r="D8" s="3068"/>
      <c r="E8" s="3068"/>
      <c r="F8" s="3072"/>
      <c r="G8" s="3072"/>
      <c r="H8" s="3057"/>
      <c r="I8" s="3057"/>
      <c r="J8" s="3057"/>
      <c r="K8" s="3057"/>
      <c r="L8" s="3057"/>
      <c r="M8" s="3057"/>
      <c r="N8" s="3057"/>
      <c r="O8" s="3057"/>
      <c r="P8" s="3057"/>
      <c r="Q8" s="3057"/>
      <c r="R8" s="3057"/>
    </row>
    <row r="9" spans="1:18">
      <c r="A9" s="3061"/>
      <c r="B9" s="3064" t="s">
        <v>1636</v>
      </c>
      <c r="C9" s="3432" t="s">
        <v>3263</v>
      </c>
      <c r="D9" s="3060"/>
      <c r="E9" s="3068"/>
      <c r="F9" s="3072"/>
      <c r="G9" s="3072"/>
      <c r="H9" s="3057"/>
      <c r="I9" s="3057"/>
      <c r="J9" s="3057"/>
      <c r="K9" s="3057"/>
      <c r="L9" s="3057"/>
      <c r="M9" s="3057"/>
      <c r="N9" s="3057"/>
      <c r="O9" s="3057"/>
      <c r="P9" s="3057"/>
      <c r="Q9" s="3057"/>
      <c r="R9" s="3057"/>
    </row>
    <row r="10" spans="1:18" s="3079" customFormat="1" ht="15" thickBot="1">
      <c r="A10" s="3073"/>
      <c r="B10" s="3074" t="s">
        <v>1651</v>
      </c>
      <c r="C10" s="3075"/>
      <c r="D10" s="3060"/>
      <c r="E10" s="3060"/>
      <c r="F10" s="3072"/>
      <c r="G10" s="3072"/>
      <c r="H10" s="3076"/>
      <c r="I10" s="3077"/>
      <c r="J10" s="3078"/>
      <c r="K10" s="3076"/>
      <c r="L10" s="3077"/>
      <c r="M10" s="3078"/>
      <c r="N10" s="3076"/>
      <c r="O10" s="3077"/>
      <c r="P10" s="3078"/>
      <c r="Q10" s="3076"/>
      <c r="R10" s="3077"/>
    </row>
    <row r="11" spans="1:18" s="3079" customFormat="1">
      <c r="A11" s="3080"/>
      <c r="B11" s="3068"/>
      <c r="C11" s="3060"/>
      <c r="D11" s="3060"/>
      <c r="E11" s="3060"/>
      <c r="F11" s="3068"/>
      <c r="G11" s="3081"/>
      <c r="H11" s="3076"/>
      <c r="I11" s="3077"/>
      <c r="J11" s="3078"/>
      <c r="K11" s="3076"/>
      <c r="L11" s="3077"/>
      <c r="M11" s="3078"/>
      <c r="N11" s="3076"/>
      <c r="O11" s="3077"/>
      <c r="P11" s="3078"/>
      <c r="Q11" s="3076"/>
      <c r="R11" s="3077"/>
    </row>
    <row r="12" spans="1:18" s="3051" customFormat="1" ht="18.75">
      <c r="A12" s="3080"/>
      <c r="B12" s="3068"/>
      <c r="C12" s="3060"/>
      <c r="D12" s="3082"/>
      <c r="E12" s="3060"/>
      <c r="F12" s="3068"/>
      <c r="G12" s="3081"/>
      <c r="H12" s="3083"/>
      <c r="I12" s="3084"/>
      <c r="J12" s="3083"/>
      <c r="K12" s="3083"/>
      <c r="L12" s="3085"/>
      <c r="M12" s="3083"/>
      <c r="N12" s="3086"/>
      <c r="O12" s="3087"/>
      <c r="P12" s="3088"/>
      <c r="Q12" s="3086"/>
      <c r="R12" s="3050"/>
    </row>
    <row r="13" spans="1:18" ht="19.5" thickBot="1">
      <c r="A13" s="3089" t="s">
        <v>1652</v>
      </c>
      <c r="B13" s="3082"/>
      <c r="C13" s="3082"/>
      <c r="D13" s="3055"/>
      <c r="E13" s="3082"/>
      <c r="F13" s="3082"/>
      <c r="G13" s="3082"/>
    </row>
    <row r="14" spans="1:18" ht="14.25" thickBot="1">
      <c r="A14" s="3094"/>
      <c r="B14" s="3094"/>
      <c r="C14" s="3095" t="s">
        <v>1644</v>
      </c>
      <c r="D14" s="3060"/>
      <c r="E14" s="3096"/>
      <c r="F14" s="3096"/>
      <c r="G14" s="3054" t="s">
        <v>1645</v>
      </c>
    </row>
    <row r="15" spans="1:18" ht="27">
      <c r="A15" s="3097" t="s">
        <v>1637</v>
      </c>
      <c r="B15" s="3098" t="s">
        <v>1633</v>
      </c>
      <c r="C15" s="3099" t="str">
        <f>C3</f>
        <v>一般</v>
      </c>
      <c r="D15" s="3060"/>
      <c r="E15" s="3100" t="s">
        <v>1638</v>
      </c>
      <c r="F15" s="3098" t="s">
        <v>1653</v>
      </c>
      <c r="G15" s="3101" t="str">
        <f>G3</f>
        <v>估价对象位于XX开发区，园区建设成熟度XX，产业集聚程度XX</v>
      </c>
    </row>
    <row r="16" spans="1:18" ht="40.5">
      <c r="A16" s="3102"/>
      <c r="B16" s="3103" t="s">
        <v>1647</v>
      </c>
      <c r="C16" s="3104" t="str">
        <f>C4</f>
        <v>一般</v>
      </c>
      <c r="D16" s="3060"/>
      <c r="E16" s="3105"/>
      <c r="F16" s="3106" t="s">
        <v>1648</v>
      </c>
      <c r="G16" s="3107" t="str">
        <f>G4</f>
        <v>估价对象周边道路状况、公共交通通达情况、停车便捷程度，综合评价交通便捷度较好</v>
      </c>
    </row>
    <row r="17" spans="1:7" ht="14.25">
      <c r="A17" s="3102"/>
      <c r="B17" s="3103" t="s">
        <v>1649</v>
      </c>
      <c r="C17" s="3104" t="str">
        <f>C5</f>
        <v>一般</v>
      </c>
      <c r="D17" s="3068"/>
      <c r="E17" s="3105"/>
      <c r="F17" s="3106" t="s">
        <v>1654</v>
      </c>
      <c r="G17" s="3108"/>
    </row>
    <row r="18" spans="1:7" ht="27">
      <c r="A18" s="3102"/>
      <c r="B18" s="3106" t="s">
        <v>1635</v>
      </c>
      <c r="C18" s="3107" t="str">
        <f>C6</f>
        <v>一般</v>
      </c>
      <c r="D18" s="3068"/>
      <c r="E18" s="3105"/>
      <c r="F18" s="3106" t="s">
        <v>1650</v>
      </c>
      <c r="G18" s="3107" t="str">
        <f>G7</f>
        <v>该园区内是否有污染型企业，绿化情况，卫生条件，整体环境状况判断</v>
      </c>
    </row>
    <row r="19" spans="1:7" ht="27">
      <c r="A19" s="3102"/>
      <c r="B19" s="3106" t="s">
        <v>1639</v>
      </c>
      <c r="C19" s="3108"/>
      <c r="D19" s="3060"/>
      <c r="E19" s="3105"/>
      <c r="F19" s="3064" t="s">
        <v>2446</v>
      </c>
      <c r="G19" s="3107" t="str">
        <f>G5</f>
        <v>估价对象所在区域公共配套设施齐备情况</v>
      </c>
    </row>
    <row r="20" spans="1:7">
      <c r="A20" s="3102"/>
      <c r="B20" s="3106" t="s">
        <v>1640</v>
      </c>
      <c r="C20" s="3104" t="str">
        <f>C9</f>
        <v>一般</v>
      </c>
      <c r="D20" s="3068"/>
      <c r="E20" s="3105"/>
      <c r="F20" s="3064" t="s">
        <v>2447</v>
      </c>
      <c r="G20" s="3107" t="str">
        <f>G6</f>
        <v>估价对象所在区域基础设施水平</v>
      </c>
    </row>
    <row r="21" spans="1:7" ht="14.25">
      <c r="A21" s="3102"/>
      <c r="B21" s="3064" t="s">
        <v>2446</v>
      </c>
      <c r="C21" s="3107" t="str">
        <f>C7</f>
        <v>一般</v>
      </c>
      <c r="D21" s="3060"/>
      <c r="E21" s="3105"/>
      <c r="F21" s="3106" t="s">
        <v>1641</v>
      </c>
      <c r="G21" s="3109"/>
    </row>
    <row r="22" spans="1:7" ht="14.25">
      <c r="A22" s="3102"/>
      <c r="B22" s="3064" t="s">
        <v>2447</v>
      </c>
      <c r="C22" s="3107" t="str">
        <f>C8</f>
        <v>七通</v>
      </c>
      <c r="D22" s="3060"/>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S49" sqref="S49"/>
    </sheetView>
  </sheetViews>
  <sheetFormatPr defaultColWidth="14.625" defaultRowHeight="13.5"/>
  <cols>
    <col min="1" max="1" width="24.375" style="3118" customWidth="1"/>
    <col min="2" max="16384" width="14.625" style="3118"/>
  </cols>
  <sheetData>
    <row r="1" spans="1:10" ht="16.5">
      <c r="A1" s="3117" t="s">
        <v>2739</v>
      </c>
      <c r="B1" s="3117">
        <f>SUM(B14:B23)</f>
        <v>62884.97</v>
      </c>
      <c r="C1" s="3126"/>
      <c r="D1" s="3126"/>
      <c r="E1" s="3126"/>
      <c r="F1" s="3126"/>
      <c r="G1" s="3127"/>
      <c r="H1" s="3127"/>
      <c r="I1" s="3127"/>
      <c r="J1" s="3127"/>
    </row>
    <row r="2" spans="1:10" ht="16.5">
      <c r="A2" s="3117" t="s">
        <v>2740</v>
      </c>
      <c r="B2" s="3117">
        <f>SUM(C14:C23)</f>
        <v>20797.28</v>
      </c>
      <c r="C2" s="3126"/>
      <c r="D2" s="3126"/>
      <c r="E2" s="3126"/>
      <c r="F2" s="3126"/>
      <c r="G2" s="3127"/>
      <c r="H2" s="3127"/>
      <c r="I2" s="3127"/>
      <c r="J2" s="3127"/>
    </row>
    <row r="3" spans="1:10" ht="16.5">
      <c r="A3" s="3117" t="s">
        <v>2741</v>
      </c>
      <c r="B3" s="3119">
        <f>项目基本情况!D3</f>
        <v>44649</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146131</v>
      </c>
      <c r="C5" s="3117">
        <f ca="1">ROUND(B5*10000/$B$1,0)</f>
        <v>23238</v>
      </c>
      <c r="D5" s="3117">
        <f ca="1">ROUND(B5*10000/$B$2,0)</f>
        <v>70264</v>
      </c>
      <c r="E5" s="3126"/>
      <c r="F5" s="3126"/>
      <c r="G5" s="3127"/>
      <c r="H5" s="3127"/>
      <c r="I5" s="3127"/>
      <c r="J5" s="3127"/>
    </row>
    <row r="6" spans="1:10" ht="16.5">
      <c r="A6" s="3117" t="s">
        <v>2747</v>
      </c>
      <c r="B6" s="3117">
        <f ca="1">SUM(G14:G23)</f>
        <v>144081</v>
      </c>
      <c r="C6" s="3117">
        <f t="shared" ref="C6:C8" ca="1" si="0">ROUND(B6*10000/$B$1,0)</f>
        <v>22912</v>
      </c>
      <c r="D6" s="3117">
        <f t="shared" ref="D6:D8" ca="1" si="1">ROUND(B6*10000/$B$2,0)</f>
        <v>69279</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62884.97</v>
      </c>
      <c r="C14" s="3123">
        <f>结果表!K38</f>
        <v>20797.28</v>
      </c>
      <c r="D14" s="3123">
        <f ca="1">结果表!C42</f>
        <v>146131</v>
      </c>
      <c r="E14" s="3123">
        <f ca="1">ROUND(D14*10000/B14,0)</f>
        <v>23238</v>
      </c>
      <c r="F14" s="3123">
        <f ca="1">ROUND(D14*10000/C14,0)</f>
        <v>70264</v>
      </c>
      <c r="G14" s="3123">
        <f ca="1">结果表!C44</f>
        <v>144081</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1"/>
      <c r="H15" s="2691"/>
      <c r="I15" s="3124"/>
      <c r="J15" s="3127"/>
    </row>
    <row r="16" spans="1:10" ht="16.5">
      <c r="A16" s="3122" t="s">
        <v>2757</v>
      </c>
      <c r="B16" s="3124"/>
      <c r="C16" s="3124"/>
      <c r="D16" s="3124"/>
      <c r="E16" s="3123" t="e">
        <f t="shared" si="2"/>
        <v>#DIV/0!</v>
      </c>
      <c r="F16" s="3123" t="e">
        <f t="shared" si="3"/>
        <v>#DIV/0!</v>
      </c>
      <c r="G16" s="2691"/>
      <c r="H16" s="2691"/>
      <c r="I16" s="3124"/>
      <c r="J16" s="3127"/>
    </row>
    <row r="17" spans="1:10" ht="16.5">
      <c r="A17" s="3122" t="s">
        <v>2758</v>
      </c>
      <c r="B17" s="3124"/>
      <c r="C17" s="3124"/>
      <c r="D17" s="3124"/>
      <c r="E17" s="3123" t="e">
        <f t="shared" si="2"/>
        <v>#DIV/0!</v>
      </c>
      <c r="F17" s="3123" t="e">
        <f t="shared" si="3"/>
        <v>#DIV/0!</v>
      </c>
      <c r="G17" s="2691"/>
      <c r="H17" s="2691"/>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L18" sqref="L18"/>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4"/>
  </cols>
  <sheetData>
    <row r="1" spans="1:22" ht="21.75" customHeight="1" thickBot="1">
      <c r="A1" s="1661" t="s">
        <v>2029</v>
      </c>
      <c r="B1" s="1662"/>
      <c r="C1" s="1690" t="s">
        <v>2030</v>
      </c>
      <c r="D1" s="1691"/>
      <c r="E1" s="1690" t="s">
        <v>2031</v>
      </c>
      <c r="F1" s="1692"/>
      <c r="G1" s="309"/>
      <c r="H1" s="309"/>
      <c r="I1" s="309"/>
      <c r="J1" s="1881"/>
      <c r="K1" s="1881"/>
      <c r="L1" s="1881"/>
      <c r="M1" s="1881"/>
      <c r="N1" s="1881"/>
      <c r="O1" s="1881"/>
      <c r="P1" s="1881"/>
      <c r="Q1" s="1881"/>
      <c r="R1" s="1881"/>
      <c r="S1" s="1881"/>
      <c r="T1" s="1881"/>
      <c r="U1" s="1881"/>
      <c r="V1" s="1881"/>
    </row>
    <row r="2" spans="1:22" ht="21.75" customHeight="1" thickBot="1">
      <c r="A2" s="3578" t="str">
        <f>项目基本情况!K2</f>
        <v>北京市北京经济技术开发区亦庄新城0510街区YZ00-0510-0017地块R2二类居住用地出让国有建设用地使用权</v>
      </c>
      <c r="B2" s="3579"/>
      <c r="C2" s="3580"/>
      <c r="D2" s="3580"/>
      <c r="E2" s="3580"/>
      <c r="F2" s="3580"/>
      <c r="G2" s="3579"/>
      <c r="H2" s="3579"/>
      <c r="I2" s="3581"/>
      <c r="J2" s="1882"/>
      <c r="K2" s="1881"/>
      <c r="L2" s="1881"/>
      <c r="M2" s="1881"/>
      <c r="N2" s="1881"/>
      <c r="O2" s="1881"/>
      <c r="P2" s="1881"/>
      <c r="Q2" s="1881"/>
      <c r="R2" s="1881"/>
      <c r="S2" s="1881"/>
      <c r="T2" s="1881"/>
      <c r="U2" s="1881"/>
      <c r="V2" s="1881"/>
    </row>
    <row r="3" spans="1:22" ht="14.25">
      <c r="A3" s="3589" t="s">
        <v>298</v>
      </c>
      <c r="B3" s="3590"/>
      <c r="C3" s="3590"/>
      <c r="D3" s="3590"/>
      <c r="E3" s="3590"/>
      <c r="F3" s="3590"/>
      <c r="G3" s="3590"/>
      <c r="H3" s="3590"/>
      <c r="I3" s="3590"/>
      <c r="J3" s="1882"/>
      <c r="K3" s="1881"/>
      <c r="L3" s="1881"/>
      <c r="M3" s="1881"/>
      <c r="N3" s="1881"/>
      <c r="O3" s="1881"/>
      <c r="P3" s="1881"/>
      <c r="Q3" s="1881"/>
      <c r="R3" s="1881"/>
      <c r="S3" s="1881"/>
      <c r="T3" s="1881"/>
      <c r="U3" s="1881"/>
      <c r="V3" s="1881"/>
    </row>
    <row r="4" spans="1:22" ht="14.25">
      <c r="A4" s="256" t="s">
        <v>299</v>
      </c>
      <c r="B4" s="257" t="s">
        <v>300</v>
      </c>
      <c r="C4" s="258" t="s">
        <v>3279</v>
      </c>
      <c r="D4" s="258" t="s">
        <v>3280</v>
      </c>
      <c r="E4" s="3553" t="s">
        <v>301</v>
      </c>
      <c r="F4" s="3595"/>
      <c r="G4" s="3595"/>
      <c r="H4" s="3595"/>
      <c r="I4" s="3554"/>
      <c r="J4" s="1882"/>
      <c r="K4" s="1881"/>
      <c r="L4" s="3128"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3582" t="s">
        <v>302</v>
      </c>
      <c r="B5" s="3583">
        <v>25</v>
      </c>
      <c r="C5" s="3591"/>
      <c r="D5" s="3594"/>
      <c r="E5" s="259" t="s">
        <v>303</v>
      </c>
      <c r="F5" s="260"/>
      <c r="G5" s="260"/>
      <c r="H5" s="260"/>
      <c r="I5" s="261"/>
      <c r="J5" s="1882"/>
      <c r="K5" s="1881"/>
      <c r="L5" s="1881"/>
      <c r="M5" s="1881"/>
      <c r="N5" s="1881"/>
      <c r="O5" s="1881"/>
      <c r="P5" s="1881"/>
      <c r="Q5" s="1881"/>
      <c r="R5" s="1881"/>
      <c r="S5" s="1881"/>
      <c r="T5" s="1881"/>
      <c r="U5" s="1881"/>
      <c r="V5" s="1881"/>
    </row>
    <row r="6" spans="1:22" ht="14.25">
      <c r="A6" s="3582"/>
      <c r="B6" s="3583"/>
      <c r="C6" s="3592"/>
      <c r="D6" s="3594"/>
      <c r="E6" s="259" t="s">
        <v>304</v>
      </c>
      <c r="F6" s="260"/>
      <c r="G6" s="260"/>
      <c r="H6" s="260"/>
      <c r="I6" s="261"/>
      <c r="J6" s="1882"/>
      <c r="K6" s="1881"/>
      <c r="L6" s="1881"/>
      <c r="M6" s="1881"/>
      <c r="N6" s="1881"/>
      <c r="O6" s="1881"/>
      <c r="P6" s="1881"/>
      <c r="Q6" s="1881"/>
      <c r="R6" s="1881"/>
      <c r="S6" s="1881"/>
      <c r="T6" s="1881"/>
      <c r="U6" s="1881"/>
      <c r="V6" s="1881"/>
    </row>
    <row r="7" spans="1:22" ht="14.25">
      <c r="A7" s="3582"/>
      <c r="B7" s="3583"/>
      <c r="C7" s="3593"/>
      <c r="D7" s="3594"/>
      <c r="E7" s="259" t="s">
        <v>305</v>
      </c>
      <c r="F7" s="260"/>
      <c r="G7" s="260"/>
      <c r="H7" s="260"/>
      <c r="I7" s="261"/>
      <c r="J7" s="1882"/>
      <c r="K7" s="1881"/>
      <c r="L7" s="1881"/>
      <c r="M7" s="1881"/>
      <c r="N7" s="1881"/>
      <c r="O7" s="1881"/>
      <c r="P7" s="1881"/>
      <c r="Q7" s="1881"/>
      <c r="R7" s="1881"/>
      <c r="S7" s="1881"/>
      <c r="T7" s="1881"/>
      <c r="U7" s="1881"/>
      <c r="V7" s="1881"/>
    </row>
    <row r="8" spans="1:22" ht="14.25">
      <c r="A8" s="3582" t="s">
        <v>306</v>
      </c>
      <c r="B8" s="3583">
        <v>15</v>
      </c>
      <c r="C8" s="3591"/>
      <c r="D8" s="3594"/>
      <c r="E8" s="259" t="s">
        <v>307</v>
      </c>
      <c r="F8" s="260"/>
      <c r="G8" s="260"/>
      <c r="H8" s="260"/>
      <c r="I8" s="261"/>
      <c r="J8" s="1882"/>
      <c r="K8" s="1881"/>
      <c r="L8" s="1881"/>
      <c r="M8" s="1881"/>
      <c r="N8" s="1881"/>
      <c r="O8" s="1881"/>
      <c r="P8" s="1881"/>
      <c r="Q8" s="1881"/>
      <c r="R8" s="1881"/>
      <c r="S8" s="1881"/>
      <c r="T8" s="1881"/>
      <c r="U8" s="1881"/>
      <c r="V8" s="1881"/>
    </row>
    <row r="9" spans="1:22" ht="14.25">
      <c r="A9" s="3582"/>
      <c r="B9" s="3583"/>
      <c r="C9" s="3593"/>
      <c r="D9" s="3594"/>
      <c r="E9" s="259" t="s">
        <v>308</v>
      </c>
      <c r="F9" s="260"/>
      <c r="G9" s="260"/>
      <c r="H9" s="260"/>
      <c r="I9" s="261"/>
      <c r="J9" s="1882"/>
      <c r="K9" s="1881"/>
      <c r="L9" s="1881"/>
      <c r="M9" s="1881"/>
      <c r="N9" s="1881"/>
      <c r="O9" s="1881"/>
      <c r="P9" s="1881"/>
      <c r="Q9" s="1881"/>
      <c r="R9" s="1881"/>
      <c r="S9" s="1881"/>
      <c r="T9" s="1881"/>
      <c r="U9" s="1881"/>
      <c r="V9" s="1881"/>
    </row>
    <row r="10" spans="1:22" ht="14.25">
      <c r="A10" s="3582" t="s">
        <v>309</v>
      </c>
      <c r="B10" s="3583">
        <v>15</v>
      </c>
      <c r="C10" s="3591"/>
      <c r="D10" s="3594"/>
      <c r="E10" s="259" t="s">
        <v>310</v>
      </c>
      <c r="F10" s="260"/>
      <c r="G10" s="260"/>
      <c r="H10" s="260"/>
      <c r="I10" s="261"/>
      <c r="J10" s="1882"/>
      <c r="K10" s="1881"/>
      <c r="L10" s="1881"/>
      <c r="M10" s="1881"/>
      <c r="N10" s="1881"/>
      <c r="O10" s="1881"/>
      <c r="P10" s="1881"/>
      <c r="Q10" s="1881"/>
      <c r="R10" s="1881"/>
      <c r="S10" s="1881"/>
      <c r="T10" s="1881"/>
      <c r="U10" s="1881"/>
      <c r="V10" s="1881"/>
    </row>
    <row r="11" spans="1:22" ht="14.25">
      <c r="A11" s="3582"/>
      <c r="B11" s="3583"/>
      <c r="C11" s="3593"/>
      <c r="D11" s="3594"/>
      <c r="E11" s="259" t="s">
        <v>311</v>
      </c>
      <c r="F11" s="260"/>
      <c r="G11" s="260"/>
      <c r="H11" s="260"/>
      <c r="I11" s="261"/>
      <c r="J11" s="1882"/>
      <c r="K11" s="1881"/>
      <c r="L11" s="1881"/>
      <c r="M11" s="1881"/>
      <c r="N11" s="1881"/>
      <c r="O11" s="1881"/>
      <c r="P11" s="1881"/>
      <c r="Q11" s="1881"/>
      <c r="R11" s="1881"/>
      <c r="S11" s="1881"/>
      <c r="T11" s="1881"/>
      <c r="U11" s="1881"/>
      <c r="V11" s="1881"/>
    </row>
    <row r="12" spans="1:22" ht="14.25">
      <c r="A12" s="3582" t="s">
        <v>312</v>
      </c>
      <c r="B12" s="3583">
        <v>15</v>
      </c>
      <c r="C12" s="3591"/>
      <c r="D12" s="3594"/>
      <c r="E12" s="259" t="s">
        <v>313</v>
      </c>
      <c r="F12" s="260"/>
      <c r="G12" s="260"/>
      <c r="H12" s="260"/>
      <c r="I12" s="261"/>
      <c r="J12" s="1882"/>
      <c r="K12" s="1881"/>
      <c r="L12" s="1881"/>
      <c r="M12" s="1881"/>
      <c r="N12" s="1881"/>
      <c r="O12" s="1881"/>
      <c r="P12" s="1881"/>
      <c r="Q12" s="1881"/>
      <c r="R12" s="1881"/>
      <c r="S12" s="1881"/>
      <c r="T12" s="1881"/>
      <c r="U12" s="1881"/>
      <c r="V12" s="1881"/>
    </row>
    <row r="13" spans="1:22" ht="14.25">
      <c r="A13" s="3582"/>
      <c r="B13" s="3583"/>
      <c r="C13" s="3593"/>
      <c r="D13" s="3594"/>
      <c r="E13" s="259" t="s">
        <v>314</v>
      </c>
      <c r="F13" s="260"/>
      <c r="G13" s="260"/>
      <c r="H13" s="260"/>
      <c r="I13" s="261"/>
      <c r="J13" s="1882"/>
      <c r="K13" s="1881"/>
      <c r="L13" s="1881"/>
      <c r="M13" s="1881"/>
      <c r="N13" s="1881"/>
      <c r="O13" s="1881"/>
      <c r="P13" s="1881"/>
      <c r="Q13" s="1881"/>
      <c r="R13" s="1881"/>
      <c r="S13" s="1881"/>
      <c r="T13" s="1881"/>
      <c r="U13" s="1881"/>
      <c r="V13" s="1881"/>
    </row>
    <row r="14" spans="1:22" ht="14.25">
      <c r="A14" s="3582" t="s">
        <v>315</v>
      </c>
      <c r="B14" s="3583">
        <v>30</v>
      </c>
      <c r="C14" s="3591">
        <v>5</v>
      </c>
      <c r="D14" s="3594">
        <v>5</v>
      </c>
      <c r="E14" s="259" t="s">
        <v>316</v>
      </c>
      <c r="F14" s="260"/>
      <c r="G14" s="260"/>
      <c r="H14" s="260"/>
      <c r="I14" s="261"/>
      <c r="J14" s="1882"/>
      <c r="K14" s="1881"/>
      <c r="L14" s="1881"/>
      <c r="M14" s="1881"/>
      <c r="N14" s="1881"/>
      <c r="O14" s="1881"/>
      <c r="P14" s="1881"/>
      <c r="Q14" s="1881"/>
      <c r="R14" s="1881"/>
      <c r="S14" s="1881"/>
      <c r="T14" s="1881"/>
      <c r="U14" s="1881"/>
      <c r="V14" s="1881"/>
    </row>
    <row r="15" spans="1:22" ht="14.25">
      <c r="A15" s="3582"/>
      <c r="B15" s="3583"/>
      <c r="C15" s="3592"/>
      <c r="D15" s="3594"/>
      <c r="E15" s="259" t="s">
        <v>317</v>
      </c>
      <c r="F15" s="260"/>
      <c r="G15" s="260"/>
      <c r="H15" s="260"/>
      <c r="I15" s="261"/>
      <c r="J15" s="1882"/>
      <c r="K15" s="1881"/>
      <c r="L15" s="1881"/>
      <c r="M15" s="1881"/>
      <c r="N15" s="1881"/>
      <c r="O15" s="1881"/>
      <c r="P15" s="1881"/>
      <c r="Q15" s="1881"/>
      <c r="R15" s="1881"/>
      <c r="S15" s="1881"/>
      <c r="T15" s="1881"/>
      <c r="U15" s="1881"/>
      <c r="V15" s="1881"/>
    </row>
    <row r="16" spans="1:22" ht="14.25">
      <c r="A16" s="3582"/>
      <c r="B16" s="3583"/>
      <c r="C16" s="3593"/>
      <c r="D16" s="3594"/>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5</v>
      </c>
      <c r="D17" s="263">
        <f>SUM(D5:D16)</f>
        <v>5</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f>ROUND(C17/SUM(C17:D17),2)</f>
        <v>0.5</v>
      </c>
      <c r="D18" s="265">
        <f>1-C18</f>
        <v>0.5</v>
      </c>
      <c r="E18" s="3596" t="s">
        <v>2874</v>
      </c>
      <c r="F18" s="3597"/>
      <c r="G18" s="3597"/>
      <c r="H18" s="3597"/>
      <c r="I18" s="3597"/>
      <c r="J18" s="1881"/>
      <c r="K18" s="1881"/>
      <c r="L18" s="3437" t="s">
        <v>3281</v>
      </c>
      <c r="M18" s="1881"/>
      <c r="N18" s="1881"/>
      <c r="O18" s="1881"/>
      <c r="P18" s="1881"/>
      <c r="Q18" s="1881"/>
      <c r="R18" s="1881"/>
      <c r="S18" s="1881"/>
      <c r="T18" s="1881"/>
      <c r="U18" s="1881"/>
      <c r="V18" s="1881"/>
    </row>
    <row r="19" spans="1:26" ht="15">
      <c r="A19" s="266" t="s">
        <v>321</v>
      </c>
      <c r="B19" s="267" t="s">
        <v>322</v>
      </c>
      <c r="C19" s="268">
        <f ca="1">SUMIF(INDIRECT("'"&amp;C4&amp;"'"&amp;"!A:A"),结果表!B19,INDIRECT("'"&amp;C4&amp;"'"&amp;"!B:B"))</f>
        <v>147082</v>
      </c>
      <c r="D19" s="269">
        <f ca="1">SUMIF(INDIRECT("'"&amp;D4&amp;"'"&amp;"!A:A"),结果表!B19,INDIRECT("'"&amp;D4&amp;"'"&amp;"!B:B"))</f>
        <v>145179</v>
      </c>
      <c r="E19" s="266" t="s">
        <v>323</v>
      </c>
      <c r="F19" s="267" t="s">
        <v>322</v>
      </c>
      <c r="G19" s="270">
        <f ca="1">ROUND(C19*$C$18+D19*$D$18,0)</f>
        <v>146131</v>
      </c>
      <c r="H19" s="271" t="s">
        <v>324</v>
      </c>
      <c r="I19" s="309"/>
      <c r="J19" s="1881"/>
      <c r="K19" s="1881"/>
      <c r="L19" s="1881">
        <f>资料!B68</f>
        <v>147600</v>
      </c>
      <c r="M19" s="1881"/>
      <c r="N19" s="1881"/>
      <c r="O19" s="1881"/>
      <c r="P19" s="1881"/>
      <c r="Q19" s="1881"/>
      <c r="R19" s="1881"/>
      <c r="S19" s="1881"/>
      <c r="T19" s="1881"/>
      <c r="U19" s="1881"/>
      <c r="V19" s="1881"/>
    </row>
    <row r="20" spans="1:26" ht="15">
      <c r="A20" s="272"/>
      <c r="B20" s="273" t="s">
        <v>325</v>
      </c>
      <c r="C20" s="274">
        <f ca="1">SUMIF(INDIRECT("'"&amp;C4&amp;"'"&amp;"!A:A"),结果表!B20,INDIRECT("'"&amp;C4&amp;"'"&amp;"!B:B"))</f>
        <v>23389</v>
      </c>
      <c r="D20" s="275">
        <f ca="1">SUMIF(INDIRECT("'"&amp;D4&amp;"'"&amp;"!A:A"),结果表!B20,INDIRECT("'"&amp;D4&amp;"'"&amp;"!B:B"))</f>
        <v>23086</v>
      </c>
      <c r="E20" s="272"/>
      <c r="F20" s="273" t="s">
        <v>325</v>
      </c>
      <c r="G20" s="276">
        <f ca="1">ROUND(C20*$C$18+D20*$D$18,0)</f>
        <v>23238</v>
      </c>
      <c r="H20" s="277" t="s">
        <v>326</v>
      </c>
      <c r="I20" s="309"/>
      <c r="J20" s="1881"/>
      <c r="K20" s="1881">
        <f ca="1">ROUND(C32*10000/'数据-汇总表'!F31,0)</f>
        <v>33060</v>
      </c>
      <c r="L20" s="1881">
        <f>资料!B69</f>
        <v>33371</v>
      </c>
      <c r="M20" s="1881"/>
      <c r="N20" s="1881"/>
      <c r="O20" s="1881"/>
      <c r="P20" s="1881"/>
      <c r="Q20" s="1881"/>
      <c r="R20" s="1881"/>
      <c r="S20" s="1881"/>
      <c r="T20" s="1881"/>
      <c r="U20" s="1881"/>
      <c r="V20" s="1881"/>
    </row>
    <row r="21" spans="1:26" ht="15" customHeight="1">
      <c r="A21" s="272"/>
      <c r="B21" s="278" t="s">
        <v>327</v>
      </c>
      <c r="C21" s="279">
        <f ca="1">SUMIF(INDIRECT("'"&amp;C4&amp;"'"&amp;"!A:A"),结果表!B21,INDIRECT("'"&amp;C4&amp;"'"&amp;"!B:B"))</f>
        <v>70722</v>
      </c>
      <c r="D21" s="149">
        <f ca="1">SUMIF(INDIRECT("'"&amp;D4&amp;"'"&amp;"!A:A"),结果表!B21,INDIRECT("'"&amp;D4&amp;"'"&amp;"!B:B"))</f>
        <v>69807</v>
      </c>
      <c r="E21" s="272"/>
      <c r="F21" s="278" t="s">
        <v>327</v>
      </c>
      <c r="G21" s="280">
        <f ca="1">ROUND(C21*$C$18+D21*$D$18,0)</f>
        <v>70265</v>
      </c>
      <c r="H21" s="1185" t="s">
        <v>326</v>
      </c>
      <c r="I21" s="309"/>
      <c r="J21" s="1881"/>
      <c r="K21" s="1881"/>
      <c r="L21" s="1881"/>
      <c r="M21" s="1881"/>
      <c r="N21" s="1881"/>
      <c r="O21" s="1881"/>
      <c r="P21" s="1881"/>
      <c r="Q21" s="1881"/>
      <c r="R21" s="1881"/>
      <c r="S21" s="1881"/>
      <c r="T21" s="1881"/>
      <c r="U21" s="1881"/>
      <c r="V21" s="1881"/>
    </row>
    <row r="22" spans="1:26" ht="15.75" thickBot="1">
      <c r="A22" s="126" t="s">
        <v>328</v>
      </c>
      <c r="B22" s="1186"/>
      <c r="C22" s="1187"/>
      <c r="D22" s="281">
        <f ca="1">IF(C19&lt;D19,D19/C19-1,C19/D19-1)</f>
        <v>1.3107956384876607E-2</v>
      </c>
      <c r="E22" s="282"/>
      <c r="F22" s="283"/>
      <c r="G22" s="284">
        <f ca="1">ROUND(G19/('数据-汇总表'!D3/666.67),0)</f>
        <v>4684</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555"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602"/>
      <c r="B25" s="1255" t="s">
        <v>331</v>
      </c>
      <c r="C25" s="288">
        <f>IF(B30=0,0,C30)</f>
        <v>0</v>
      </c>
      <c r="D25" s="289"/>
      <c r="E25" s="309"/>
      <c r="F25" s="309"/>
      <c r="G25" s="309"/>
      <c r="H25" s="309"/>
      <c r="I25" s="309"/>
      <c r="J25" s="1881"/>
      <c r="K25" s="1189" t="str">
        <f ca="1">项目基本情况!B16&amp;"国有建设用地使用权价格："&amp;O38&amp;"万元"</f>
        <v>出让国有建设用地使用权价格：146131万元</v>
      </c>
      <c r="L25" s="1190"/>
      <c r="M25" s="1190"/>
      <c r="N25" s="1190"/>
      <c r="O25" s="1191"/>
      <c r="P25" s="1881"/>
      <c r="Q25" s="1881"/>
      <c r="R25" s="1881"/>
      <c r="S25" s="1881"/>
      <c r="T25" s="1881"/>
      <c r="U25" s="1881"/>
      <c r="V25" s="1881"/>
    </row>
    <row r="26" spans="1:26" s="1188" customFormat="1" ht="18">
      <c r="A26" s="291" t="s">
        <v>332</v>
      </c>
      <c r="B26" s="292" t="s">
        <v>333</v>
      </c>
      <c r="C26" s="292" t="s">
        <v>334</v>
      </c>
      <c r="D26" s="293" t="s">
        <v>335</v>
      </c>
      <c r="E26" s="309"/>
      <c r="F26" s="309"/>
      <c r="G26" s="309"/>
      <c r="H26" s="309"/>
      <c r="I26" s="309"/>
      <c r="J26" s="1881"/>
      <c r="K26" s="1192" t="str">
        <f ca="1">"大写金额：人民币"&amp;NUMBERSTRING(INT(O38*10000),2)&amp;"元整"</f>
        <v>大写金额：人民币壹拾肆亿陆仟壹佰叁拾壹万元整</v>
      </c>
      <c r="L26" s="1186"/>
      <c r="M26" s="1186"/>
      <c r="N26" s="1186"/>
      <c r="O26" s="1185"/>
      <c r="P26" s="1881"/>
      <c r="Q26" s="1881"/>
      <c r="R26" s="1881"/>
      <c r="S26" s="1881"/>
      <c r="T26" s="1881"/>
      <c r="U26" s="1881"/>
      <c r="V26" s="1881"/>
      <c r="W26" s="290"/>
      <c r="X26" s="290"/>
      <c r="Y26" s="290"/>
      <c r="Z26" s="290"/>
    </row>
    <row r="27" spans="1:26" ht="18">
      <c r="A27" s="3438" t="s">
        <v>3282</v>
      </c>
      <c r="B27" s="292">
        <f>'数据-汇总表'!G20</f>
        <v>3005.41</v>
      </c>
      <c r="C27" s="292">
        <f>ROUND(L20*0.25*0.2,0)</f>
        <v>1669</v>
      </c>
      <c r="D27" s="293"/>
      <c r="E27" s="309"/>
      <c r="F27" s="309"/>
      <c r="G27" s="309"/>
      <c r="H27" s="309"/>
      <c r="I27" s="309"/>
      <c r="J27" s="1881"/>
      <c r="K27" s="1192" t="str">
        <f ca="1">"单位面积地价："&amp;M38&amp;"元/平方米"</f>
        <v>单位面积地价：70264元/平方米</v>
      </c>
      <c r="L27" s="1186"/>
      <c r="M27" s="1186"/>
      <c r="N27" s="1186"/>
      <c r="O27" s="1185"/>
      <c r="P27" s="1881"/>
      <c r="Q27" s="1881"/>
      <c r="R27" s="1881"/>
      <c r="S27" s="1881"/>
      <c r="T27" s="1881"/>
      <c r="U27" s="1881"/>
      <c r="V27" s="1881"/>
    </row>
    <row r="28" spans="1:26" ht="18.75" customHeight="1">
      <c r="A28" s="3438" t="s">
        <v>3283</v>
      </c>
      <c r="B28" s="292">
        <f>'数据-汇总表'!G21</f>
        <v>11890.43</v>
      </c>
      <c r="C28" s="292">
        <f>ROUND(L20*0.25*0.15,0)</f>
        <v>1251</v>
      </c>
      <c r="D28" s="293"/>
      <c r="E28" s="309"/>
      <c r="F28" s="309"/>
      <c r="G28" s="309"/>
      <c r="H28" s="309"/>
      <c r="I28" s="309"/>
      <c r="J28" s="1881"/>
      <c r="K28" s="1192" t="str">
        <f ca="1">"楼面地价："&amp;N38&amp;"元/平方米"</f>
        <v>楼面地价：23238元/平方米</v>
      </c>
      <c r="L28" s="1186"/>
      <c r="M28" s="1186"/>
      <c r="N28" s="1186"/>
      <c r="O28" s="1185"/>
      <c r="P28" s="1881"/>
      <c r="V28" s="1881"/>
    </row>
    <row r="29" spans="1:26" ht="18">
      <c r="A29" s="291"/>
      <c r="B29" s="292"/>
      <c r="C29" s="292"/>
      <c r="D29" s="293"/>
      <c r="E29" s="309"/>
      <c r="F29" s="309"/>
      <c r="G29" s="309"/>
      <c r="H29" s="309"/>
      <c r="I29" s="309"/>
      <c r="J29" s="1881"/>
      <c r="K29" s="1192" t="str">
        <f ca="1">IF(OR(项目基本情况!E8="抵押价格",项目基本情况!E8="已注销及未注销"),"抵押价格："&amp;O39&amp;"万元","——")</f>
        <v>抵押价格：144081万元</v>
      </c>
      <c r="L29" s="1186"/>
      <c r="M29" s="1186"/>
      <c r="N29" s="1186"/>
      <c r="O29" s="1185"/>
      <c r="P29" s="1881"/>
      <c r="V29" s="1881"/>
    </row>
    <row r="30" spans="1:26" ht="18.75" thickBot="1">
      <c r="A30" s="2734" t="s">
        <v>336</v>
      </c>
      <c r="B30" s="307">
        <f>SUM(B27:B28)</f>
        <v>14895.84</v>
      </c>
      <c r="C30" s="307"/>
      <c r="D30" s="307">
        <f>SUM(D27:D28)</f>
        <v>0</v>
      </c>
      <c r="E30" s="2937" t="s">
        <v>2875</v>
      </c>
      <c r="F30" s="309"/>
      <c r="G30" s="309"/>
      <c r="H30" s="309"/>
      <c r="I30" s="309"/>
      <c r="J30" s="1881"/>
      <c r="K30" s="1192" t="str">
        <f ca="1">IF(K29="——","——","大写金额：人民币"&amp;NUMBERSTRING(INT(O39*10000),2)&amp;"元整")</f>
        <v>大写金额：人民币壹拾肆亿肆仟零捌拾壹万元整</v>
      </c>
      <c r="L30" s="1186"/>
      <c r="M30" s="1186"/>
      <c r="N30" s="1186"/>
      <c r="O30" s="1185"/>
      <c r="P30" s="1881"/>
      <c r="V30" s="1881"/>
    </row>
    <row r="31" spans="1:26" ht="24" customHeight="1" thickBot="1">
      <c r="A31" s="3598" t="s">
        <v>2876</v>
      </c>
      <c r="B31" s="3598"/>
      <c r="C31" s="3598"/>
      <c r="D31" s="3598"/>
      <c r="E31" s="3598"/>
      <c r="F31" s="3598"/>
      <c r="G31" s="3598"/>
      <c r="H31" s="3598"/>
      <c r="I31" s="3598"/>
      <c r="J31" s="1881"/>
      <c r="K31" s="2292" t="str">
        <f>IF(项目基本情况!E8="抵押价格","——","抵押担保权已注销时的抵押价格："&amp;O40&amp;"万元")</f>
        <v>——</v>
      </c>
      <c r="L31" s="2288"/>
      <c r="M31" s="2288"/>
      <c r="N31" s="2288"/>
      <c r="O31" s="2289"/>
      <c r="P31" s="1881"/>
      <c r="V31" s="1881"/>
    </row>
    <row r="32" spans="1:26" ht="19.5" thickTop="1" thickBot="1">
      <c r="A32" s="272" t="s">
        <v>337</v>
      </c>
      <c r="B32" s="2938" t="s">
        <v>1668</v>
      </c>
      <c r="C32" s="264">
        <f ca="1">G19-C24</f>
        <v>146131</v>
      </c>
      <c r="D32" s="2939" t="s">
        <v>1669</v>
      </c>
      <c r="E32" s="309"/>
      <c r="F32" s="309"/>
      <c r="G32" s="309"/>
      <c r="H32" s="309"/>
      <c r="I32" s="309"/>
      <c r="J32" s="1881"/>
      <c r="K32" s="2287" t="str">
        <f>IF(K31="——","——","大写金额：人民币"&amp;NUMBERSTRING(INT(O40*10000),2)&amp;"元整")</f>
        <v>——</v>
      </c>
      <c r="L32" s="2290"/>
      <c r="M32" s="2290"/>
      <c r="N32" s="2290"/>
      <c r="O32" s="2291"/>
      <c r="P32" s="1881"/>
      <c r="V32" s="1881"/>
    </row>
    <row r="33" spans="1:26" ht="18.75" thickBot="1">
      <c r="A33" s="296" t="s">
        <v>340</v>
      </c>
      <c r="B33" s="1305" t="s">
        <v>1670</v>
      </c>
      <c r="C33" s="262">
        <f ca="1">ROUND(C32*10000/'数据-汇总表'!E3,0)</f>
        <v>23238</v>
      </c>
      <c r="D33" s="1306" t="s">
        <v>1671</v>
      </c>
      <c r="E33" s="3555" t="s">
        <v>338</v>
      </c>
      <c r="F33" s="294" t="s">
        <v>339</v>
      </c>
      <c r="G33" s="295"/>
      <c r="H33" s="948"/>
      <c r="I33" s="1193"/>
      <c r="J33" s="1881"/>
      <c r="K33" s="1192" t="str">
        <f>IF(项目基本情况!E9="——","——","抵押净值："&amp;C46&amp;"万元")</f>
        <v>——</v>
      </c>
      <c r="L33" s="1186"/>
      <c r="M33" s="1186"/>
      <c r="N33" s="1186"/>
      <c r="O33" s="1185"/>
      <c r="P33" s="1881"/>
      <c r="V33" s="1881"/>
    </row>
    <row r="34" spans="1:26" s="1188" customFormat="1" ht="18.75" thickBot="1">
      <c r="A34" s="298"/>
      <c r="B34" s="1307" t="s">
        <v>1672</v>
      </c>
      <c r="C34" s="262">
        <f ca="1">ROUND(C32*10000/'数据-汇总表'!D3,0)</f>
        <v>70264</v>
      </c>
      <c r="D34" s="1308" t="s">
        <v>1671</v>
      </c>
      <c r="E34" s="3556"/>
      <c r="F34" s="127" t="s">
        <v>341</v>
      </c>
      <c r="G34" s="297"/>
      <c r="H34" s="105"/>
      <c r="I34" s="309"/>
      <c r="J34" s="1881"/>
      <c r="K34" s="1195" t="str">
        <f>IF(K33="——","——","大写金额：人民币"&amp;NUMBERSTRING(INT(O41*10000),2)&amp;"元整")</f>
        <v>——</v>
      </c>
      <c r="L34" s="1196"/>
      <c r="M34" s="1196"/>
      <c r="N34" s="1196"/>
      <c r="O34" s="1197"/>
      <c r="P34" s="1881"/>
      <c r="Q34" s="290"/>
      <c r="R34" s="290"/>
      <c r="S34" s="290"/>
      <c r="T34" s="290"/>
      <c r="U34" s="290"/>
      <c r="V34" s="1881"/>
      <c r="W34" s="290"/>
      <c r="X34" s="290"/>
      <c r="Y34" s="290"/>
      <c r="Z34" s="290"/>
    </row>
    <row r="35" spans="1:26" ht="15.75" thickBot="1">
      <c r="A35" s="282"/>
      <c r="B35" s="1309"/>
      <c r="C35" s="1310">
        <f ca="1">ROUND(C32/('数据-汇总表'!D3/666.67),0)</f>
        <v>4684</v>
      </c>
      <c r="D35" s="1311" t="s">
        <v>1673</v>
      </c>
      <c r="E35" s="3557"/>
      <c r="F35" s="299" t="s">
        <v>342</v>
      </c>
      <c r="G35" s="950">
        <f>E37+E38</f>
        <v>2050</v>
      </c>
      <c r="H35" s="949" t="s">
        <v>343</v>
      </c>
      <c r="I35" s="309"/>
      <c r="J35" s="1881"/>
      <c r="K35" s="3561" t="s">
        <v>350</v>
      </c>
      <c r="L35" s="3561" t="s">
        <v>351</v>
      </c>
      <c r="M35" s="1198" t="s">
        <v>352</v>
      </c>
      <c r="N35" s="3561" t="s">
        <v>353</v>
      </c>
      <c r="O35" s="3561" t="s">
        <v>354</v>
      </c>
      <c r="P35" s="1881"/>
      <c r="V35" s="1881"/>
    </row>
    <row r="36" spans="1:26" ht="16.5" customHeight="1">
      <c r="A36" s="301" t="s">
        <v>344</v>
      </c>
      <c r="B36" s="302" t="s">
        <v>333</v>
      </c>
      <c r="C36" s="303" t="s">
        <v>345</v>
      </c>
      <c r="D36" s="303" t="s">
        <v>346</v>
      </c>
      <c r="E36" s="304" t="s">
        <v>347</v>
      </c>
      <c r="F36" s="309"/>
      <c r="G36" s="309"/>
      <c r="H36" s="309"/>
      <c r="I36" s="309"/>
      <c r="J36" s="1883"/>
      <c r="K36" s="3562"/>
      <c r="L36" s="3562"/>
      <c r="M36" s="1200" t="s">
        <v>355</v>
      </c>
      <c r="N36" s="3562"/>
      <c r="O36" s="3562"/>
      <c r="P36" s="1881"/>
      <c r="V36" s="1881"/>
    </row>
    <row r="37" spans="1:26" ht="16.5" customHeight="1" thickBot="1">
      <c r="A37" s="1194" t="s">
        <v>348</v>
      </c>
      <c r="B37" s="305">
        <f>B27</f>
        <v>3005.41</v>
      </c>
      <c r="C37" s="292">
        <f>C27</f>
        <v>1669</v>
      </c>
      <c r="D37" s="3439">
        <v>3.0499999999999999E-2</v>
      </c>
      <c r="E37" s="293">
        <f>ROUND(B37*C37*(1+D37)/10000,0)</f>
        <v>517</v>
      </c>
      <c r="F37" s="309"/>
      <c r="G37" s="309"/>
      <c r="H37" s="309"/>
      <c r="I37" s="309"/>
      <c r="J37" s="1883"/>
      <c r="K37" s="3563"/>
      <c r="L37" s="3563"/>
      <c r="M37" s="1201"/>
      <c r="N37" s="3563"/>
      <c r="O37" s="3563"/>
      <c r="P37" s="1881"/>
      <c r="V37" s="1881"/>
    </row>
    <row r="38" spans="1:26" ht="16.5" customHeight="1" thickBot="1">
      <c r="A38" s="1194" t="s">
        <v>349</v>
      </c>
      <c r="B38" s="305">
        <f>B28</f>
        <v>11890.43</v>
      </c>
      <c r="C38" s="292">
        <f>C28</f>
        <v>1251</v>
      </c>
      <c r="D38" s="3439">
        <f>D37</f>
        <v>3.0499999999999999E-2</v>
      </c>
      <c r="E38" s="293">
        <f>ROUND(B38*C38*(1+D38)/10000,0)</f>
        <v>1533</v>
      </c>
      <c r="F38" s="309"/>
      <c r="G38" s="309"/>
      <c r="H38" s="309"/>
      <c r="I38" s="309"/>
      <c r="J38" s="1883"/>
      <c r="K38" s="1202">
        <f>'数据-汇总表'!D3</f>
        <v>20797.28</v>
      </c>
      <c r="L38" s="1203">
        <f>'数据-汇总表'!E3</f>
        <v>62884.97</v>
      </c>
      <c r="M38" s="1203">
        <f ca="1">C34</f>
        <v>70264</v>
      </c>
      <c r="N38" s="1203">
        <f ca="1">C33</f>
        <v>23238</v>
      </c>
      <c r="O38" s="1204">
        <f ca="1">C32</f>
        <v>146131</v>
      </c>
      <c r="P38" s="1881"/>
      <c r="V38" s="1881"/>
    </row>
    <row r="39" spans="1:26" ht="16.5" customHeight="1" thickBot="1">
      <c r="A39" s="1199"/>
      <c r="B39" s="306"/>
      <c r="C39" s="307"/>
      <c r="D39" s="307"/>
      <c r="E39" s="308"/>
      <c r="F39" s="309"/>
      <c r="G39" s="309"/>
      <c r="H39" s="309"/>
      <c r="I39" s="309"/>
      <c r="J39" s="1883"/>
      <c r="K39" s="3574" t="str">
        <f>MID(A44,3,LEN(A44)-2)</f>
        <v>抵押价格</v>
      </c>
      <c r="L39" s="3575"/>
      <c r="M39" s="3575"/>
      <c r="N39" s="3576"/>
      <c r="O39" s="1313">
        <f ca="1">C44</f>
        <v>144081</v>
      </c>
      <c r="P39" s="1881"/>
      <c r="V39" s="1881"/>
    </row>
    <row r="40" spans="1:26" ht="19.5" thickBot="1">
      <c r="A40" s="104" t="s">
        <v>853</v>
      </c>
      <c r="B40" s="309"/>
      <c r="C40" s="309"/>
      <c r="D40" s="309"/>
      <c r="E40" s="309"/>
      <c r="F40" s="309"/>
      <c r="G40" s="309"/>
      <c r="H40" s="309"/>
      <c r="I40" s="309"/>
      <c r="J40" s="1883"/>
      <c r="K40" s="3574" t="str">
        <f t="shared" ref="K40:K41" si="0">MID(A45,3,LEN(A45)-2)</f>
        <v/>
      </c>
      <c r="L40" s="3575"/>
      <c r="M40" s="3575"/>
      <c r="N40" s="3576"/>
      <c r="O40" s="1313" t="str">
        <f>C45</f>
        <v>——</v>
      </c>
      <c r="P40" s="1881"/>
      <c r="V40" s="1881"/>
    </row>
    <row r="41" spans="1:26" ht="16.5" thickBot="1">
      <c r="A41" s="310" t="s">
        <v>356</v>
      </c>
      <c r="B41" s="311"/>
      <c r="C41" s="312" t="s">
        <v>357</v>
      </c>
      <c r="D41" s="313" t="s">
        <v>358</v>
      </c>
      <c r="E41" s="313" t="s">
        <v>359</v>
      </c>
      <c r="F41" s="314" t="s">
        <v>360</v>
      </c>
      <c r="G41" s="309"/>
      <c r="H41" s="309"/>
      <c r="I41" s="309"/>
      <c r="J41" s="1883"/>
      <c r="K41" s="3574" t="str">
        <f t="shared" si="0"/>
        <v/>
      </c>
      <c r="L41" s="3575"/>
      <c r="M41" s="3575"/>
      <c r="N41" s="3576"/>
      <c r="O41" s="1313" t="str">
        <f>C46</f>
        <v>——</v>
      </c>
      <c r="P41" s="1881"/>
      <c r="V41" s="1881"/>
    </row>
    <row r="42" spans="1:26" ht="29.25">
      <c r="A42" s="3603" t="s">
        <v>2041</v>
      </c>
      <c r="B42" s="3604"/>
      <c r="C42" s="262">
        <f ca="1">C32</f>
        <v>146131</v>
      </c>
      <c r="D42" s="315">
        <f ca="1">C33</f>
        <v>23238</v>
      </c>
      <c r="E42" s="315">
        <f ca="1">C34</f>
        <v>70264</v>
      </c>
      <c r="F42" s="316">
        <f ca="1">C35</f>
        <v>4684</v>
      </c>
      <c r="G42" s="309"/>
      <c r="H42" s="309"/>
      <c r="I42" s="317"/>
      <c r="J42" s="1883"/>
      <c r="K42" s="1205" t="s">
        <v>361</v>
      </c>
      <c r="L42" s="1900" t="s">
        <v>362</v>
      </c>
      <c r="M42" s="1206" t="s">
        <v>363</v>
      </c>
      <c r="N42" s="1901" t="s">
        <v>364</v>
      </c>
      <c r="O42" s="1902" t="s">
        <v>365</v>
      </c>
      <c r="P42" s="1881"/>
      <c r="V42" s="1881"/>
    </row>
    <row r="43" spans="1:26" ht="30">
      <c r="A43" s="3613" t="s">
        <v>2629</v>
      </c>
      <c r="B43" s="3614"/>
      <c r="C43" s="262">
        <f>IF(H33="正常操作",G33+G34+G35,G34+G35)</f>
        <v>2050</v>
      </c>
      <c r="D43" s="315" t="s">
        <v>43</v>
      </c>
      <c r="E43" s="315" t="s">
        <v>44</v>
      </c>
      <c r="F43" s="316" t="s">
        <v>44</v>
      </c>
      <c r="G43" s="2521" t="s">
        <v>932</v>
      </c>
      <c r="H43" s="309"/>
      <c r="I43" s="317"/>
      <c r="J43" s="1883"/>
      <c r="K43" s="1207" t="str">
        <f>C4</f>
        <v>比较法-住宅、综合</v>
      </c>
      <c r="L43" s="1208">
        <f ca="1">IF(L42="估价结果/万元",C19,C20)</f>
        <v>147082</v>
      </c>
      <c r="M43" s="1209">
        <f>C18</f>
        <v>0.5</v>
      </c>
      <c r="N43" s="1210">
        <f ca="1">IF(N42="测算结果/万元",G19,G20)</f>
        <v>146131</v>
      </c>
      <c r="O43" s="1211">
        <f ca="1">IF(O42="最终结果/万元",C32,C33)</f>
        <v>146131</v>
      </c>
      <c r="P43" s="1881"/>
      <c r="V43" s="1881"/>
    </row>
    <row r="44" spans="1:26" ht="30.75" thickBot="1">
      <c r="A44" s="3603" t="str">
        <f>IF(OR(项目基本情况!E8="抵押价格",项目基本情况!E8="已注销及未注销"),"3.抵押价格","——")</f>
        <v>3.抵押价格</v>
      </c>
      <c r="B44" s="3604"/>
      <c r="C44" s="262">
        <f ca="1">IF(A44="——","——",C42-C43)</f>
        <v>144081</v>
      </c>
      <c r="D44" s="315">
        <f ca="1">ROUND(C44*10000/'数据-汇总表'!E3,0)</f>
        <v>22912</v>
      </c>
      <c r="E44" s="315">
        <f ca="1">ROUND(C44*10000/'数据-汇总表'!D3,0)</f>
        <v>69279</v>
      </c>
      <c r="F44" s="316">
        <f ca="1">ROUND(C44/('数据-汇总表'!D3/666.67),0)</f>
        <v>4619</v>
      </c>
      <c r="G44" s="309"/>
      <c r="H44" s="309"/>
      <c r="I44" s="317"/>
      <c r="J44" s="1883"/>
      <c r="K44" s="1212" t="str">
        <f>D4</f>
        <v>剩余法-待开发</v>
      </c>
      <c r="L44" s="1213">
        <f ca="1">IF(L42="估价结果/万元",D19,D20)</f>
        <v>145179</v>
      </c>
      <c r="M44" s="1214">
        <f>D18</f>
        <v>0.5</v>
      </c>
      <c r="N44" s="1215"/>
      <c r="O44" s="1216"/>
      <c r="P44" s="1881"/>
      <c r="V44" s="1881"/>
    </row>
    <row r="45" spans="1:26" ht="15">
      <c r="A45" s="3608" t="str">
        <f>IF(项目基本情况!E8="已注销及未注销","4.抵押担保权已注销时的抵押价格",IF(项目基本情况!E8="已注销","3.抵押担保权已注销时的抵押价格","——"))</f>
        <v>——</v>
      </c>
      <c r="B45" s="3609"/>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605" t="str">
        <f>IF(项目基本情况!E9="抵押净值",IF(A45="——","4.抵押净值","5.抵押净值"),"——")</f>
        <v>——</v>
      </c>
      <c r="B46" s="3606"/>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7"/>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本次评估估价师知悉的法定优先受偿款为人民币2050万元整。</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3566" t="s">
        <v>374</v>
      </c>
      <c r="B63" s="3567"/>
      <c r="C63" s="3568"/>
      <c r="D63" s="339">
        <f ca="1">ROUND(C42*F63,0)</f>
        <v>146131</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610" t="s">
        <v>378</v>
      </c>
      <c r="B64" s="3611"/>
      <c r="C64" s="3611"/>
      <c r="D64" s="3611"/>
      <c r="E64" s="3611"/>
      <c r="F64" s="3611"/>
      <c r="G64" s="3612"/>
      <c r="H64" s="1222"/>
      <c r="I64" s="917"/>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2"/>
      <c r="I65" s="917"/>
      <c r="J65" s="1872"/>
      <c r="K65" s="1223"/>
      <c r="L65" s="1224"/>
      <c r="M65" s="1224"/>
      <c r="N65" s="1256" t="s">
        <v>379</v>
      </c>
      <c r="O65" s="1257"/>
      <c r="P65" s="1258"/>
      <c r="Q65" s="1881"/>
      <c r="R65" s="1881"/>
      <c r="S65" s="1881"/>
      <c r="T65" s="1881"/>
      <c r="U65" s="1881"/>
      <c r="V65" s="1881"/>
    </row>
    <row r="66" spans="1:22" ht="25.5">
      <c r="A66" s="3607" t="s">
        <v>386</v>
      </c>
      <c r="B66" s="3573"/>
      <c r="C66" s="3573"/>
      <c r="D66" s="259" t="b">
        <f>IF(H66="情况1",0,IF(H66="情况2",D70,IF(H66="情况3",D71,IF(H66="情况4",D72))))</f>
        <v>0</v>
      </c>
      <c r="E66" s="961" t="str">
        <f>IF(H66="情况4","(销售额-原购置价)×税（费）率","销售额×税（费）率")</f>
        <v>销售额×税（费）率</v>
      </c>
      <c r="F66" s="348">
        <f>IF(H66="情况1","免征",'数据-取费表'!B41)</f>
        <v>5.5000000000000007E-2</v>
      </c>
      <c r="G66" s="349" t="s">
        <v>387</v>
      </c>
      <c r="H66" s="189"/>
      <c r="I66" s="1222"/>
      <c r="J66" s="1887"/>
      <c r="K66" s="1225">
        <v>1</v>
      </c>
      <c r="L66" s="3534" t="s">
        <v>385</v>
      </c>
      <c r="M66" s="3535"/>
      <c r="N66" s="2282"/>
      <c r="O66" s="2283"/>
      <c r="P66" s="2284"/>
      <c r="Q66" s="1881"/>
      <c r="R66" s="1881"/>
      <c r="S66" s="1881"/>
      <c r="T66" s="1881"/>
      <c r="U66" s="1881"/>
      <c r="V66" s="1881"/>
    </row>
    <row r="67" spans="1:22" ht="25.5" customHeight="1">
      <c r="A67" s="350" t="s">
        <v>389</v>
      </c>
      <c r="B67" s="3585" t="s">
        <v>390</v>
      </c>
      <c r="C67" s="3585"/>
      <c r="D67" s="351">
        <v>0</v>
      </c>
      <c r="E67" s="41" t="s">
        <v>391</v>
      </c>
      <c r="F67" s="62" t="s">
        <v>21</v>
      </c>
      <c r="G67" s="3569"/>
      <c r="H67" s="2940" t="s">
        <v>2877</v>
      </c>
      <c r="I67" s="2942"/>
      <c r="J67" s="1888"/>
      <c r="K67" s="1860">
        <v>2</v>
      </c>
      <c r="L67" s="3539" t="s">
        <v>388</v>
      </c>
      <c r="M67" s="3539"/>
      <c r="N67" s="1259">
        <f>'数据-取费表'!B2</f>
        <v>44649</v>
      </c>
      <c r="O67" s="1259"/>
      <c r="P67" s="1259"/>
      <c r="Q67" s="1881"/>
      <c r="R67" s="1881"/>
      <c r="S67" s="1881"/>
      <c r="T67" s="1881"/>
      <c r="U67" s="1881"/>
      <c r="V67" s="1881"/>
    </row>
    <row r="68" spans="1:22" ht="25.5" customHeight="1">
      <c r="A68" s="352"/>
      <c r="B68" s="3585" t="s">
        <v>393</v>
      </c>
      <c r="C68" s="3585"/>
      <c r="D68" s="353"/>
      <c r="E68" s="77"/>
      <c r="F68" s="354"/>
      <c r="G68" s="3570"/>
      <c r="H68" s="2941" t="s">
        <v>2878</v>
      </c>
      <c r="I68" s="2942"/>
      <c r="J68" s="1888"/>
      <c r="K68" s="1860">
        <v>3</v>
      </c>
      <c r="L68" s="3539" t="s">
        <v>392</v>
      </c>
      <c r="M68" s="3539"/>
      <c r="N68" s="1227">
        <f ca="1">C42</f>
        <v>146131</v>
      </c>
      <c r="O68" s="1227"/>
      <c r="P68" s="1227"/>
      <c r="Q68" s="1881"/>
      <c r="R68" s="1881"/>
      <c r="S68" s="1881"/>
      <c r="T68" s="1881"/>
      <c r="U68" s="1881"/>
      <c r="V68" s="1881"/>
    </row>
    <row r="69" spans="1:22" ht="23.45" customHeight="1">
      <c r="A69" s="355"/>
      <c r="B69" s="3585" t="s">
        <v>394</v>
      </c>
      <c r="C69" s="3585"/>
      <c r="D69" s="356"/>
      <c r="E69" s="73"/>
      <c r="F69" s="354"/>
      <c r="G69" s="3571"/>
      <c r="H69" s="2941" t="s">
        <v>2879</v>
      </c>
      <c r="I69" s="2942"/>
      <c r="J69" s="1888"/>
      <c r="K69" s="1228">
        <v>4</v>
      </c>
      <c r="L69" s="3540" t="s">
        <v>2778</v>
      </c>
      <c r="M69" s="3541"/>
      <c r="N69" s="1229">
        <f ca="1">C44</f>
        <v>144081</v>
      </c>
      <c r="O69" s="1229"/>
      <c r="P69" s="1229"/>
      <c r="Q69" s="1881"/>
      <c r="R69" s="1881"/>
      <c r="S69" s="1881"/>
      <c r="T69" s="1881"/>
      <c r="U69" s="1881"/>
      <c r="V69" s="1881"/>
    </row>
    <row r="70" spans="1:22" ht="24" customHeight="1">
      <c r="A70" s="357" t="s">
        <v>395</v>
      </c>
      <c r="B70" s="3585" t="s">
        <v>396</v>
      </c>
      <c r="C70" s="3585"/>
      <c r="D70" s="356">
        <f ca="1">ROUND(D63*'数据-取费表'!B41/(1+'数据-取费表'!C42),0)</f>
        <v>7654</v>
      </c>
      <c r="E70" s="17" t="s">
        <v>397</v>
      </c>
      <c r="F70" s="358">
        <f>'数据-取费表'!B41</f>
        <v>5.5000000000000007E-2</v>
      </c>
      <c r="G70" s="359"/>
      <c r="H70" s="309"/>
      <c r="I70" s="1226"/>
      <c r="J70" s="1888"/>
      <c r="K70" s="2699"/>
      <c r="L70" s="2700"/>
      <c r="M70" s="2700"/>
      <c r="N70" s="2701" t="s">
        <v>2782</v>
      </c>
      <c r="O70" s="2700"/>
      <c r="P70" s="2702"/>
      <c r="Q70" s="1881"/>
      <c r="R70" s="1881"/>
      <c r="S70" s="1881"/>
      <c r="T70" s="1881"/>
      <c r="U70" s="1881"/>
      <c r="V70" s="1881"/>
    </row>
    <row r="71" spans="1:22" ht="12" customHeight="1">
      <c r="A71" s="357" t="s">
        <v>403</v>
      </c>
      <c r="B71" s="3584" t="s">
        <v>2907</v>
      </c>
      <c r="C71" s="3601"/>
      <c r="D71" s="356">
        <f ca="1">ROUND(D63*'数据-取费表'!B41/(1+'数据-取费表'!C42),0)</f>
        <v>7654</v>
      </c>
      <c r="E71" s="17" t="s">
        <v>397</v>
      </c>
      <c r="F71" s="358">
        <f>'数据-取费表'!B41</f>
        <v>5.5000000000000007E-2</v>
      </c>
      <c r="G71" s="359"/>
      <c r="H71" s="309"/>
      <c r="I71" s="1226"/>
      <c r="J71" s="1888"/>
      <c r="K71" s="2698" t="s">
        <v>398</v>
      </c>
      <c r="L71" s="3542" t="s">
        <v>399</v>
      </c>
      <c r="M71" s="3542"/>
      <c r="N71" s="2698" t="s">
        <v>400</v>
      </c>
      <c r="O71" s="2698" t="s">
        <v>401</v>
      </c>
      <c r="P71" s="2698" t="s">
        <v>402</v>
      </c>
      <c r="Q71" s="1881"/>
      <c r="R71" s="1881"/>
      <c r="S71" s="1881"/>
      <c r="T71" s="1881"/>
      <c r="U71" s="1881"/>
      <c r="V71" s="1881"/>
    </row>
    <row r="72" spans="1:22" ht="12" customHeight="1">
      <c r="A72" s="357" t="s">
        <v>405</v>
      </c>
      <c r="B72" s="3584" t="s">
        <v>2908</v>
      </c>
      <c r="C72" s="3601"/>
      <c r="D72" s="356">
        <f ca="1">C86</f>
        <v>7654</v>
      </c>
      <c r="E72" s="73" t="s">
        <v>406</v>
      </c>
      <c r="F72" s="358">
        <f>'数据-取费表'!B41</f>
        <v>5.5000000000000007E-2</v>
      </c>
      <c r="G72" s="359"/>
      <c r="H72" s="1232"/>
      <c r="I72" s="1226"/>
      <c r="J72" s="1888"/>
      <c r="K72" s="1860">
        <v>1</v>
      </c>
      <c r="L72" s="3538" t="s">
        <v>404</v>
      </c>
      <c r="M72" s="3538"/>
      <c r="N72" s="1230" t="b">
        <f>D66</f>
        <v>0</v>
      </c>
      <c r="O72" s="1744" t="str">
        <f>E66</f>
        <v>销售额×税（费）率</v>
      </c>
      <c r="P72" s="1231">
        <f>F66</f>
        <v>5.5000000000000007E-2</v>
      </c>
      <c r="Q72" s="1881"/>
      <c r="R72" s="1881"/>
      <c r="S72" s="1881"/>
      <c r="T72" s="1881"/>
      <c r="U72" s="1881"/>
      <c r="V72" s="1881"/>
    </row>
    <row r="73" spans="1:22" ht="24" customHeight="1">
      <c r="A73" s="3572" t="s">
        <v>408</v>
      </c>
      <c r="B73" s="3573"/>
      <c r="C73" s="3573"/>
      <c r="D73" s="360">
        <f ca="1">IF(H73="个人住宅",0,ROUND(D63*I73,0))</f>
        <v>73</v>
      </c>
      <c r="E73" s="17" t="s">
        <v>409</v>
      </c>
      <c r="F73" s="358" t="str">
        <f>IF(H73="正常",I73,"免征")</f>
        <v>免征</v>
      </c>
      <c r="G73" s="359"/>
      <c r="H73" s="189"/>
      <c r="I73" s="358">
        <f>'数据-取费表'!B49</f>
        <v>5.0000000000000001E-4</v>
      </c>
      <c r="J73" s="1888"/>
      <c r="K73" s="1860">
        <v>2</v>
      </c>
      <c r="L73" s="3538" t="s">
        <v>407</v>
      </c>
      <c r="M73" s="3538"/>
      <c r="N73" s="1230">
        <f t="shared" ref="N73:P74" ca="1" si="1">D73</f>
        <v>73</v>
      </c>
      <c r="O73" s="1744" t="str">
        <f t="shared" si="1"/>
        <v>销售额×税（费）率</v>
      </c>
      <c r="P73" s="1231" t="str">
        <f t="shared" si="1"/>
        <v>免征</v>
      </c>
      <c r="Q73" s="1881"/>
      <c r="R73" s="1881"/>
      <c r="S73" s="1881"/>
      <c r="T73" s="1881"/>
      <c r="U73" s="1881"/>
      <c r="V73" s="1881"/>
    </row>
    <row r="74" spans="1:22" ht="24.75">
      <c r="A74" s="3572" t="s">
        <v>411</v>
      </c>
      <c r="B74" s="3573"/>
      <c r="C74" s="3573"/>
      <c r="D74" s="360">
        <f ca="1">IF(H74="个人住宅",D75,D76)</f>
        <v>82842</v>
      </c>
      <c r="E74" s="17" t="s">
        <v>412</v>
      </c>
      <c r="F74" s="358" t="str">
        <f>IF(H74="正常",F76,"免征")</f>
        <v>免征</v>
      </c>
      <c r="G74" s="951" t="s">
        <v>413</v>
      </c>
      <c r="H74" s="361"/>
      <c r="I74" s="42"/>
      <c r="J74" s="1888"/>
      <c r="K74" s="1860">
        <v>3</v>
      </c>
      <c r="L74" s="3538" t="s">
        <v>410</v>
      </c>
      <c r="M74" s="3538"/>
      <c r="N74" s="1230">
        <f t="shared" ca="1" si="1"/>
        <v>82842</v>
      </c>
      <c r="O74" s="1744" t="str">
        <f t="shared" si="1"/>
        <v>增值额×税（费）率</v>
      </c>
      <c r="P74" s="1233" t="str">
        <f t="shared" si="1"/>
        <v>免征</v>
      </c>
      <c r="Q74" s="1881"/>
      <c r="R74" s="1881"/>
      <c r="S74" s="1881"/>
      <c r="T74" s="1881"/>
      <c r="U74" s="1881"/>
      <c r="V74" s="1881"/>
    </row>
    <row r="75" spans="1:22" ht="12.75">
      <c r="A75" s="357" t="s">
        <v>414</v>
      </c>
      <c r="B75" s="3553" t="s">
        <v>415</v>
      </c>
      <c r="C75" s="3554"/>
      <c r="D75" s="362">
        <v>0</v>
      </c>
      <c r="E75" s="41" t="s">
        <v>416</v>
      </c>
      <c r="F75" s="363"/>
      <c r="G75" s="359"/>
      <c r="H75" s="42"/>
      <c r="I75" s="42"/>
      <c r="J75" s="1888"/>
      <c r="K75" s="2692">
        <f>IF(H77="非个人房产","",4)</f>
        <v>4</v>
      </c>
      <c r="L75" s="3538" t="str">
        <f>IF(H77="非个人房产","——","个人所得税")</f>
        <v>个人所得税</v>
      </c>
      <c r="M75" s="3538"/>
      <c r="N75" s="1234">
        <f>D77</f>
        <v>0</v>
      </c>
      <c r="O75" s="1757" t="str">
        <f>E77</f>
        <v>差额计税</v>
      </c>
      <c r="P75" s="1235">
        <f>F77</f>
        <v>0.01</v>
      </c>
      <c r="Q75" s="1881"/>
      <c r="R75" s="1881"/>
      <c r="S75" s="1881"/>
      <c r="T75" s="1881"/>
      <c r="U75" s="1881"/>
      <c r="V75" s="1881"/>
    </row>
    <row r="76" spans="1:22" ht="24.75">
      <c r="A76" s="357" t="s">
        <v>395</v>
      </c>
      <c r="B76" s="3553" t="s">
        <v>418</v>
      </c>
      <c r="C76" s="3595"/>
      <c r="D76" s="360">
        <f ca="1">IF(H76="转让取得",C99,C115)</f>
        <v>82842</v>
      </c>
      <c r="E76" s="17" t="s">
        <v>419</v>
      </c>
      <c r="F76" s="53" t="s">
        <v>21</v>
      </c>
      <c r="G76" s="359"/>
      <c r="H76" s="361"/>
      <c r="I76" s="42"/>
      <c r="J76" s="1888"/>
      <c r="K76" s="2692" t="str">
        <f>IF(项目基本情况!K6="上海银行",IF(K75="",4,K75+1),"")</f>
        <v/>
      </c>
      <c r="L76" s="3549" t="str">
        <f>IF(项目基本情况!K6="上海银行","其他处置费用","")</f>
        <v/>
      </c>
      <c r="M76" s="3550"/>
      <c r="N76" s="1230" t="str">
        <f>IF(项目基本情况!K6="上海银行",N89,"")</f>
        <v/>
      </c>
      <c r="O76" s="3551" t="str">
        <f>IF(项目基本情况!K6="上海银行","包含处置中涉及的律师、诉讼、拍卖、评估等费用","")</f>
        <v/>
      </c>
      <c r="P76" s="3552"/>
      <c r="Q76" s="1881"/>
      <c r="R76" s="1881"/>
      <c r="S76" s="1881"/>
      <c r="T76" s="1881"/>
      <c r="U76" s="1881"/>
      <c r="V76" s="1881"/>
    </row>
    <row r="77" spans="1:22" ht="24.75" thickBot="1">
      <c r="A77" s="3564" t="s">
        <v>421</v>
      </c>
      <c r="B77" s="3565"/>
      <c r="C77" s="3565"/>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2" t="s">
        <v>413</v>
      </c>
      <c r="H77" s="2944"/>
      <c r="I77" s="2943" t="s">
        <v>2880</v>
      </c>
      <c r="J77" s="1888"/>
      <c r="K77" s="3560">
        <f>IF(AND(K75="",K76=""),4,IF(项目基本情况!K6="上海银行",K76+1,K75+1))</f>
        <v>5</v>
      </c>
      <c r="L77" s="3538" t="s">
        <v>2779</v>
      </c>
      <c r="M77" s="2697" t="s">
        <v>417</v>
      </c>
      <c r="N77" s="1236"/>
      <c r="O77" s="1237">
        <f ca="1">SUMIF(N72:N76,"&lt;9e307")</f>
        <v>82915</v>
      </c>
      <c r="P77" s="1238"/>
      <c r="Q77" s="2695">
        <f ca="1">O77/N69</f>
        <v>0.57547490647621824</v>
      </c>
      <c r="R77" s="1881"/>
      <c r="S77" s="1881"/>
      <c r="T77" s="1881"/>
      <c r="U77" s="1881"/>
      <c r="V77" s="1881"/>
    </row>
    <row r="78" spans="1:22" ht="12" customHeight="1">
      <c r="A78" s="1239"/>
      <c r="B78" s="309"/>
      <c r="C78" s="309"/>
      <c r="D78" s="309"/>
      <c r="E78" s="42"/>
      <c r="F78" s="42"/>
      <c r="G78" s="42"/>
      <c r="H78" s="971"/>
      <c r="I78" s="309"/>
      <c r="J78" s="1888"/>
      <c r="K78" s="3560"/>
      <c r="L78" s="3538"/>
      <c r="M78" s="2697" t="s">
        <v>420</v>
      </c>
      <c r="N78" s="1236"/>
      <c r="O78" s="1237" t="str">
        <f ca="1">NUMBERSTRING(INT(O77*10000),2)&amp;"元整"</f>
        <v>捌亿贰仟玖佰壹拾伍万元整</v>
      </c>
      <c r="P78" s="1238"/>
      <c r="Q78" s="1881"/>
      <c r="R78" s="1881"/>
      <c r="S78" s="1881"/>
      <c r="T78" s="1881"/>
      <c r="U78" s="1881"/>
      <c r="V78" s="1881"/>
    </row>
    <row r="79" spans="1:22" ht="13.5" thickBot="1">
      <c r="A79" s="3615" t="s">
        <v>422</v>
      </c>
      <c r="B79" s="3615"/>
      <c r="C79" s="3615"/>
      <c r="D79" s="3615"/>
      <c r="E79" s="3615"/>
      <c r="F79" s="42"/>
      <c r="G79" s="42"/>
      <c r="H79" s="971"/>
      <c r="I79" s="309"/>
      <c r="J79" s="1888"/>
      <c r="K79" s="3536">
        <f>K77+1</f>
        <v>6</v>
      </c>
      <c r="L79" s="3538" t="s">
        <v>2780</v>
      </c>
      <c r="M79" s="2697" t="s">
        <v>417</v>
      </c>
      <c r="N79" s="1236"/>
      <c r="O79" s="1237">
        <f ca="1">N69-O77</f>
        <v>61166</v>
      </c>
      <c r="P79" s="1238"/>
      <c r="Q79" s="1881"/>
      <c r="R79" s="1881"/>
      <c r="S79" s="1881"/>
      <c r="T79" s="1881"/>
      <c r="U79" s="1881"/>
      <c r="V79" s="1881"/>
    </row>
    <row r="80" spans="1:22" ht="25.5">
      <c r="A80" s="3546" t="s">
        <v>423</v>
      </c>
      <c r="B80" s="3547"/>
      <c r="C80" s="962"/>
      <c r="D80" s="962" t="s">
        <v>424</v>
      </c>
      <c r="E80" s="364" t="s">
        <v>425</v>
      </c>
      <c r="F80" s="42"/>
      <c r="G80" s="42"/>
      <c r="H80" s="971"/>
      <c r="I80" s="309"/>
      <c r="J80" s="1881"/>
      <c r="K80" s="3537"/>
      <c r="L80" s="3538"/>
      <c r="M80" s="2697" t="s">
        <v>420</v>
      </c>
      <c r="N80" s="1236"/>
      <c r="O80" s="1237" t="str">
        <f ca="1">NUMBERSTRING(INT(O79*10000),2)&amp;"元整"</f>
        <v>陆亿壹仟壹佰陆拾陆万元整</v>
      </c>
      <c r="P80" s="1238"/>
      <c r="Q80" s="1881"/>
      <c r="R80" s="1881"/>
      <c r="S80" s="1881"/>
      <c r="T80" s="1881"/>
      <c r="U80" s="1881"/>
      <c r="V80" s="1881"/>
    </row>
    <row r="81" spans="1:26" ht="13.5" thickBot="1">
      <c r="A81" s="375" t="s">
        <v>1803</v>
      </c>
      <c r="B81" s="365" t="s">
        <v>426</v>
      </c>
      <c r="C81" s="366">
        <f ca="1">ROUND((C82+C83)/(1+'数据-取费表'!C42),0)</f>
        <v>139172</v>
      </c>
      <c r="D81" s="367"/>
      <c r="E81" s="368"/>
      <c r="F81" s="42"/>
      <c r="G81" s="42"/>
      <c r="H81" s="971"/>
      <c r="I81" s="309"/>
      <c r="J81" s="1881"/>
      <c r="K81" s="2692">
        <f>K79+1</f>
        <v>7</v>
      </c>
      <c r="L81" s="3558" t="s">
        <v>2781</v>
      </c>
      <c r="M81" s="3559"/>
      <c r="N81" s="1240"/>
      <c r="O81" s="1241">
        <f ca="1">ROUND(O79*10000/'数据-汇总表'!E3,0)</f>
        <v>9727</v>
      </c>
      <c r="P81" s="1242"/>
      <c r="Q81" s="1881"/>
      <c r="R81" s="1881"/>
      <c r="S81" s="1881"/>
      <c r="T81" s="1881"/>
      <c r="U81" s="1881"/>
      <c r="V81" s="1881"/>
    </row>
    <row r="82" spans="1:26" ht="13.5" thickTop="1">
      <c r="A82" s="369" t="s">
        <v>1804</v>
      </c>
      <c r="B82" s="370" t="s">
        <v>427</v>
      </c>
      <c r="C82" s="371">
        <f ca="1">D63</f>
        <v>146131</v>
      </c>
      <c r="D82" s="372" t="s">
        <v>19</v>
      </c>
      <c r="E82" s="373"/>
      <c r="F82" s="42"/>
      <c r="G82" s="42"/>
      <c r="H82" s="971"/>
      <c r="I82" s="309"/>
      <c r="J82" s="1881"/>
      <c r="K82" s="1881"/>
      <c r="L82" s="1881"/>
      <c r="M82" s="1881"/>
      <c r="N82" s="1881"/>
      <c r="O82" s="1881"/>
      <c r="P82" s="1881"/>
      <c r="Q82" s="1881"/>
      <c r="R82" s="1881"/>
      <c r="S82" s="1881"/>
      <c r="T82" s="1881"/>
      <c r="U82" s="1881"/>
      <c r="V82" s="1881"/>
    </row>
    <row r="83" spans="1:26" ht="12.75">
      <c r="A83" s="369" t="s">
        <v>1805</v>
      </c>
      <c r="B83" s="370" t="s">
        <v>428</v>
      </c>
      <c r="C83" s="374"/>
      <c r="D83" s="372"/>
      <c r="E83" s="373"/>
      <c r="F83" s="42"/>
      <c r="G83" s="42"/>
      <c r="H83" s="971"/>
      <c r="I83" s="309"/>
      <c r="J83" s="1881"/>
      <c r="K83" s="3548" t="s">
        <v>2769</v>
      </c>
      <c r="L83" s="2703" t="s">
        <v>2770</v>
      </c>
      <c r="M83" s="2693">
        <f ca="1">IF(N69&gt;10000,N69*0.5%,IF(AND(N69&gt;1000,N69&lt;=10000),N69*1%,IF(AND(N69&gt;100,N69&lt;=1000),N69*3%,IF(AND(N69&gt;10,N69&lt;=100),N69*5%,N69*8%))))</f>
        <v>720.40499999999997</v>
      </c>
      <c r="N83" s="53">
        <f ca="1">ROUND(M83,1)</f>
        <v>720.4</v>
      </c>
      <c r="O83" s="2696"/>
      <c r="P83" s="1881"/>
      <c r="Q83" s="1881"/>
      <c r="R83" s="1881"/>
      <c r="S83" s="1881"/>
      <c r="T83" s="1881"/>
      <c r="U83" s="1881"/>
      <c r="V83" s="1881"/>
    </row>
    <row r="84" spans="1:26" ht="12.75">
      <c r="A84" s="375" t="s">
        <v>1806</v>
      </c>
      <c r="B84" s="376" t="s">
        <v>429</v>
      </c>
      <c r="C84" s="377"/>
      <c r="D84" s="378" t="s">
        <v>19</v>
      </c>
      <c r="E84" s="2721" t="s">
        <v>2819</v>
      </c>
      <c r="F84" s="42"/>
      <c r="G84" s="42"/>
      <c r="H84" s="971"/>
      <c r="I84" s="309"/>
      <c r="J84" s="1881"/>
      <c r="K84" s="3548"/>
      <c r="L84" s="2703" t="s">
        <v>2771</v>
      </c>
      <c r="M84" s="2693">
        <f ca="1">IF(N69&gt;2000,N69*0.5%,IF(AND(N69&gt;1000,N69&lt;=2000),N69*0.6%,IF(AND(N69&gt;500,N69&lt;=1000),N69*0.7%,IF(AND(N69&gt;200,N69&lt;=500),N69*0.8%,IF(AND(N69&gt;100,N69&lt;=200),N69*0.9%,IF(AND(N69&gt;50,N69&lt;=100),N69*1%,IF(AND(N69&gt;20,N69&lt;=50),N69*1.5%,IF(AND(N69&gt;10,N69&lt;=20),N69*2%,IF(AND(N69&gt;1,N69&lt;=10),N69*2.5%)))))))))</f>
        <v>720.40499999999997</v>
      </c>
      <c r="N84" s="53">
        <f t="shared" ref="N84:N85" ca="1" si="2">ROUND(M84,1)</f>
        <v>720.4</v>
      </c>
      <c r="O84" s="1881" t="s">
        <v>2772</v>
      </c>
      <c r="P84" s="1881"/>
      <c r="Q84" s="1881"/>
      <c r="R84" s="1881"/>
      <c r="S84" s="1881"/>
      <c r="T84" s="1881"/>
      <c r="U84" s="1881"/>
      <c r="V84" s="1881"/>
    </row>
    <row r="85" spans="1:26" ht="12.75">
      <c r="A85" s="375" t="s">
        <v>1807</v>
      </c>
      <c r="B85" s="376" t="s">
        <v>430</v>
      </c>
      <c r="C85" s="379">
        <f ca="1">C81-C84</f>
        <v>139172</v>
      </c>
      <c r="D85" s="372" t="s">
        <v>19</v>
      </c>
      <c r="E85" s="373"/>
      <c r="F85" s="42"/>
      <c r="G85" s="42"/>
      <c r="H85" s="971"/>
      <c r="I85" s="309"/>
      <c r="J85" s="1881"/>
      <c r="K85" s="3548"/>
      <c r="L85" s="2703" t="s">
        <v>2773</v>
      </c>
      <c r="M85" s="2693">
        <f ca="1">IF(N69&gt;1000,N69*0.1%,IF(AND(N69&gt;500,N69&lt;=1000),N69*0.5%,IF(AND(N69&gt;50,N69&lt;=500),N69*1%,IF(AND(N69&gt;1,N69&lt;=50),N69*1.5%))))</f>
        <v>144.08099999999999</v>
      </c>
      <c r="N85" s="53">
        <f t="shared" ca="1" si="2"/>
        <v>144.1</v>
      </c>
      <c r="O85" s="1881" t="s">
        <v>2772</v>
      </c>
      <c r="P85" s="1881"/>
      <c r="Q85" s="1881"/>
      <c r="R85" s="1881"/>
      <c r="S85" s="1881"/>
      <c r="T85" s="1881"/>
      <c r="U85" s="1881"/>
      <c r="V85" s="1881"/>
    </row>
    <row r="86" spans="1:26" ht="13.5" thickBot="1">
      <c r="A86" s="380" t="s">
        <v>1808</v>
      </c>
      <c r="B86" s="381" t="s">
        <v>431</v>
      </c>
      <c r="C86" s="382">
        <f ca="1">IF(C85&lt;=0,0,ROUND(C85*D86,0))</f>
        <v>7654</v>
      </c>
      <c r="D86" s="383">
        <f>'数据-取费表'!B41</f>
        <v>5.5000000000000007E-2</v>
      </c>
      <c r="E86" s="384"/>
      <c r="F86" s="42"/>
      <c r="G86" s="42"/>
      <c r="H86" s="971"/>
      <c r="I86" s="309"/>
      <c r="J86" s="1881"/>
      <c r="K86" s="3548"/>
      <c r="L86" s="2703" t="s">
        <v>2774</v>
      </c>
      <c r="M86" s="2693">
        <f ca="1">N69*0.5%</f>
        <v>720.40499999999997</v>
      </c>
      <c r="N86" s="53">
        <f ca="1">IF(M86&gt;0.5,0.5,ROUND(M86,0))</f>
        <v>0.5</v>
      </c>
      <c r="O86" s="1881" t="s">
        <v>2775</v>
      </c>
      <c r="P86" s="1881"/>
      <c r="Q86" s="1881"/>
      <c r="R86" s="1881"/>
      <c r="S86" s="1881"/>
      <c r="T86" s="1881"/>
      <c r="U86" s="1881"/>
      <c r="V86" s="1881"/>
    </row>
    <row r="87" spans="1:26" s="1188" customFormat="1" ht="14.25" customHeight="1">
      <c r="A87" s="1243"/>
      <c r="B87" s="1244"/>
      <c r="C87" s="1245"/>
      <c r="D87" s="1246"/>
      <c r="E87" s="1247"/>
      <c r="F87" s="42"/>
      <c r="G87" s="42"/>
      <c r="H87" s="971"/>
      <c r="I87" s="309"/>
      <c r="J87" s="1881"/>
      <c r="K87" s="3548"/>
      <c r="L87" s="2703" t="s">
        <v>2776</v>
      </c>
      <c r="M87" s="2693">
        <f ca="1">IF(N69&gt;=10000,(8.25+(N69-10000)*0.01%),IF(AND(N69&gt;=8000,N69&lt;10000),(7.85+(N69-8000)*0.02%),IF(AND(N69&gt;=5000,N69&lt;8000),(6.65+(N69-5000)*0.04%),IF(AND(N69&gt;=2000,N69&lt;5000),(4.25+(PN69-2000)*0.08%),IF(AND(N69&gt;=1000,N69&lt;2000),(2.75+(N69-1000)*0.15%),IF(AND(N69&gt;=100,N69&lt;1000),(0.5+(N69-100)*0.25%),IF(AND(N69&gt;0,N69&lt;100),N69*0.5%)))))))</f>
        <v>21.658100000000001</v>
      </c>
      <c r="N87" s="53">
        <f ca="1">ROUND(M87*0.9,1)</f>
        <v>19.5</v>
      </c>
      <c r="O87" s="2696"/>
      <c r="P87" s="1881"/>
      <c r="Q87" s="1881"/>
      <c r="R87" s="1881"/>
      <c r="S87" s="1881"/>
      <c r="T87" s="1881"/>
      <c r="U87" s="1881"/>
      <c r="V87" s="1881"/>
      <c r="W87" s="290"/>
      <c r="X87" s="290"/>
      <c r="Y87" s="290"/>
      <c r="Z87" s="290"/>
    </row>
    <row r="88" spans="1:26" s="1248" customFormat="1" ht="15" thickBot="1">
      <c r="A88" s="3587" t="s">
        <v>432</v>
      </c>
      <c r="B88" s="3588"/>
      <c r="C88" s="3588"/>
      <c r="D88" s="3588"/>
      <c r="E88" s="3588"/>
      <c r="F88" s="3588"/>
      <c r="G88" s="3588"/>
      <c r="H88" s="3588"/>
      <c r="I88" s="1249"/>
      <c r="J88" s="1889"/>
      <c r="K88" s="3548"/>
      <c r="L88" s="2703" t="s">
        <v>2777</v>
      </c>
      <c r="M88" s="2693">
        <f ca="1">IF(N69&gt;10000,N69*0.5%,IF(AND(N69&gt;5000,N69&lt;=10000),N69*1%,IF(AND(N69&gt;1000,N69&lt;=5000),N69*2%,IF(AND(N69&gt;200,N69&lt;=1000),N69*3%,N69*5%))))</f>
        <v>720.40499999999997</v>
      </c>
      <c r="N88" s="53">
        <f ca="1">ROUND(M88,1)</f>
        <v>720.4</v>
      </c>
      <c r="O88" s="2696"/>
      <c r="P88" s="1886"/>
      <c r="Q88" s="1886"/>
      <c r="R88" s="1886"/>
      <c r="S88" s="1886"/>
      <c r="T88" s="1886"/>
      <c r="U88" s="1886"/>
      <c r="V88" s="1886"/>
      <c r="W88" s="1890"/>
      <c r="X88" s="1890"/>
      <c r="Y88" s="1890"/>
      <c r="Z88" s="1890"/>
    </row>
    <row r="89" spans="1:26" s="1248" customFormat="1" ht="14.25">
      <c r="A89" s="3546" t="s">
        <v>423</v>
      </c>
      <c r="B89" s="3547"/>
      <c r="C89" s="962"/>
      <c r="D89" s="962" t="s">
        <v>424</v>
      </c>
      <c r="E89" s="385" t="s">
        <v>433</v>
      </c>
      <c r="F89" s="386"/>
      <c r="G89" s="386"/>
      <c r="H89" s="387"/>
      <c r="I89" s="1250"/>
      <c r="J89" s="1891"/>
      <c r="K89" s="3548"/>
      <c r="L89" s="2703" t="s">
        <v>27</v>
      </c>
      <c r="M89" s="2694"/>
      <c r="N89" s="53">
        <f ca="1">ROUND(SUM(N83:N88),0)</f>
        <v>2325</v>
      </c>
      <c r="O89" s="2704">
        <f ca="1">N89/N69</f>
        <v>1.6136756407853916E-2</v>
      </c>
      <c r="P89" s="1886"/>
      <c r="Q89" s="1886"/>
      <c r="R89" s="1886"/>
      <c r="S89" s="1886"/>
      <c r="T89" s="1886"/>
      <c r="U89" s="1886"/>
      <c r="V89" s="1886"/>
      <c r="W89" s="1890"/>
      <c r="X89" s="1890"/>
      <c r="Y89" s="1890"/>
      <c r="Z89" s="1890"/>
    </row>
    <row r="90" spans="1:26" s="1248" customFormat="1" ht="14.25">
      <c r="A90" s="375" t="s">
        <v>1803</v>
      </c>
      <c r="B90" s="376" t="s">
        <v>434</v>
      </c>
      <c r="C90" s="379">
        <f ca="1">ROUND(D63/(1+'数据-取费表'!C42),0)</f>
        <v>139172</v>
      </c>
      <c r="D90" s="372" t="s">
        <v>19</v>
      </c>
      <c r="E90" s="959"/>
      <c r="F90" s="958"/>
      <c r="G90" s="958"/>
      <c r="H90" s="388"/>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5" t="s">
        <v>1809</v>
      </c>
      <c r="B91" s="346" t="s">
        <v>435</v>
      </c>
      <c r="C91" s="379">
        <f ca="1">C92+C96</f>
        <v>696</v>
      </c>
      <c r="D91" s="372" t="s">
        <v>19</v>
      </c>
      <c r="E91" s="959"/>
      <c r="F91" s="958"/>
      <c r="G91" s="958"/>
      <c r="H91" s="388"/>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9" t="s">
        <v>1810</v>
      </c>
      <c r="B92" s="370" t="s">
        <v>436</v>
      </c>
      <c r="C92" s="372">
        <f>ROUND(IF(G95="2016年5月1日后购买",C93/(1+'数据-取费表'!C30)+C94+C95,C93+C94+C95),0)</f>
        <v>0</v>
      </c>
      <c r="D92" s="372" t="s">
        <v>19</v>
      </c>
      <c r="E92" s="959"/>
      <c r="F92" s="958"/>
      <c r="G92" s="958"/>
      <c r="H92" s="388"/>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9" t="s">
        <v>1811</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9" t="s">
        <v>1812</v>
      </c>
      <c r="B94" s="394" t="s">
        <v>440</v>
      </c>
      <c r="C94" s="372">
        <f>IF(F93="购房发票",ROUND(C93*H93*5%,0),0)</f>
        <v>0</v>
      </c>
      <c r="D94" s="395">
        <v>0.05</v>
      </c>
      <c r="E94" s="3584" t="s">
        <v>441</v>
      </c>
      <c r="F94" s="3585"/>
      <c r="G94" s="3585"/>
      <c r="H94" s="3586"/>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9" t="s">
        <v>1814</v>
      </c>
      <c r="B96" s="370" t="s">
        <v>444</v>
      </c>
      <c r="C96" s="399">
        <f ca="1">ROUND(D63*D96/(1+'数据-取费表'!C42),0)</f>
        <v>696</v>
      </c>
      <c r="D96" s="400">
        <f>'数据-取费表'!B43</f>
        <v>5.000000000000001E-3</v>
      </c>
      <c r="E96" s="3543" t="s">
        <v>2397</v>
      </c>
      <c r="F96" s="3544"/>
      <c r="G96" s="3544"/>
      <c r="H96" s="3545"/>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1815</v>
      </c>
      <c r="B97" s="376" t="s">
        <v>445</v>
      </c>
      <c r="C97" s="379">
        <f ca="1">C90-C91</f>
        <v>138476</v>
      </c>
      <c r="D97" s="372" t="s">
        <v>19</v>
      </c>
      <c r="E97" s="959"/>
      <c r="F97" s="958"/>
      <c r="G97" s="958"/>
      <c r="H97" s="388"/>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1816</v>
      </c>
      <c r="B98" s="376" t="s">
        <v>446</v>
      </c>
      <c r="C98" s="401">
        <f ca="1">IF(C97&lt;=0,0,C97/C91)</f>
        <v>198.95977011494253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8"/>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1817</v>
      </c>
      <c r="B99" s="381" t="s">
        <v>447</v>
      </c>
      <c r="C99" s="402">
        <f ca="1">ROUND(IF(C97&lt;=0,0,IF(C98&gt;=200%,C97*60%-C91*35%,IF(C98&gt;=100%,C97*50%-C91*15%,IF(C98&gt;=50%,C97*40%-C91*5%,IF(C98&lt;50%,C97*30%,0))))),0)</f>
        <v>82842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3587" t="s">
        <v>448</v>
      </c>
      <c r="B101" s="3588"/>
      <c r="C101" s="3588"/>
      <c r="D101" s="3588"/>
      <c r="E101" s="3588"/>
      <c r="F101" s="3588"/>
      <c r="G101" s="3588"/>
      <c r="H101" s="3588"/>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3546" t="s">
        <v>423</v>
      </c>
      <c r="B102" s="3547"/>
      <c r="C102" s="962"/>
      <c r="D102" s="962"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5" t="s">
        <v>1803</v>
      </c>
      <c r="B103" s="376" t="s">
        <v>434</v>
      </c>
      <c r="C103" s="379">
        <f ca="1">ROUND(D63/(1+'数据-取费表'!C42),0)</f>
        <v>139172</v>
      </c>
      <c r="D103" s="372" t="s">
        <v>19</v>
      </c>
      <c r="E103" s="959"/>
      <c r="F103" s="958"/>
      <c r="G103" s="958"/>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5" t="s">
        <v>1809</v>
      </c>
      <c r="B104" s="346" t="s">
        <v>435</v>
      </c>
      <c r="C104" s="379">
        <f ca="1">IF(H106="仅含出让金",C105+C108+C109+C110+C111+C112,C105+C109+C110+C111+C112)</f>
        <v>696</v>
      </c>
      <c r="D104" s="409"/>
      <c r="E104" s="959"/>
      <c r="F104" s="958"/>
      <c r="G104" s="958"/>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9" t="s">
        <v>1810</v>
      </c>
      <c r="B105" s="370" t="s">
        <v>449</v>
      </c>
      <c r="C105" s="399">
        <f>C106+C107</f>
        <v>0</v>
      </c>
      <c r="D105" s="400"/>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9" t="s">
        <v>1811</v>
      </c>
      <c r="B106" s="370" t="s">
        <v>450</v>
      </c>
      <c r="C106" s="410"/>
      <c r="D106" s="400"/>
      <c r="E106" s="411" t="s">
        <v>451</v>
      </c>
      <c r="F106" s="954"/>
      <c r="G106" s="412" t="s">
        <v>452</v>
      </c>
      <c r="H106" s="413"/>
      <c r="I106" s="11"/>
      <c r="J106" s="1886"/>
      <c r="K106" s="3176" t="s">
        <v>2900</v>
      </c>
      <c r="L106" s="1886"/>
      <c r="M106" s="1886"/>
      <c r="N106" s="1886"/>
      <c r="O106" s="1886"/>
      <c r="P106" s="1886"/>
      <c r="Q106" s="1886"/>
      <c r="R106" s="1886"/>
      <c r="S106" s="1886"/>
      <c r="T106" s="1886"/>
      <c r="U106" s="1886"/>
      <c r="V106" s="1886"/>
      <c r="W106" s="1890"/>
      <c r="X106" s="1890"/>
      <c r="Y106" s="1890"/>
      <c r="Z106" s="1890"/>
    </row>
    <row r="107" spans="1:26" s="1248" customFormat="1" ht="14.25">
      <c r="A107" s="389" t="s">
        <v>1812</v>
      </c>
      <c r="B107" s="370" t="s">
        <v>442</v>
      </c>
      <c r="C107" s="399">
        <f>ROUND(C106*D107,0)</f>
        <v>0</v>
      </c>
      <c r="D107" s="400">
        <f>'数据-取费表'!B48+'数据-取费表'!B49</f>
        <v>3.0499999999999999E-2</v>
      </c>
      <c r="E107" s="411"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9" t="s">
        <v>1814</v>
      </c>
      <c r="B108" s="370" t="s">
        <v>454</v>
      </c>
      <c r="C108" s="410"/>
      <c r="D108" s="400"/>
      <c r="E108" s="411" t="str">
        <f>IF(H106="-","土地取得成本中已包含该笔费用"," ")</f>
        <v xml:space="preserve"> </v>
      </c>
      <c r="F108" s="954"/>
      <c r="G108" s="3599" t="s">
        <v>2872</v>
      </c>
      <c r="H108" s="3600"/>
      <c r="I108" s="2793"/>
      <c r="J108" s="1886"/>
      <c r="K108" s="3176" t="s">
        <v>2901</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1818</v>
      </c>
      <c r="B109" s="370" t="s">
        <v>455</v>
      </c>
      <c r="C109" s="399">
        <f>IF(H109="——",IF(F1="现房",'剩余法-现房'!C18,0),I109)</f>
        <v>0</v>
      </c>
      <c r="D109" s="400"/>
      <c r="E109" s="3577" t="s">
        <v>456</v>
      </c>
      <c r="F109" s="3544"/>
      <c r="G109" s="3544"/>
      <c r="H109" s="1826" t="s">
        <v>932</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1819</v>
      </c>
      <c r="B110" s="370" t="s">
        <v>457</v>
      </c>
      <c r="C110" s="399">
        <f>ROUND((C105+C108+C109)*D110,0)</f>
        <v>0</v>
      </c>
      <c r="D110" s="3207">
        <v>0</v>
      </c>
      <c r="E110" s="3577" t="s">
        <v>458</v>
      </c>
      <c r="F110" s="3544"/>
      <c r="G110" s="3544"/>
      <c r="H110" s="3545"/>
      <c r="I110" s="11"/>
      <c r="J110" s="1886"/>
      <c r="K110" s="3177" t="s">
        <v>2902</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1820</v>
      </c>
      <c r="B111" s="370" t="s">
        <v>444</v>
      </c>
      <c r="C111" s="399">
        <f ca="1">ROUND(D63*D111/(1+'数据-取费表'!C42),0)</f>
        <v>696</v>
      </c>
      <c r="D111" s="400">
        <f>'数据-取费表'!B43</f>
        <v>5.000000000000001E-3</v>
      </c>
      <c r="E111" s="3543" t="s">
        <v>2397</v>
      </c>
      <c r="F111" s="3544"/>
      <c r="G111" s="3544"/>
      <c r="H111" s="3545"/>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1821</v>
      </c>
      <c r="B112" s="370" t="s">
        <v>459</v>
      </c>
      <c r="C112" s="399">
        <f>ROUND(C108*D112,0)</f>
        <v>0</v>
      </c>
      <c r="D112" s="400">
        <v>0.2</v>
      </c>
      <c r="E112" s="3577" t="s">
        <v>2416</v>
      </c>
      <c r="F112" s="3544"/>
      <c r="G112" s="3544"/>
      <c r="H112" s="3545"/>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1815</v>
      </c>
      <c r="B113" s="376" t="s">
        <v>445</v>
      </c>
      <c r="C113" s="379">
        <f ca="1">ROUND(C103-C104,0)</f>
        <v>138476</v>
      </c>
      <c r="D113" s="372" t="s">
        <v>19</v>
      </c>
      <c r="E113" s="959"/>
      <c r="F113" s="958"/>
      <c r="G113" s="958"/>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1816</v>
      </c>
      <c r="B114" s="376" t="s">
        <v>446</v>
      </c>
      <c r="C114" s="401">
        <f ca="1">IF(C113&lt;=0,0,C113/C104)</f>
        <v>198.95977011494253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1817</v>
      </c>
      <c r="B115" s="381" t="s">
        <v>447</v>
      </c>
      <c r="C115" s="402">
        <f ca="1">ROUND(IF(C113&lt;=0,0,IF(C114&gt;=200%,C113*60%-C104*35%,IF(C114&gt;=100%,C113*50%-C104*15%,IF(C114&gt;=50%,C113*40%-C104*5%,IF(C114&lt;50%,C113*30%,0))))),0)</f>
        <v>82842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49" sqref="M49"/>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2"/>
      <c r="M1" s="3143"/>
      <c r="N1" s="3143"/>
      <c r="O1" s="3143"/>
      <c r="P1" s="1984"/>
      <c r="Q1" s="1984"/>
      <c r="R1" s="1984"/>
      <c r="S1" s="1984"/>
      <c r="T1" s="1984"/>
      <c r="U1" s="1984"/>
      <c r="V1" s="1984"/>
      <c r="W1" s="1984"/>
      <c r="X1" s="1984"/>
      <c r="Y1" s="1984"/>
      <c r="Z1" s="1984"/>
      <c r="AA1" s="1984"/>
      <c r="AB1" s="1984"/>
      <c r="AC1" s="3144"/>
      <c r="AD1" s="1261"/>
    </row>
    <row r="2" spans="1:30" s="1262" customFormat="1" ht="28.5" customHeight="1">
      <c r="A2" s="417" t="s">
        <v>461</v>
      </c>
      <c r="B2" s="485">
        <f>F68</f>
        <v>147082</v>
      </c>
      <c r="C2" s="3152"/>
      <c r="D2" s="3152"/>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c r="AD2" s="1261"/>
    </row>
    <row r="3" spans="1:30" s="1262" customFormat="1" ht="28.5" customHeight="1">
      <c r="A3" s="1303" t="s">
        <v>1664</v>
      </c>
      <c r="B3" s="487">
        <f>ROUND(B2*10000/'数据-汇总表'!E3,0)</f>
        <v>23389</v>
      </c>
      <c r="C3" s="3153"/>
      <c r="D3" s="3157"/>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3145"/>
      <c r="AC3" s="1914"/>
    </row>
    <row r="4" spans="1:30" s="1262" customFormat="1" ht="28.5" customHeight="1">
      <c r="A4" s="488" t="s">
        <v>503</v>
      </c>
      <c r="B4" s="421">
        <f>IF(B48="单位面积地价",C50,ROUND(B2*10000/'数据-汇总表'!D3,0))</f>
        <v>70722</v>
      </c>
      <c r="C4" s="3153"/>
      <c r="D4" s="3157"/>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30" s="1262" customFormat="1" ht="28.5" customHeight="1" thickBot="1">
      <c r="A5" s="423"/>
      <c r="B5" s="424">
        <f>ROUND(B2/('数据-汇总表'!D3/666.67),0)</f>
        <v>4715</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1984"/>
      <c r="AC5" s="1914"/>
    </row>
    <row r="6" spans="1:30" ht="20.25">
      <c r="A6" s="489" t="s">
        <v>504</v>
      </c>
      <c r="B6" s="490"/>
      <c r="C6" s="3638" t="s">
        <v>505</v>
      </c>
      <c r="D6" s="3639"/>
      <c r="E6" s="3638" t="s">
        <v>506</v>
      </c>
      <c r="F6" s="3639"/>
      <c r="G6" s="3638" t="s">
        <v>507</v>
      </c>
      <c r="H6" s="3639"/>
      <c r="I6" s="3638" t="s">
        <v>508</v>
      </c>
      <c r="J6" s="3639"/>
      <c r="K6" s="491" t="s">
        <v>509</v>
      </c>
      <c r="L6" s="1985"/>
      <c r="M6" s="1984"/>
      <c r="N6" s="1984"/>
      <c r="O6" s="1986"/>
      <c r="P6" s="3640" t="s">
        <v>510</v>
      </c>
      <c r="Q6" s="3641"/>
      <c r="R6" s="3626" t="s">
        <v>506</v>
      </c>
      <c r="S6" s="3627"/>
      <c r="T6" s="3626" t="s">
        <v>507</v>
      </c>
      <c r="U6" s="3627"/>
      <c r="V6" s="3646" t="s">
        <v>508</v>
      </c>
      <c r="W6" s="3646"/>
      <c r="X6" s="1474"/>
      <c r="Y6" s="3626" t="s">
        <v>510</v>
      </c>
      <c r="Z6" s="3627"/>
      <c r="AA6" s="3621" t="s">
        <v>506</v>
      </c>
      <c r="AB6" s="3622" t="s">
        <v>507</v>
      </c>
      <c r="AC6" s="3621" t="s">
        <v>508</v>
      </c>
    </row>
    <row r="7" spans="1:30" ht="48" customHeight="1">
      <c r="A7" s="492"/>
      <c r="B7" s="493"/>
      <c r="C7" s="3649" t="str">
        <f>项目基本情况!F10</f>
        <v>北京经济技术开发区亦庄新城0510街区YZ00-0510-0017地块R2二类居住用地</v>
      </c>
      <c r="D7" s="3650"/>
      <c r="E7" s="3649" t="str">
        <f>土地案例!A2</f>
        <v xml:space="preserve">北京经济技术开发区路东区E9R3、E9R4地块R2二类居住用地    </v>
      </c>
      <c r="F7" s="3650"/>
      <c r="G7" s="3649" t="str">
        <f>土地案例!A3</f>
        <v>北京经济技术开发区路东区E9R2、E9A2地块R2二类居住用地、A33基础教育用地台湖</v>
      </c>
      <c r="H7" s="3650"/>
      <c r="I7" s="3649" t="str">
        <f>土地案例!A4</f>
        <v>北京市大兴区地铁亦庄线旧宫东站2号地项目DX05-0102-6003、6004、6005地块R2居住用地、A334基础教育用地及S1城市道路用地旧宫</v>
      </c>
      <c r="J7" s="3650"/>
      <c r="K7" s="491"/>
      <c r="L7" s="1985"/>
      <c r="M7" s="1984"/>
      <c r="N7" s="1984"/>
      <c r="O7" s="1986"/>
      <c r="P7" s="3642"/>
      <c r="Q7" s="3643"/>
      <c r="R7" s="3628"/>
      <c r="S7" s="3629"/>
      <c r="T7" s="3628"/>
      <c r="U7" s="3629"/>
      <c r="V7" s="3646"/>
      <c r="W7" s="3646"/>
      <c r="X7" s="1474"/>
      <c r="Y7" s="3628"/>
      <c r="Z7" s="3629"/>
      <c r="AA7" s="3622"/>
      <c r="AB7" s="3622"/>
      <c r="AC7" s="3622"/>
    </row>
    <row r="8" spans="1:30" ht="21" thickBot="1">
      <c r="A8" s="492"/>
      <c r="B8" s="493"/>
      <c r="C8" s="3651" t="s">
        <v>2812</v>
      </c>
      <c r="D8" s="3652"/>
      <c r="E8" s="3651" t="s">
        <v>2812</v>
      </c>
      <c r="F8" s="3652"/>
      <c r="G8" s="3647" t="s">
        <v>2812</v>
      </c>
      <c r="H8" s="3648"/>
      <c r="I8" s="3647" t="s">
        <v>2812</v>
      </c>
      <c r="J8" s="3648"/>
      <c r="K8" s="491" t="s">
        <v>511</v>
      </c>
      <c r="L8" s="1985"/>
      <c r="M8" s="1984"/>
      <c r="N8" s="1984"/>
      <c r="O8" s="1986"/>
      <c r="P8" s="3644"/>
      <c r="Q8" s="3645"/>
      <c r="R8" s="3628"/>
      <c r="S8" s="3629"/>
      <c r="T8" s="3630"/>
      <c r="U8" s="3631"/>
      <c r="V8" s="3646"/>
      <c r="W8" s="3646"/>
      <c r="X8" s="1474"/>
      <c r="Y8" s="3630"/>
      <c r="Z8" s="3631"/>
      <c r="AA8" s="3623"/>
      <c r="AB8" s="3623"/>
      <c r="AC8" s="3623"/>
    </row>
    <row r="9" spans="1:30" s="1183" customFormat="1" ht="21" thickBot="1">
      <c r="A9" s="2567"/>
      <c r="B9" s="2574" t="s">
        <v>512</v>
      </c>
      <c r="C9" s="2566">
        <f>'数据-取费表'!B2</f>
        <v>44649</v>
      </c>
      <c r="D9" s="497">
        <v>100</v>
      </c>
      <c r="E9" s="498">
        <f>土地案例!J2</f>
        <v>43782.000497685185</v>
      </c>
      <c r="F9" s="499">
        <f>SUMIF(72:72,YEAR(E9)&amp;"-"&amp;INT((MONTH(E9)+2)/3),73:73)</f>
        <v>91</v>
      </c>
      <c r="G9" s="500">
        <f>土地案例!J3</f>
        <v>43782</v>
      </c>
      <c r="H9" s="497">
        <f>SUMIF(72:72,YEAR(G9)&amp;"-"&amp;INT((MONTH(G9)+2)/3),73:73)</f>
        <v>91</v>
      </c>
      <c r="I9" s="500">
        <f>土地案例!J4</f>
        <v>43753</v>
      </c>
      <c r="J9" s="497">
        <f>SUMIF(72:72,YEAR(I9)&amp;"-"&amp;INT((MONTH(I9)+2)/3),73:73)</f>
        <v>91</v>
      </c>
      <c r="K9" s="501"/>
      <c r="L9" s="1987"/>
      <c r="M9" s="1984"/>
      <c r="N9" s="1984"/>
      <c r="O9" s="1988"/>
      <c r="P9" s="3624" t="s">
        <v>513</v>
      </c>
      <c r="Q9" s="3633"/>
      <c r="R9" s="1475" t="s">
        <v>8</v>
      </c>
      <c r="S9" s="1476">
        <f t="shared" ref="S9:S17" si="0">F9</f>
        <v>91</v>
      </c>
      <c r="T9" s="1475" t="s">
        <v>8</v>
      </c>
      <c r="U9" s="1476">
        <f t="shared" ref="U9:U17" si="1">H9</f>
        <v>91</v>
      </c>
      <c r="V9" s="1475" t="s">
        <v>8</v>
      </c>
      <c r="W9" s="1476">
        <f t="shared" ref="W9:W17" si="2">J9</f>
        <v>91</v>
      </c>
      <c r="X9" s="1477"/>
      <c r="Y9" s="3624" t="s">
        <v>513</v>
      </c>
      <c r="Z9" s="3625"/>
      <c r="AA9" s="1478">
        <f>D9/F9</f>
        <v>1.098901098901099</v>
      </c>
      <c r="AB9" s="1478">
        <f>D9/H9</f>
        <v>1.098901098901099</v>
      </c>
      <c r="AC9" s="1478">
        <f>D9/J9</f>
        <v>1.098901098901099</v>
      </c>
    </row>
    <row r="10" spans="1:30" s="1183" customFormat="1" ht="21" thickBot="1">
      <c r="A10" s="2568"/>
      <c r="B10" s="2575"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87"/>
      <c r="M10" s="1984"/>
      <c r="N10" s="1984"/>
      <c r="O10" s="1988"/>
      <c r="P10" s="3624" t="s">
        <v>516</v>
      </c>
      <c r="Q10" s="3625"/>
      <c r="R10" s="1475" t="s">
        <v>8</v>
      </c>
      <c r="S10" s="1476">
        <f t="shared" si="0"/>
        <v>100</v>
      </c>
      <c r="T10" s="1475" t="s">
        <v>8</v>
      </c>
      <c r="U10" s="1476">
        <f t="shared" si="1"/>
        <v>100</v>
      </c>
      <c r="V10" s="1475" t="s">
        <v>8</v>
      </c>
      <c r="W10" s="1476">
        <f t="shared" si="2"/>
        <v>100</v>
      </c>
      <c r="X10" s="1477"/>
      <c r="Y10" s="3624" t="s">
        <v>516</v>
      </c>
      <c r="Z10" s="3625"/>
      <c r="AA10" s="1478">
        <f t="shared" ref="AA10:AA47" si="3">D10/F10</f>
        <v>1</v>
      </c>
      <c r="AB10" s="1478">
        <f t="shared" ref="AB10:AB47" si="4">D10/H10</f>
        <v>1</v>
      </c>
      <c r="AC10" s="1478">
        <f t="shared" ref="AC10:AC47" si="5">D10/J10</f>
        <v>1</v>
      </c>
    </row>
    <row r="11" spans="1:30" s="1183" customFormat="1" ht="20.25">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87"/>
      <c r="M11" s="1984"/>
      <c r="N11" s="1984"/>
      <c r="O11" s="1989"/>
      <c r="P11" s="3632" t="s">
        <v>518</v>
      </c>
      <c r="Q11" s="1114" t="str">
        <f t="shared" ref="Q11:Q17" si="6">B11</f>
        <v>用途</v>
      </c>
      <c r="R11" s="1475" t="s">
        <v>8</v>
      </c>
      <c r="S11" s="1476">
        <f t="shared" si="0"/>
        <v>100</v>
      </c>
      <c r="T11" s="1475" t="s">
        <v>8</v>
      </c>
      <c r="U11" s="1476">
        <f t="shared" si="1"/>
        <v>100</v>
      </c>
      <c r="V11" s="1475" t="s">
        <v>8</v>
      </c>
      <c r="W11" s="1476">
        <f t="shared" si="2"/>
        <v>100</v>
      </c>
      <c r="X11" s="1477"/>
      <c r="Y11" s="3583" t="s">
        <v>519</v>
      </c>
      <c r="Z11" s="1113" t="str">
        <f t="shared" ref="Z11:Z17" si="7">Q11</f>
        <v>用途</v>
      </c>
      <c r="AA11" s="1478">
        <f t="shared" si="3"/>
        <v>1</v>
      </c>
      <c r="AB11" s="1478">
        <f t="shared" si="4"/>
        <v>1</v>
      </c>
      <c r="AC11" s="1478">
        <f t="shared" si="5"/>
        <v>1</v>
      </c>
    </row>
    <row r="12" spans="1:30" s="1264" customFormat="1" ht="27">
      <c r="A12" s="2570"/>
      <c r="B12" s="2575" t="s">
        <v>2656</v>
      </c>
      <c r="C12" s="879">
        <v>70</v>
      </c>
      <c r="D12" s="253">
        <v>100</v>
      </c>
      <c r="E12" s="879">
        <v>70</v>
      </c>
      <c r="F12" s="253">
        <f>ROUND(100/'数据-取费表'!G16,0)</f>
        <v>100</v>
      </c>
      <c r="G12" s="879">
        <v>70</v>
      </c>
      <c r="H12" s="253">
        <f>ROUND(100/'数据-取费表'!G16,0)</f>
        <v>100</v>
      </c>
      <c r="I12" s="879">
        <v>70</v>
      </c>
      <c r="J12" s="253">
        <f>ROUND(100/'数据-取费表'!G16,0)</f>
        <v>100</v>
      </c>
      <c r="K12" s="508"/>
      <c r="L12" s="1990"/>
      <c r="M12" s="1984"/>
      <c r="N12" s="1984"/>
      <c r="O12" s="1991"/>
      <c r="P12" s="3632"/>
      <c r="Q12" s="1114" t="str">
        <f t="shared" si="6"/>
        <v>土地使用年限（年）</v>
      </c>
      <c r="R12" s="1475" t="s">
        <v>8</v>
      </c>
      <c r="S12" s="1476">
        <f t="shared" si="0"/>
        <v>100</v>
      </c>
      <c r="T12" s="1475" t="s">
        <v>8</v>
      </c>
      <c r="U12" s="1476">
        <f t="shared" si="1"/>
        <v>100</v>
      </c>
      <c r="V12" s="1475" t="s">
        <v>8</v>
      </c>
      <c r="W12" s="1476">
        <f t="shared" si="2"/>
        <v>100</v>
      </c>
      <c r="X12" s="1477"/>
      <c r="Y12" s="3583"/>
      <c r="Z12" s="1113" t="str">
        <f t="shared" si="7"/>
        <v>土地使用年限（年）</v>
      </c>
      <c r="AA12" s="1478">
        <f t="shared" si="3"/>
        <v>1</v>
      </c>
      <c r="AB12" s="1478">
        <f t="shared" si="4"/>
        <v>1</v>
      </c>
      <c r="AC12" s="1478">
        <f t="shared" si="5"/>
        <v>1</v>
      </c>
    </row>
    <row r="13" spans="1:30" ht="20.25">
      <c r="A13" s="2571"/>
      <c r="B13" s="2575" t="s">
        <v>2657</v>
      </c>
      <c r="C13" s="511">
        <v>2</v>
      </c>
      <c r="D13" s="253">
        <v>100</v>
      </c>
      <c r="E13" s="510">
        <v>2.8</v>
      </c>
      <c r="F13" s="253">
        <f>LOOKUP(E13,82:82,83:83)-LOOKUP(C13,82:82,83:83)+100</f>
        <v>99</v>
      </c>
      <c r="G13" s="511">
        <v>2.8</v>
      </c>
      <c r="H13" s="253">
        <f>LOOKUP(G13,82:82,83:83)-LOOKUP(C13,82:82,83:83)+100</f>
        <v>99</v>
      </c>
      <c r="I13" s="510">
        <v>2.5</v>
      </c>
      <c r="J13" s="253">
        <f>LOOKUP(I13,82:82,83:83)-LOOKUP(C13,82:82,83:83)+100</f>
        <v>99</v>
      </c>
      <c r="K13" s="512">
        <v>1</v>
      </c>
      <c r="L13" s="1992"/>
      <c r="M13" s="1984"/>
      <c r="N13" s="1984"/>
      <c r="O13" s="1993"/>
      <c r="P13" s="3632"/>
      <c r="Q13" s="1114" t="str">
        <f t="shared" si="6"/>
        <v>容积率</v>
      </c>
      <c r="R13" s="1475" t="s">
        <v>8</v>
      </c>
      <c r="S13" s="1476">
        <f t="shared" si="0"/>
        <v>99</v>
      </c>
      <c r="T13" s="1475" t="s">
        <v>8</v>
      </c>
      <c r="U13" s="1476">
        <f t="shared" si="1"/>
        <v>99</v>
      </c>
      <c r="V13" s="1475" t="s">
        <v>8</v>
      </c>
      <c r="W13" s="1476">
        <f t="shared" si="2"/>
        <v>99</v>
      </c>
      <c r="X13" s="1477"/>
      <c r="Y13" s="3583"/>
      <c r="Z13" s="1113" t="str">
        <f t="shared" si="7"/>
        <v>容积率</v>
      </c>
      <c r="AA13" s="1478">
        <f t="shared" si="3"/>
        <v>1.0101010101010102</v>
      </c>
      <c r="AB13" s="1478">
        <f t="shared" si="4"/>
        <v>1.0101010101010102</v>
      </c>
      <c r="AC13" s="1478">
        <f t="shared" si="5"/>
        <v>1.0101010101010102</v>
      </c>
    </row>
    <row r="14" spans="1:30" s="1183" customFormat="1" ht="21" thickBot="1">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7"/>
      <c r="M14" s="1984"/>
      <c r="N14" s="1984"/>
      <c r="O14" s="1989"/>
      <c r="P14" s="3632"/>
      <c r="Q14" s="1114" t="str">
        <f t="shared" si="6"/>
        <v>配建</v>
      </c>
      <c r="R14" s="1475" t="s">
        <v>8</v>
      </c>
      <c r="S14" s="1476">
        <f t="shared" si="0"/>
        <v>100</v>
      </c>
      <c r="T14" s="1475" t="s">
        <v>8</v>
      </c>
      <c r="U14" s="1476">
        <f t="shared" si="1"/>
        <v>100</v>
      </c>
      <c r="V14" s="1475" t="s">
        <v>8</v>
      </c>
      <c r="W14" s="1476">
        <f t="shared" si="2"/>
        <v>100</v>
      </c>
      <c r="X14" s="1477"/>
      <c r="Y14" s="3583"/>
      <c r="Z14" s="1113" t="str">
        <f t="shared" si="7"/>
        <v>配建</v>
      </c>
      <c r="AA14" s="1478">
        <f>D14/F14</f>
        <v>1</v>
      </c>
      <c r="AB14" s="1478">
        <f>D14/H14</f>
        <v>1</v>
      </c>
      <c r="AC14" s="1478">
        <f>D14/J14</f>
        <v>1</v>
      </c>
    </row>
    <row r="15" spans="1:30" ht="20.25" hidden="1">
      <c r="A15" s="2572"/>
      <c r="B15" s="2578">
        <v>111</v>
      </c>
      <c r="C15" s="881"/>
      <c r="D15" s="517">
        <v>100</v>
      </c>
      <c r="E15" s="518"/>
      <c r="F15" s="253">
        <f>SUMIF(86:86,E15,87:87)-SUMIF(86:86,C15,87:87)+100</f>
        <v>100</v>
      </c>
      <c r="G15" s="519"/>
      <c r="H15" s="517">
        <f>SUMIF(86:86,G15,87:87)-SUMIF(86:86,C15,87:87)+100</f>
        <v>100</v>
      </c>
      <c r="I15" s="519"/>
      <c r="J15" s="517">
        <f>SUMIF(86:86,I15,87:87)-SUMIF(86:86,C15,87:87)+100</f>
        <v>100</v>
      </c>
      <c r="K15" s="508"/>
      <c r="L15" s="1994"/>
      <c r="M15" s="1984"/>
      <c r="N15" s="1984"/>
      <c r="O15" s="1993"/>
      <c r="P15" s="3632"/>
      <c r="Q15" s="1114">
        <f t="shared" si="6"/>
        <v>111</v>
      </c>
      <c r="R15" s="1475" t="s">
        <v>8</v>
      </c>
      <c r="S15" s="1476">
        <f t="shared" si="0"/>
        <v>100</v>
      </c>
      <c r="T15" s="1475" t="s">
        <v>8</v>
      </c>
      <c r="U15" s="1476">
        <f t="shared" si="1"/>
        <v>100</v>
      </c>
      <c r="V15" s="1475" t="s">
        <v>8</v>
      </c>
      <c r="W15" s="1476">
        <f t="shared" si="2"/>
        <v>100</v>
      </c>
      <c r="X15" s="1477"/>
      <c r="Y15" s="3583"/>
      <c r="Z15" s="1113">
        <f t="shared" si="7"/>
        <v>111</v>
      </c>
      <c r="AA15" s="1478">
        <f>D15/F15</f>
        <v>1</v>
      </c>
      <c r="AB15" s="1478">
        <f>D15/H15</f>
        <v>1</v>
      </c>
      <c r="AC15" s="1478">
        <f>D15/J15</f>
        <v>1</v>
      </c>
    </row>
    <row r="16" spans="1:30" ht="21" hidden="1" thickBot="1">
      <c r="A16" s="2573"/>
      <c r="B16" s="2579">
        <v>111</v>
      </c>
      <c r="C16" s="884"/>
      <c r="D16" s="523">
        <v>100</v>
      </c>
      <c r="E16" s="518"/>
      <c r="F16" s="523">
        <f>SUMIF(88:88,E16,89:89)-SUMIF(88:88,C16,89:89)+100</f>
        <v>100</v>
      </c>
      <c r="G16" s="519"/>
      <c r="H16" s="523">
        <f>SUMIF(88:88,G16,89:89)-SUMIF(88:88,C16,89:89)+100</f>
        <v>100</v>
      </c>
      <c r="I16" s="519"/>
      <c r="J16" s="523">
        <f>SUMIF(88:88,I16,89:89)-SUMIF(88:88,C16,89:89)+100</f>
        <v>100</v>
      </c>
      <c r="K16" s="508"/>
      <c r="L16" s="1994"/>
      <c r="M16" s="1984"/>
      <c r="N16" s="1984"/>
      <c r="O16" s="1993"/>
      <c r="P16" s="3632"/>
      <c r="Q16" s="1114">
        <f t="shared" si="6"/>
        <v>111</v>
      </c>
      <c r="R16" s="1475" t="s">
        <v>8</v>
      </c>
      <c r="S16" s="1476">
        <f t="shared" si="0"/>
        <v>100</v>
      </c>
      <c r="T16" s="1475" t="s">
        <v>8</v>
      </c>
      <c r="U16" s="1476">
        <f t="shared" si="1"/>
        <v>100</v>
      </c>
      <c r="V16" s="1475" t="s">
        <v>8</v>
      </c>
      <c r="W16" s="1476">
        <f t="shared" si="2"/>
        <v>100</v>
      </c>
      <c r="X16" s="1477"/>
      <c r="Y16" s="3583"/>
      <c r="Z16" s="1113">
        <f t="shared" si="7"/>
        <v>111</v>
      </c>
      <c r="AA16" s="1478">
        <f>D16/F16</f>
        <v>1</v>
      </c>
      <c r="AB16" s="1478">
        <f>D16/H16</f>
        <v>1</v>
      </c>
      <c r="AC16" s="1478">
        <f>D16/J16</f>
        <v>1</v>
      </c>
    </row>
    <row r="17" spans="1:29" ht="20.25">
      <c r="A17" s="2565" t="s">
        <v>2653</v>
      </c>
      <c r="B17" s="555" t="s">
        <v>295</v>
      </c>
      <c r="C17" s="525" t="str">
        <f>估价对象房地状况!C15</f>
        <v>一般</v>
      </c>
      <c r="D17" s="528">
        <v>100</v>
      </c>
      <c r="E17" s="529" t="s">
        <v>3261</v>
      </c>
      <c r="F17" s="526">
        <f>SUMIF(90:90,E18,91:91)-SUMIF(90:90,C18,91:91)+100</f>
        <v>100</v>
      </c>
      <c r="G17" s="529" t="s">
        <v>3261</v>
      </c>
      <c r="H17" s="526">
        <f>SUMIF(90:90,G18,91:91)-SUMIF(90:90,C18,91:91)+100</f>
        <v>100</v>
      </c>
      <c r="I17" s="529" t="s">
        <v>3261</v>
      </c>
      <c r="J17" s="526">
        <f>SUMIF(90:90,I18,91:91)-SUMIF(90:90,C18,91:91)+100</f>
        <v>101</v>
      </c>
      <c r="K17" s="512">
        <v>1</v>
      </c>
      <c r="L17" s="1994"/>
      <c r="M17" s="1984"/>
      <c r="N17" s="1984"/>
      <c r="O17" s="1993"/>
      <c r="P17" s="3634" t="s">
        <v>523</v>
      </c>
      <c r="Q17" s="1479" t="str">
        <f t="shared" si="6"/>
        <v>居住社区成熟度</v>
      </c>
      <c r="R17" s="1480" t="s">
        <v>8</v>
      </c>
      <c r="S17" s="1481">
        <f t="shared" si="0"/>
        <v>100</v>
      </c>
      <c r="T17" s="1480" t="s">
        <v>8</v>
      </c>
      <c r="U17" s="1481">
        <f t="shared" si="1"/>
        <v>100</v>
      </c>
      <c r="V17" s="1480" t="s">
        <v>8</v>
      </c>
      <c r="W17" s="1481">
        <f t="shared" si="2"/>
        <v>101</v>
      </c>
      <c r="X17" s="1474"/>
      <c r="Y17" s="3634" t="s">
        <v>523</v>
      </c>
      <c r="Z17" s="1482" t="str">
        <f t="shared" si="7"/>
        <v>居住社区成熟度</v>
      </c>
      <c r="AA17" s="1483">
        <f t="shared" si="3"/>
        <v>1</v>
      </c>
      <c r="AB17" s="1483">
        <f t="shared" si="4"/>
        <v>1</v>
      </c>
      <c r="AC17" s="1483">
        <f t="shared" si="5"/>
        <v>0.99009900990099009</v>
      </c>
    </row>
    <row r="18" spans="1:29" ht="20.25">
      <c r="A18" s="509"/>
      <c r="B18" s="530"/>
      <c r="C18" s="531" t="s">
        <v>3262</v>
      </c>
      <c r="D18" s="534"/>
      <c r="E18" s="531" t="s">
        <v>3262</v>
      </c>
      <c r="F18" s="532"/>
      <c r="G18" s="531" t="s">
        <v>3262</v>
      </c>
      <c r="H18" s="536"/>
      <c r="I18" s="535" t="s">
        <v>3261</v>
      </c>
      <c r="J18" s="532"/>
      <c r="K18" s="508"/>
      <c r="L18" s="1994"/>
      <c r="M18" s="1984"/>
      <c r="N18" s="1984"/>
      <c r="O18" s="1993"/>
      <c r="P18" s="3635"/>
      <c r="Q18" s="1479"/>
      <c r="R18" s="1480"/>
      <c r="S18" s="1481"/>
      <c r="T18" s="1480"/>
      <c r="U18" s="1481"/>
      <c r="V18" s="1480"/>
      <c r="W18" s="1481"/>
      <c r="X18" s="1474"/>
      <c r="Y18" s="3635"/>
      <c r="Z18" s="1482"/>
      <c r="AA18" s="1483">
        <v>1</v>
      </c>
      <c r="AB18" s="1483">
        <v>1</v>
      </c>
      <c r="AC18" s="1483">
        <v>1</v>
      </c>
    </row>
    <row r="19" spans="1:29" ht="20.25" hidden="1">
      <c r="A19" s="509"/>
      <c r="B19" s="537" t="s">
        <v>524</v>
      </c>
      <c r="C19" s="538" t="str">
        <f>估价对象房地状况!C16</f>
        <v>一般</v>
      </c>
      <c r="D19" s="540">
        <v>100</v>
      </c>
      <c r="E19" s="541" t="s">
        <v>3262</v>
      </c>
      <c r="F19" s="536">
        <f>SUMIF(92:92,E20,93:93)-SUMIF(92:92,C20,93:93)+100</f>
        <v>100</v>
      </c>
      <c r="G19" s="541" t="s">
        <v>3262</v>
      </c>
      <c r="H19" s="542">
        <f>SUMIF(92:92,G20,93:93)-SUMIF(92:92,C20,93:93)+100</f>
        <v>100</v>
      </c>
      <c r="I19" s="541" t="s">
        <v>3262</v>
      </c>
      <c r="J19" s="542">
        <f>SUMIF(92:92,I20,93:93)-SUMIF(92:92,C20,93:93)+100</f>
        <v>100</v>
      </c>
      <c r="K19" s="512"/>
      <c r="L19" s="1994"/>
      <c r="M19" s="1984"/>
      <c r="N19" s="1984"/>
      <c r="O19" s="1993"/>
      <c r="P19" s="3635"/>
      <c r="Q19" s="1479" t="str">
        <f>B19</f>
        <v>商业繁华度</v>
      </c>
      <c r="R19" s="1480" t="s">
        <v>8</v>
      </c>
      <c r="S19" s="1481">
        <f>F19</f>
        <v>100</v>
      </c>
      <c r="T19" s="1480" t="s">
        <v>8</v>
      </c>
      <c r="U19" s="1481">
        <f>H19</f>
        <v>100</v>
      </c>
      <c r="V19" s="1480" t="s">
        <v>8</v>
      </c>
      <c r="W19" s="1481">
        <f>J19</f>
        <v>100</v>
      </c>
      <c r="X19" s="1474"/>
      <c r="Y19" s="3635"/>
      <c r="Z19" s="1482" t="str">
        <f>Q19</f>
        <v>商业繁华度</v>
      </c>
      <c r="AA19" s="1483">
        <f t="shared" si="3"/>
        <v>1</v>
      </c>
      <c r="AB19" s="1483">
        <f t="shared" si="4"/>
        <v>1</v>
      </c>
      <c r="AC19" s="1483">
        <f t="shared" si="5"/>
        <v>1</v>
      </c>
    </row>
    <row r="20" spans="1:29" ht="20.25" hidden="1">
      <c r="A20" s="509"/>
      <c r="B20" s="543"/>
      <c r="C20" s="544"/>
      <c r="D20" s="540"/>
      <c r="E20" s="546"/>
      <c r="F20" s="536"/>
      <c r="G20" s="546"/>
      <c r="H20" s="532"/>
      <c r="I20" s="546"/>
      <c r="J20" s="532"/>
      <c r="K20" s="508"/>
      <c r="L20" s="1994"/>
      <c r="M20" s="1984"/>
      <c r="N20" s="1984"/>
      <c r="O20" s="1993"/>
      <c r="P20" s="3635"/>
      <c r="Q20" s="1479"/>
      <c r="R20" s="1480"/>
      <c r="S20" s="1481"/>
      <c r="T20" s="1480"/>
      <c r="U20" s="1481"/>
      <c r="V20" s="1480"/>
      <c r="W20" s="1481"/>
      <c r="X20" s="1474"/>
      <c r="Y20" s="3635"/>
      <c r="Z20" s="1482"/>
      <c r="AA20" s="1483">
        <v>1</v>
      </c>
      <c r="AB20" s="1483">
        <v>1</v>
      </c>
      <c r="AC20" s="1483">
        <v>1</v>
      </c>
    </row>
    <row r="21" spans="1:29" ht="20.25" hidden="1">
      <c r="A21" s="509"/>
      <c r="B21" s="537" t="s">
        <v>525</v>
      </c>
      <c r="C21" s="538" t="str">
        <f>估价对象房地状况!C17</f>
        <v>一般</v>
      </c>
      <c r="D21" s="548">
        <v>100</v>
      </c>
      <c r="E21" s="549" t="s">
        <v>3262</v>
      </c>
      <c r="F21" s="542">
        <f>SUMIF(94:94,E22,95:95)-SUMIF(94:94,C22,95:95)+100</f>
        <v>100</v>
      </c>
      <c r="G21" s="549" t="s">
        <v>3262</v>
      </c>
      <c r="H21" s="536">
        <f>SUMIF(94:94,G22,95:95)-SUMIF(94:94,C22,95:95)+100</f>
        <v>100</v>
      </c>
      <c r="I21" s="549" t="s">
        <v>3262</v>
      </c>
      <c r="J21" s="536">
        <f>SUMIF(94:94,I22,95:95)-SUMIF(94:94,C22,95:95)+100</f>
        <v>100</v>
      </c>
      <c r="K21" s="512"/>
      <c r="L21" s="1994"/>
      <c r="M21" s="1984"/>
      <c r="N21" s="1984"/>
      <c r="O21" s="1993"/>
      <c r="P21" s="3635"/>
      <c r="Q21" s="1479" t="str">
        <f>B21</f>
        <v>办公集聚程度</v>
      </c>
      <c r="R21" s="1480" t="s">
        <v>8</v>
      </c>
      <c r="S21" s="1481">
        <f>F21</f>
        <v>100</v>
      </c>
      <c r="T21" s="1480" t="s">
        <v>8</v>
      </c>
      <c r="U21" s="1481">
        <f>H21</f>
        <v>100</v>
      </c>
      <c r="V21" s="1480" t="s">
        <v>8</v>
      </c>
      <c r="W21" s="1481">
        <f>J21</f>
        <v>100</v>
      </c>
      <c r="X21" s="1474"/>
      <c r="Y21" s="3635"/>
      <c r="Z21" s="1482" t="str">
        <f>Q21</f>
        <v>办公集聚程度</v>
      </c>
      <c r="AA21" s="1483">
        <f t="shared" si="3"/>
        <v>1</v>
      </c>
      <c r="AB21" s="1483">
        <f t="shared" si="4"/>
        <v>1</v>
      </c>
      <c r="AC21" s="1483">
        <f t="shared" si="5"/>
        <v>1</v>
      </c>
    </row>
    <row r="22" spans="1:29" ht="20.25" hidden="1">
      <c r="A22" s="509"/>
      <c r="B22" s="543"/>
      <c r="C22" s="531"/>
      <c r="D22" s="534"/>
      <c r="E22" s="535"/>
      <c r="F22" s="532"/>
      <c r="G22" s="535"/>
      <c r="H22" s="532"/>
      <c r="I22" s="535"/>
      <c r="J22" s="532"/>
      <c r="K22" s="508"/>
      <c r="L22" s="1994"/>
      <c r="M22" s="1984"/>
      <c r="N22" s="1984"/>
      <c r="O22" s="1993"/>
      <c r="P22" s="3635"/>
      <c r="Q22" s="1479"/>
      <c r="R22" s="1480"/>
      <c r="S22" s="1481"/>
      <c r="T22" s="1480"/>
      <c r="U22" s="1481"/>
      <c r="V22" s="1480"/>
      <c r="W22" s="1481"/>
      <c r="X22" s="1474"/>
      <c r="Y22" s="3635"/>
      <c r="Z22" s="1482"/>
      <c r="AA22" s="1483">
        <v>1</v>
      </c>
      <c r="AB22" s="1483">
        <v>1</v>
      </c>
      <c r="AC22" s="1483">
        <v>1</v>
      </c>
    </row>
    <row r="23" spans="1:29" ht="20.25">
      <c r="A23" s="509"/>
      <c r="B23" s="537" t="s">
        <v>526</v>
      </c>
      <c r="C23" s="550" t="str">
        <f>估价对象房地状况!C18</f>
        <v>一般</v>
      </c>
      <c r="D23" s="540">
        <v>100</v>
      </c>
      <c r="E23" s="541" t="s">
        <v>3262</v>
      </c>
      <c r="F23" s="542">
        <f>SUMIF(96:96,E24,97:97)-SUMIF(96:96,C24,97:97)+100</f>
        <v>100</v>
      </c>
      <c r="G23" s="541" t="s">
        <v>3262</v>
      </c>
      <c r="H23" s="536">
        <f>SUMIF(96:96,G24,97:97)-SUMIF(96:96,C24,97:97)+100</f>
        <v>100</v>
      </c>
      <c r="I23" s="541" t="s">
        <v>3262</v>
      </c>
      <c r="J23" s="536">
        <f>SUMIF(96:96,I24,97:97)-SUMIF(96:96,C24,97:97)+100</f>
        <v>100</v>
      </c>
      <c r="K23" s="512">
        <v>1</v>
      </c>
      <c r="L23" s="1994"/>
      <c r="M23" s="1984"/>
      <c r="N23" s="1984"/>
      <c r="O23" s="1993"/>
      <c r="P23" s="3635"/>
      <c r="Q23" s="1479" t="str">
        <f>B23</f>
        <v>交通便捷度</v>
      </c>
      <c r="R23" s="1480" t="s">
        <v>8</v>
      </c>
      <c r="S23" s="1481">
        <f>F23</f>
        <v>100</v>
      </c>
      <c r="T23" s="1480" t="s">
        <v>8</v>
      </c>
      <c r="U23" s="1481">
        <f>H23</f>
        <v>100</v>
      </c>
      <c r="V23" s="1480" t="s">
        <v>8</v>
      </c>
      <c r="W23" s="1481">
        <f>J23</f>
        <v>100</v>
      </c>
      <c r="X23" s="1474"/>
      <c r="Y23" s="3635"/>
      <c r="Z23" s="1482" t="str">
        <f>Q23</f>
        <v>交通便捷度</v>
      </c>
      <c r="AA23" s="1483">
        <f t="shared" si="3"/>
        <v>1</v>
      </c>
      <c r="AB23" s="1483">
        <f t="shared" si="4"/>
        <v>1</v>
      </c>
      <c r="AC23" s="1483">
        <f t="shared" si="5"/>
        <v>1</v>
      </c>
    </row>
    <row r="24" spans="1:29" ht="20.25">
      <c r="A24" s="509"/>
      <c r="B24" s="555"/>
      <c r="C24" s="531" t="s">
        <v>3262</v>
      </c>
      <c r="D24" s="534"/>
      <c r="E24" s="535" t="s">
        <v>3262</v>
      </c>
      <c r="F24" s="532"/>
      <c r="G24" s="535" t="s">
        <v>3262</v>
      </c>
      <c r="H24" s="532"/>
      <c r="I24" s="535" t="s">
        <v>3262</v>
      </c>
      <c r="J24" s="532"/>
      <c r="K24" s="508"/>
      <c r="L24" s="1994"/>
      <c r="M24" s="1984"/>
      <c r="N24" s="1984"/>
      <c r="O24" s="1993"/>
      <c r="P24" s="3635"/>
      <c r="Q24" s="1479"/>
      <c r="R24" s="1480"/>
      <c r="S24" s="1481"/>
      <c r="T24" s="1480"/>
      <c r="U24" s="1481"/>
      <c r="V24" s="1480"/>
      <c r="W24" s="1481"/>
      <c r="X24" s="1474"/>
      <c r="Y24" s="3635"/>
      <c r="Z24" s="1482"/>
      <c r="AA24" s="1483">
        <v>1</v>
      </c>
      <c r="AB24" s="1483">
        <v>1</v>
      </c>
      <c r="AC24" s="1483">
        <v>1</v>
      </c>
    </row>
    <row r="25" spans="1:29" ht="27">
      <c r="A25" s="492"/>
      <c r="B25" s="257" t="s">
        <v>527</v>
      </c>
      <c r="C25" s="550">
        <f>估价对象房地状况!C19</f>
        <v>0</v>
      </c>
      <c r="D25" s="540">
        <v>100</v>
      </c>
      <c r="E25" s="541">
        <v>0</v>
      </c>
      <c r="F25" s="542">
        <f>SUMIF(98:98,E26,99:99)-SUMIF(98:98,C26,99:99)+100</f>
        <v>100</v>
      </c>
      <c r="G25" s="541">
        <v>0</v>
      </c>
      <c r="H25" s="536">
        <f>SUMIF(98:98,G26,99:99)-SUMIF(98:98,C26,99:99)+100</f>
        <v>100</v>
      </c>
      <c r="I25" s="541">
        <v>0</v>
      </c>
      <c r="J25" s="536">
        <f>SUMIF(98:98,I26,99:99)-SUMIF(98:98,C26,99:99)+100</f>
        <v>100</v>
      </c>
      <c r="K25" s="512">
        <v>1</v>
      </c>
      <c r="L25" s="1994"/>
      <c r="M25" s="1984"/>
      <c r="N25" s="1984"/>
      <c r="O25" s="1993"/>
      <c r="P25" s="3635"/>
      <c r="Q25" s="1479" t="str">
        <f t="shared" ref="Q25:Q39" si="8">B25</f>
        <v>区域土地利用方向</v>
      </c>
      <c r="R25" s="1480" t="s">
        <v>8</v>
      </c>
      <c r="S25" s="1481">
        <f>F25</f>
        <v>100</v>
      </c>
      <c r="T25" s="1480" t="s">
        <v>8</v>
      </c>
      <c r="U25" s="1481">
        <f>H25</f>
        <v>100</v>
      </c>
      <c r="V25" s="1480" t="s">
        <v>8</v>
      </c>
      <c r="W25" s="1481">
        <f>J25</f>
        <v>100</v>
      </c>
      <c r="X25" s="1474"/>
      <c r="Y25" s="3635"/>
      <c r="Z25" s="1482" t="str">
        <f>Q25</f>
        <v>区域土地利用方向</v>
      </c>
      <c r="AA25" s="1483">
        <f t="shared" si="3"/>
        <v>1</v>
      </c>
      <c r="AB25" s="1483">
        <f t="shared" si="4"/>
        <v>1</v>
      </c>
      <c r="AC25" s="1483">
        <f t="shared" si="5"/>
        <v>1</v>
      </c>
    </row>
    <row r="26" spans="1:29" ht="21" thickBot="1">
      <c r="A26" s="492"/>
      <c r="B26" s="974"/>
      <c r="C26" s="531" t="s">
        <v>3261</v>
      </c>
      <c r="D26" s="534"/>
      <c r="E26" s="535" t="s">
        <v>3261</v>
      </c>
      <c r="F26" s="532"/>
      <c r="G26" s="535" t="s">
        <v>3261</v>
      </c>
      <c r="H26" s="532"/>
      <c r="I26" s="535" t="s">
        <v>3261</v>
      </c>
      <c r="J26" s="532"/>
      <c r="K26" s="508"/>
      <c r="L26" s="1994"/>
      <c r="M26" s="1984"/>
      <c r="N26" s="1984"/>
      <c r="O26" s="1993"/>
      <c r="P26" s="3635"/>
      <c r="Q26" s="1479"/>
      <c r="R26" s="1480"/>
      <c r="S26" s="1481"/>
      <c r="T26" s="1480"/>
      <c r="U26" s="1481"/>
      <c r="V26" s="1480"/>
      <c r="W26" s="1481"/>
      <c r="X26" s="1474"/>
      <c r="Y26" s="3635"/>
      <c r="Z26" s="1482"/>
      <c r="AA26" s="1483"/>
      <c r="AB26" s="1483"/>
      <c r="AC26" s="1483"/>
    </row>
    <row r="27" spans="1:29" ht="27">
      <c r="A27" s="492"/>
      <c r="B27" s="555" t="s">
        <v>528</v>
      </c>
      <c r="C27" s="538" t="str">
        <f>估价对象房地状况!C20</f>
        <v>一般</v>
      </c>
      <c r="D27" s="540">
        <v>100</v>
      </c>
      <c r="E27" s="541" t="s">
        <v>3262</v>
      </c>
      <c r="F27" s="536">
        <f>SUMIF(100:100,E28,101:101)-SUMIF(100:100,C28,101:101)+100</f>
        <v>100</v>
      </c>
      <c r="G27" s="541" t="s">
        <v>3262</v>
      </c>
      <c r="H27" s="536">
        <f>SUMIF(100:100,G28,101:101)-SUMIF(100:100,C28,101:101)+100</f>
        <v>100</v>
      </c>
      <c r="I27" s="529" t="s">
        <v>3261</v>
      </c>
      <c r="J27" s="536">
        <f>SUMIF(100:100,I28,101:101)-SUMIF(100:100,C28,101:101)+100</f>
        <v>101</v>
      </c>
      <c r="K27" s="512">
        <v>1</v>
      </c>
      <c r="L27" s="1994"/>
      <c r="M27" s="1984"/>
      <c r="N27" s="1984"/>
      <c r="O27" s="1993"/>
      <c r="P27" s="3635"/>
      <c r="Q27" s="1479" t="str">
        <f t="shared" si="8"/>
        <v>自然及人文环境状况</v>
      </c>
      <c r="R27" s="1480" t="s">
        <v>8</v>
      </c>
      <c r="S27" s="1481">
        <f>F27</f>
        <v>100</v>
      </c>
      <c r="T27" s="1480" t="s">
        <v>8</v>
      </c>
      <c r="U27" s="1481">
        <f>H27</f>
        <v>100</v>
      </c>
      <c r="V27" s="1480" t="s">
        <v>8</v>
      </c>
      <c r="W27" s="1481">
        <f>J27</f>
        <v>101</v>
      </c>
      <c r="X27" s="1474"/>
      <c r="Y27" s="3635"/>
      <c r="Z27" s="1482" t="str">
        <f>Q27</f>
        <v>自然及人文环境状况</v>
      </c>
      <c r="AA27" s="1483">
        <f t="shared" si="3"/>
        <v>1</v>
      </c>
      <c r="AB27" s="1483">
        <f t="shared" si="4"/>
        <v>1</v>
      </c>
      <c r="AC27" s="1483">
        <f t="shared" si="5"/>
        <v>0.99009900990099009</v>
      </c>
    </row>
    <row r="28" spans="1:29" ht="21" thickBot="1">
      <c r="A28" s="492"/>
      <c r="B28" s="543"/>
      <c r="C28" s="531" t="s">
        <v>3262</v>
      </c>
      <c r="D28" s="534"/>
      <c r="E28" s="553" t="s">
        <v>3262</v>
      </c>
      <c r="F28" s="532"/>
      <c r="G28" s="553" t="s">
        <v>3262</v>
      </c>
      <c r="H28" s="532"/>
      <c r="I28" s="535" t="s">
        <v>3261</v>
      </c>
      <c r="J28" s="532"/>
      <c r="K28" s="508"/>
      <c r="L28" s="1994"/>
      <c r="M28" s="1984"/>
      <c r="N28" s="1984"/>
      <c r="O28" s="1993"/>
      <c r="P28" s="3635"/>
      <c r="Q28" s="1479"/>
      <c r="R28" s="1480"/>
      <c r="S28" s="1481"/>
      <c r="T28" s="1480"/>
      <c r="U28" s="1481"/>
      <c r="V28" s="1480"/>
      <c r="W28" s="1481"/>
      <c r="X28" s="1474"/>
      <c r="Y28" s="3635"/>
      <c r="Z28" s="1482"/>
      <c r="AA28" s="1483">
        <v>1</v>
      </c>
      <c r="AB28" s="1483">
        <v>1</v>
      </c>
      <c r="AC28" s="1483">
        <v>1</v>
      </c>
    </row>
    <row r="29" spans="1:29" s="1183" customFormat="1" ht="20.25">
      <c r="A29" s="554"/>
      <c r="B29" s="2373" t="s">
        <v>2448</v>
      </c>
      <c r="C29" s="550" t="str">
        <f>估价对象房地状况!C21</f>
        <v>一般</v>
      </c>
      <c r="D29" s="540">
        <v>100</v>
      </c>
      <c r="E29" s="541" t="s">
        <v>3262</v>
      </c>
      <c r="F29" s="536">
        <f>SUMIF(102:102,E30,103:103)-SUMIF(102:102,C30,103:103)+100</f>
        <v>100</v>
      </c>
      <c r="G29" s="541" t="s">
        <v>3262</v>
      </c>
      <c r="H29" s="536">
        <f>SUMIF(102:102,G30,103:103)-SUMIF(102:102,C30,103:103)+100</f>
        <v>100</v>
      </c>
      <c r="I29" s="529" t="s">
        <v>3261</v>
      </c>
      <c r="J29" s="536">
        <f>SUMIF(102:102,I30,103:103)-SUMIF(102:102,C30,103:103)+100</f>
        <v>101</v>
      </c>
      <c r="K29" s="512">
        <v>1</v>
      </c>
      <c r="L29" s="1987"/>
      <c r="M29" s="1984"/>
      <c r="N29" s="1984"/>
      <c r="O29" s="1989"/>
      <c r="P29" s="3635"/>
      <c r="Q29" s="1114" t="str">
        <f t="shared" si="8"/>
        <v>公共配套设施</v>
      </c>
      <c r="R29" s="1475" t="s">
        <v>8</v>
      </c>
      <c r="S29" s="1476">
        <f>F29</f>
        <v>100</v>
      </c>
      <c r="T29" s="1475" t="s">
        <v>8</v>
      </c>
      <c r="U29" s="1476">
        <f>H29</f>
        <v>100</v>
      </c>
      <c r="V29" s="1475" t="s">
        <v>8</v>
      </c>
      <c r="W29" s="1476">
        <f>J29</f>
        <v>101</v>
      </c>
      <c r="X29" s="1477"/>
      <c r="Y29" s="3635"/>
      <c r="Z29" s="1113" t="str">
        <f>Q29</f>
        <v>公共配套设施</v>
      </c>
      <c r="AA29" s="1483">
        <f>D29/F29</f>
        <v>1</v>
      </c>
      <c r="AB29" s="1483">
        <f>D29/H29</f>
        <v>1</v>
      </c>
      <c r="AC29" s="1483">
        <f>D29/J29</f>
        <v>0.99009900990099009</v>
      </c>
    </row>
    <row r="30" spans="1:29" s="1183" customFormat="1" ht="20.25">
      <c r="A30" s="554"/>
      <c r="B30" s="543"/>
      <c r="C30" s="556" t="s">
        <v>3262</v>
      </c>
      <c r="D30" s="534"/>
      <c r="E30" s="553" t="s">
        <v>3262</v>
      </c>
      <c r="F30" s="532"/>
      <c r="G30" s="553" t="s">
        <v>3262</v>
      </c>
      <c r="H30" s="532"/>
      <c r="I30" s="535" t="s">
        <v>3261</v>
      </c>
      <c r="J30" s="532"/>
      <c r="K30" s="508"/>
      <c r="L30" s="1987"/>
      <c r="M30" s="1984"/>
      <c r="N30" s="1984"/>
      <c r="O30" s="1989"/>
      <c r="P30" s="3635"/>
      <c r="Q30" s="1114"/>
      <c r="R30" s="1475"/>
      <c r="S30" s="1476"/>
      <c r="T30" s="1475"/>
      <c r="U30" s="1476"/>
      <c r="V30" s="1475"/>
      <c r="W30" s="1476"/>
      <c r="X30" s="1477"/>
      <c r="Y30" s="3635"/>
      <c r="Z30" s="1113"/>
      <c r="AA30" s="1483">
        <v>1</v>
      </c>
      <c r="AB30" s="1483">
        <v>1</v>
      </c>
      <c r="AC30" s="1483">
        <v>1</v>
      </c>
    </row>
    <row r="31" spans="1:29" s="1183" customFormat="1" ht="20.25">
      <c r="A31" s="554"/>
      <c r="B31" s="2373" t="s">
        <v>2449</v>
      </c>
      <c r="C31" s="550" t="str">
        <f>估价对象房地状况!C22</f>
        <v>七通</v>
      </c>
      <c r="D31" s="540">
        <v>100</v>
      </c>
      <c r="E31" s="541" t="s">
        <v>3264</v>
      </c>
      <c r="F31" s="536">
        <f>SUMIF(104:104,E32,105:105)-SUMIF(104:104,C32,105:105)+100</f>
        <v>100</v>
      </c>
      <c r="G31" s="541" t="s">
        <v>3264</v>
      </c>
      <c r="H31" s="536">
        <f>SUMIF(104:104,G32,105:105)-SUMIF(104:104,C32,105:105)+100</f>
        <v>100</v>
      </c>
      <c r="I31" s="541" t="s">
        <v>3264</v>
      </c>
      <c r="J31" s="536">
        <f>SUMIF(104:104,I32,105:105)-SUMIF(104:104,C32,105:105)+100</f>
        <v>100</v>
      </c>
      <c r="K31" s="512">
        <v>1</v>
      </c>
      <c r="L31" s="1987"/>
      <c r="M31" s="1984"/>
      <c r="N31" s="1984"/>
      <c r="O31" s="1989"/>
      <c r="P31" s="3635"/>
      <c r="Q31" s="2366" t="str">
        <f t="shared" ref="Q31" si="9">B31</f>
        <v>基础设施水平</v>
      </c>
      <c r="R31" s="1475" t="s">
        <v>8</v>
      </c>
      <c r="S31" s="1476">
        <f>F31</f>
        <v>100</v>
      </c>
      <c r="T31" s="1475" t="s">
        <v>8</v>
      </c>
      <c r="U31" s="1476">
        <f>H31</f>
        <v>100</v>
      </c>
      <c r="V31" s="1475" t="s">
        <v>8</v>
      </c>
      <c r="W31" s="1476">
        <f>J31</f>
        <v>100</v>
      </c>
      <c r="X31" s="1477"/>
      <c r="Y31" s="3635"/>
      <c r="Z31" s="2365" t="str">
        <f>Q31</f>
        <v>基础设施水平</v>
      </c>
      <c r="AA31" s="1483">
        <f>D31/F31</f>
        <v>1</v>
      </c>
      <c r="AB31" s="1483">
        <f>D31/H31</f>
        <v>1</v>
      </c>
      <c r="AC31" s="1483">
        <f>D31/J31</f>
        <v>1</v>
      </c>
    </row>
    <row r="32" spans="1:29" s="1183" customFormat="1" ht="21" thickBot="1">
      <c r="A32" s="554"/>
      <c r="B32" s="543"/>
      <c r="C32" s="556" t="s">
        <v>3264</v>
      </c>
      <c r="D32" s="534"/>
      <c r="E32" s="2374" t="s">
        <v>3264</v>
      </c>
      <c r="F32" s="532"/>
      <c r="G32" s="2374" t="s">
        <v>3264</v>
      </c>
      <c r="H32" s="532"/>
      <c r="I32" s="2374" t="s">
        <v>3264</v>
      </c>
      <c r="J32" s="532"/>
      <c r="K32" s="508"/>
      <c r="L32" s="1987"/>
      <c r="M32" s="1984"/>
      <c r="N32" s="1984"/>
      <c r="O32" s="1989"/>
      <c r="P32" s="3635"/>
      <c r="Q32" s="2366"/>
      <c r="R32" s="1475"/>
      <c r="S32" s="1476"/>
      <c r="T32" s="1475"/>
      <c r="U32" s="1476"/>
      <c r="V32" s="1475"/>
      <c r="W32" s="1476"/>
      <c r="X32" s="1477"/>
      <c r="Y32" s="3635"/>
      <c r="Z32" s="2365"/>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4"/>
      <c r="M33" s="1984"/>
      <c r="N33" s="1984"/>
      <c r="O33" s="1993"/>
      <c r="P33" s="3635"/>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35"/>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4"/>
      <c r="M34" s="1984"/>
      <c r="N34" s="1984"/>
      <c r="O34" s="1993"/>
      <c r="P34" s="3635"/>
      <c r="Q34" s="1479" t="str">
        <f t="shared" si="8"/>
        <v>毗邻道路的类型与等级</v>
      </c>
      <c r="R34" s="1480" t="s">
        <v>8</v>
      </c>
      <c r="S34" s="1481">
        <f t="shared" si="10"/>
        <v>100</v>
      </c>
      <c r="T34" s="1480" t="s">
        <v>8</v>
      </c>
      <c r="U34" s="1481">
        <f t="shared" si="11"/>
        <v>100</v>
      </c>
      <c r="V34" s="1480" t="s">
        <v>8</v>
      </c>
      <c r="W34" s="1481">
        <f t="shared" si="12"/>
        <v>100</v>
      </c>
      <c r="X34" s="1474"/>
      <c r="Y34" s="3635"/>
      <c r="Z34" s="1482" t="str">
        <f t="shared" si="13"/>
        <v>毗邻道路的类型与等级</v>
      </c>
      <c r="AA34" s="1483">
        <f t="shared" si="3"/>
        <v>1</v>
      </c>
      <c r="AB34" s="1483">
        <f t="shared" si="4"/>
        <v>1</v>
      </c>
      <c r="AC34" s="1483">
        <f t="shared" si="5"/>
        <v>1</v>
      </c>
    </row>
    <row r="35" spans="1:29" ht="20.25" hidden="1">
      <c r="A35" s="509"/>
      <c r="B35" s="543"/>
      <c r="C35" s="531"/>
      <c r="D35" s="534"/>
      <c r="E35" s="553"/>
      <c r="F35" s="532"/>
      <c r="G35" s="531"/>
      <c r="H35" s="532"/>
      <c r="I35" s="553"/>
      <c r="J35" s="532"/>
      <c r="K35" s="558"/>
      <c r="L35" s="1994"/>
      <c r="M35" s="1984"/>
      <c r="N35" s="1984"/>
      <c r="O35" s="1993"/>
      <c r="P35" s="3635"/>
      <c r="Q35" s="1479"/>
      <c r="R35" s="1480"/>
      <c r="S35" s="1481"/>
      <c r="T35" s="1480"/>
      <c r="U35" s="1481"/>
      <c r="V35" s="1480"/>
      <c r="W35" s="1481"/>
      <c r="X35" s="1474"/>
      <c r="Y35" s="3635"/>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4"/>
      <c r="M36" s="1984"/>
      <c r="N36" s="1984"/>
      <c r="O36" s="1993"/>
      <c r="P36" s="3635"/>
      <c r="Q36" s="1479" t="str">
        <f t="shared" si="8"/>
        <v>土地级别</v>
      </c>
      <c r="R36" s="1480" t="s">
        <v>8</v>
      </c>
      <c r="S36" s="1481">
        <f t="shared" si="10"/>
        <v>100</v>
      </c>
      <c r="T36" s="1480" t="s">
        <v>8</v>
      </c>
      <c r="U36" s="1481">
        <f t="shared" si="11"/>
        <v>100</v>
      </c>
      <c r="V36" s="1480" t="s">
        <v>8</v>
      </c>
      <c r="W36" s="1481">
        <f t="shared" si="12"/>
        <v>100</v>
      </c>
      <c r="X36" s="1474"/>
      <c r="Y36" s="3635"/>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4"/>
      <c r="M37" s="1984"/>
      <c r="N37" s="1984"/>
      <c r="O37" s="1993"/>
      <c r="P37" s="3635"/>
      <c r="Q37" s="1479">
        <f t="shared" si="8"/>
        <v>111</v>
      </c>
      <c r="R37" s="1480" t="s">
        <v>8</v>
      </c>
      <c r="S37" s="1481">
        <f t="shared" si="10"/>
        <v>100</v>
      </c>
      <c r="T37" s="1480" t="s">
        <v>8</v>
      </c>
      <c r="U37" s="1481">
        <f t="shared" si="11"/>
        <v>100</v>
      </c>
      <c r="V37" s="1480" t="s">
        <v>8</v>
      </c>
      <c r="W37" s="1481">
        <f t="shared" si="12"/>
        <v>100</v>
      </c>
      <c r="X37" s="1474"/>
      <c r="Y37" s="3635"/>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4"/>
      <c r="M38" s="1984"/>
      <c r="N38" s="1984"/>
      <c r="O38" s="1993"/>
      <c r="P38" s="3636" t="s">
        <v>533</v>
      </c>
      <c r="Q38" s="1479">
        <f t="shared" si="8"/>
        <v>111</v>
      </c>
      <c r="R38" s="1480" t="s">
        <v>8</v>
      </c>
      <c r="S38" s="1481">
        <f t="shared" si="10"/>
        <v>100</v>
      </c>
      <c r="T38" s="1480" t="s">
        <v>8</v>
      </c>
      <c r="U38" s="1481">
        <f t="shared" si="11"/>
        <v>100</v>
      </c>
      <c r="V38" s="1480" t="s">
        <v>8</v>
      </c>
      <c r="W38" s="1481">
        <f t="shared" si="12"/>
        <v>100</v>
      </c>
      <c r="X38" s="1474"/>
      <c r="Y38" s="3637" t="s">
        <v>533</v>
      </c>
      <c r="Z38" s="1482">
        <f t="shared" si="13"/>
        <v>111</v>
      </c>
      <c r="AA38" s="1483">
        <f t="shared" si="3"/>
        <v>1</v>
      </c>
      <c r="AB38" s="1483">
        <f t="shared" si="4"/>
        <v>1</v>
      </c>
      <c r="AC38" s="1483">
        <f t="shared" si="5"/>
        <v>1</v>
      </c>
    </row>
    <row r="39" spans="1:29" s="1265"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2"/>
      <c r="M39" s="1984"/>
      <c r="N39" s="1984"/>
      <c r="O39" s="1995"/>
      <c r="P39" s="3637"/>
      <c r="Q39" s="1479">
        <f t="shared" si="8"/>
        <v>111</v>
      </c>
      <c r="R39" s="1484" t="s">
        <v>8</v>
      </c>
      <c r="S39" s="1485">
        <f t="shared" si="10"/>
        <v>100</v>
      </c>
      <c r="T39" s="1484" t="s">
        <v>8</v>
      </c>
      <c r="U39" s="1485">
        <f t="shared" si="11"/>
        <v>100</v>
      </c>
      <c r="V39" s="1484" t="s">
        <v>8</v>
      </c>
      <c r="W39" s="1485">
        <f t="shared" si="12"/>
        <v>100</v>
      </c>
      <c r="X39" s="1486"/>
      <c r="Y39" s="3637"/>
      <c r="Z39" s="1487">
        <f t="shared" si="13"/>
        <v>111</v>
      </c>
      <c r="AA39" s="1483">
        <f t="shared" si="3"/>
        <v>1</v>
      </c>
      <c r="AB39" s="1483">
        <f t="shared" si="4"/>
        <v>1</v>
      </c>
      <c r="AC39" s="1483">
        <f t="shared" si="5"/>
        <v>1</v>
      </c>
    </row>
    <row r="40" spans="1:29" ht="20.25">
      <c r="A40" s="2562" t="s">
        <v>2654</v>
      </c>
      <c r="B40" s="572" t="s">
        <v>535</v>
      </c>
      <c r="C40" s="573">
        <f>'数据-基础表'!A3</f>
        <v>22115.200000000001</v>
      </c>
      <c r="D40" s="574">
        <v>100</v>
      </c>
      <c r="E40" s="573">
        <f>土地案例!E2</f>
        <v>54735.8</v>
      </c>
      <c r="F40" s="574">
        <f>LOOKUP(E40,119:119,120:120)-LOOKUP(C40,119:119,120:120)+100</f>
        <v>101</v>
      </c>
      <c r="G40" s="573">
        <f>土地案例!E3</f>
        <v>42541</v>
      </c>
      <c r="H40" s="574">
        <f>LOOKUP(G40,119:119,120:120)-LOOKUP(C40,119:119,120:120)+100</f>
        <v>100</v>
      </c>
      <c r="I40" s="575">
        <f>土地案例!E4</f>
        <v>56722</v>
      </c>
      <c r="J40" s="574">
        <f>LOOKUP(I40,119:119,120:120)-LOOKUP(C40,119:119,120:120)+100</f>
        <v>101</v>
      </c>
      <c r="K40" s="558"/>
      <c r="L40" s="1994"/>
      <c r="M40" s="1984"/>
      <c r="N40" s="1984"/>
      <c r="O40" s="1993"/>
      <c r="P40" s="3637"/>
      <c r="Q40" s="1479" t="str">
        <f>B40</f>
        <v>宗地面积</v>
      </c>
      <c r="R40" s="1480" t="s">
        <v>8</v>
      </c>
      <c r="S40" s="1481">
        <f t="shared" si="10"/>
        <v>101</v>
      </c>
      <c r="T40" s="1480" t="s">
        <v>8</v>
      </c>
      <c r="U40" s="1481">
        <f t="shared" si="11"/>
        <v>100</v>
      </c>
      <c r="V40" s="1480" t="s">
        <v>8</v>
      </c>
      <c r="W40" s="1481">
        <f t="shared" si="12"/>
        <v>101</v>
      </c>
      <c r="X40" s="1474"/>
      <c r="Y40" s="3637"/>
      <c r="Z40" s="1482" t="str">
        <f t="shared" si="13"/>
        <v>宗地面积</v>
      </c>
      <c r="AA40" s="1483">
        <f t="shared" si="3"/>
        <v>0.99009900990099009</v>
      </c>
      <c r="AB40" s="1483">
        <f t="shared" si="4"/>
        <v>1</v>
      </c>
      <c r="AC40" s="1483">
        <f t="shared" si="5"/>
        <v>0.99009900990099009</v>
      </c>
    </row>
    <row r="41" spans="1:29" ht="20.25">
      <c r="A41" s="571"/>
      <c r="B41" s="504" t="s">
        <v>536</v>
      </c>
      <c r="C41" s="576" t="s">
        <v>3332</v>
      </c>
      <c r="D41" s="517">
        <v>100</v>
      </c>
      <c r="E41" s="576" t="s">
        <v>3332</v>
      </c>
      <c r="F41" s="517">
        <f>SUMIF(121:121,E41,122:122)-SUMIF(121:121,C41,122:122)+100</f>
        <v>100</v>
      </c>
      <c r="G41" s="576" t="s">
        <v>3332</v>
      </c>
      <c r="H41" s="517">
        <f>SUMIF(121:121,G41,122:122)-SUMIF(121:121,C41,122:122)+100</f>
        <v>100</v>
      </c>
      <c r="I41" s="576" t="s">
        <v>3332</v>
      </c>
      <c r="J41" s="517">
        <f>SUMIF(121:121,I41,122:122)-SUMIF(121:121,C41,122:122)+100</f>
        <v>100</v>
      </c>
      <c r="K41" s="561">
        <v>1</v>
      </c>
      <c r="L41" s="1994"/>
      <c r="M41" s="1984"/>
      <c r="N41" s="1984"/>
      <c r="O41" s="1993"/>
      <c r="P41" s="3637"/>
      <c r="Q41" s="1479" t="str">
        <f t="shared" ref="Q41:Q47" si="14">B41</f>
        <v>宗地形状</v>
      </c>
      <c r="R41" s="1480" t="s">
        <v>8</v>
      </c>
      <c r="S41" s="1481">
        <f t="shared" si="10"/>
        <v>100</v>
      </c>
      <c r="T41" s="1480" t="s">
        <v>8</v>
      </c>
      <c r="U41" s="1481">
        <f t="shared" si="11"/>
        <v>100</v>
      </c>
      <c r="V41" s="1480" t="s">
        <v>8</v>
      </c>
      <c r="W41" s="1481">
        <f t="shared" si="12"/>
        <v>100</v>
      </c>
      <c r="X41" s="1474"/>
      <c r="Y41" s="3637"/>
      <c r="Z41" s="1482" t="str">
        <f t="shared" si="13"/>
        <v>宗地形状</v>
      </c>
      <c r="AA41" s="1483">
        <f t="shared" si="3"/>
        <v>1</v>
      </c>
      <c r="AB41" s="1483">
        <f t="shared" si="4"/>
        <v>1</v>
      </c>
      <c r="AC41" s="1483">
        <f t="shared" si="5"/>
        <v>1</v>
      </c>
    </row>
    <row r="42" spans="1:29" ht="20.25">
      <c r="A42" s="571"/>
      <c r="B42" s="504" t="s">
        <v>537</v>
      </c>
      <c r="C42" s="576" t="s">
        <v>3333</v>
      </c>
      <c r="D42" s="517">
        <v>100</v>
      </c>
      <c r="E42" s="576" t="s">
        <v>3333</v>
      </c>
      <c r="F42" s="517">
        <f>SUMIF(123:123,E42,124:124)-SUMIF(123:123,C42,124:124)+100</f>
        <v>100</v>
      </c>
      <c r="G42" s="576" t="s">
        <v>3333</v>
      </c>
      <c r="H42" s="517">
        <f>SUMIF(123:123,G42,124:124)-SUMIF(123:123,C42,124:124)+100</f>
        <v>100</v>
      </c>
      <c r="I42" s="576" t="s">
        <v>3333</v>
      </c>
      <c r="J42" s="517">
        <f>SUMIF(123:123,I42,124:124)-SUMIF(123:123,C42,124:124)+100</f>
        <v>100</v>
      </c>
      <c r="K42" s="561">
        <v>1</v>
      </c>
      <c r="L42" s="1994"/>
      <c r="M42" s="1984"/>
      <c r="N42" s="1984"/>
      <c r="O42" s="1993"/>
      <c r="P42" s="3637"/>
      <c r="Q42" s="1479" t="str">
        <f t="shared" si="14"/>
        <v>临街宽度及深度</v>
      </c>
      <c r="R42" s="1480" t="s">
        <v>8</v>
      </c>
      <c r="S42" s="1481">
        <f t="shared" si="10"/>
        <v>100</v>
      </c>
      <c r="T42" s="1480" t="s">
        <v>8</v>
      </c>
      <c r="U42" s="1481">
        <f t="shared" si="11"/>
        <v>100</v>
      </c>
      <c r="V42" s="1480" t="s">
        <v>8</v>
      </c>
      <c r="W42" s="1481">
        <f t="shared" si="12"/>
        <v>100</v>
      </c>
      <c r="X42" s="1474"/>
      <c r="Y42" s="3637"/>
      <c r="Z42" s="1482" t="str">
        <f t="shared" si="13"/>
        <v>临街宽度及深度</v>
      </c>
      <c r="AA42" s="1483">
        <f t="shared" si="3"/>
        <v>1</v>
      </c>
      <c r="AB42" s="1483">
        <f t="shared" si="4"/>
        <v>1</v>
      </c>
      <c r="AC42" s="1483">
        <f t="shared" si="5"/>
        <v>1</v>
      </c>
    </row>
    <row r="43" spans="1:29" s="1183" customFormat="1" ht="20.25">
      <c r="A43" s="577"/>
      <c r="B43" s="1780" t="s">
        <v>2393</v>
      </c>
      <c r="C43" s="578" t="s">
        <v>3334</v>
      </c>
      <c r="D43" s="253">
        <v>100</v>
      </c>
      <c r="E43" s="578" t="s">
        <v>3264</v>
      </c>
      <c r="F43" s="517">
        <f>SUMIF(125:125,E43,126:126)-SUMIF(125:125,C43,126:126)+100</f>
        <v>102</v>
      </c>
      <c r="G43" s="578" t="s">
        <v>3264</v>
      </c>
      <c r="H43" s="517">
        <f>SUMIF(125:125,G43,126:126)-SUMIF(125:125,C43,126:126)+100</f>
        <v>102</v>
      </c>
      <c r="I43" s="578" t="s">
        <v>3334</v>
      </c>
      <c r="J43" s="517">
        <f>SUMIF(125:125,I43,126:126)-SUMIF(125:125,C43,126:126)+100</f>
        <v>100</v>
      </c>
      <c r="K43" s="561">
        <v>1</v>
      </c>
      <c r="L43" s="1987"/>
      <c r="M43" s="1984"/>
      <c r="N43" s="1984"/>
      <c r="O43" s="1989"/>
      <c r="P43" s="3637"/>
      <c r="Q43" s="1479" t="str">
        <f t="shared" si="14"/>
        <v>宗地开发程度</v>
      </c>
      <c r="R43" s="1475" t="s">
        <v>8</v>
      </c>
      <c r="S43" s="1476">
        <f t="shared" si="10"/>
        <v>102</v>
      </c>
      <c r="T43" s="1475" t="s">
        <v>8</v>
      </c>
      <c r="U43" s="1476">
        <f t="shared" si="11"/>
        <v>102</v>
      </c>
      <c r="V43" s="1475" t="s">
        <v>8</v>
      </c>
      <c r="W43" s="1476">
        <f t="shared" si="12"/>
        <v>100</v>
      </c>
      <c r="X43" s="1477"/>
      <c r="Y43" s="3637"/>
      <c r="Z43" s="1113" t="str">
        <f t="shared" si="13"/>
        <v>宗地开发程度</v>
      </c>
      <c r="AA43" s="1478">
        <f t="shared" si="3"/>
        <v>0.98039215686274506</v>
      </c>
      <c r="AB43" s="1478">
        <f t="shared" si="4"/>
        <v>0.98039215686274506</v>
      </c>
      <c r="AC43" s="1478">
        <f t="shared" si="5"/>
        <v>1</v>
      </c>
    </row>
    <row r="44" spans="1:29" ht="21" thickBot="1">
      <c r="A44" s="571"/>
      <c r="B44" s="504" t="s">
        <v>538</v>
      </c>
      <c r="C44" s="576" t="s">
        <v>3261</v>
      </c>
      <c r="D44" s="517">
        <v>100</v>
      </c>
      <c r="E44" s="576" t="s">
        <v>3261</v>
      </c>
      <c r="F44" s="517">
        <f>SUMIF(127:127,E44,128:128)-SUMIF(127:127,C44,128:128)+100</f>
        <v>100</v>
      </c>
      <c r="G44" s="576" t="s">
        <v>3261</v>
      </c>
      <c r="H44" s="517">
        <f>SUMIF(127:127,G44,128:128)-SUMIF(127:127,C44,128:128)+100</f>
        <v>100</v>
      </c>
      <c r="I44" s="576" t="s">
        <v>3261</v>
      </c>
      <c r="J44" s="517">
        <f>SUMIF(127:127,I44,128:128)-SUMIF(127:127,C44,128:128)+100</f>
        <v>100</v>
      </c>
      <c r="K44" s="561">
        <v>1</v>
      </c>
      <c r="L44" s="1994"/>
      <c r="M44" s="1984"/>
      <c r="N44" s="1984"/>
      <c r="O44" s="1993"/>
      <c r="P44" s="3637" t="s">
        <v>533</v>
      </c>
      <c r="Q44" s="1479" t="str">
        <f t="shared" si="14"/>
        <v>工程地质条件</v>
      </c>
      <c r="R44" s="1480" t="s">
        <v>8</v>
      </c>
      <c r="S44" s="1481">
        <f t="shared" si="10"/>
        <v>100</v>
      </c>
      <c r="T44" s="1480" t="s">
        <v>8</v>
      </c>
      <c r="U44" s="1481">
        <f t="shared" si="11"/>
        <v>100</v>
      </c>
      <c r="V44" s="1480" t="s">
        <v>8</v>
      </c>
      <c r="W44" s="1481">
        <f t="shared" si="12"/>
        <v>100</v>
      </c>
      <c r="X44" s="1474"/>
      <c r="Y44" s="3637"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4"/>
      <c r="M45" s="1984"/>
      <c r="N45" s="1984"/>
      <c r="O45" s="1993"/>
      <c r="P45" s="3637"/>
      <c r="Q45" s="1479">
        <f t="shared" si="14"/>
        <v>111</v>
      </c>
      <c r="R45" s="1480" t="s">
        <v>8</v>
      </c>
      <c r="S45" s="1481">
        <f t="shared" si="10"/>
        <v>100</v>
      </c>
      <c r="T45" s="1480" t="s">
        <v>8</v>
      </c>
      <c r="U45" s="1481">
        <f t="shared" si="11"/>
        <v>100</v>
      </c>
      <c r="V45" s="1480" t="s">
        <v>8</v>
      </c>
      <c r="W45" s="1481">
        <f t="shared" si="12"/>
        <v>100</v>
      </c>
      <c r="X45" s="1474"/>
      <c r="Y45" s="3637"/>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4"/>
      <c r="M46" s="1984"/>
      <c r="N46" s="1984"/>
      <c r="O46" s="1993"/>
      <c r="P46" s="3637"/>
      <c r="Q46" s="1479">
        <f t="shared" si="14"/>
        <v>111</v>
      </c>
      <c r="R46" s="1480" t="s">
        <v>8</v>
      </c>
      <c r="S46" s="1481">
        <f t="shared" si="10"/>
        <v>100</v>
      </c>
      <c r="T46" s="1480" t="s">
        <v>8</v>
      </c>
      <c r="U46" s="1481">
        <f t="shared" si="11"/>
        <v>100</v>
      </c>
      <c r="V46" s="1480" t="s">
        <v>8</v>
      </c>
      <c r="W46" s="1481">
        <f t="shared" si="12"/>
        <v>100</v>
      </c>
      <c r="X46" s="1474"/>
      <c r="Y46" s="3637"/>
      <c r="Z46" s="1482">
        <f t="shared" si="13"/>
        <v>111</v>
      </c>
      <c r="AA46" s="1483">
        <f t="shared" si="3"/>
        <v>1</v>
      </c>
      <c r="AB46" s="1483">
        <f t="shared" si="4"/>
        <v>1</v>
      </c>
      <c r="AC46" s="1483">
        <f t="shared" si="5"/>
        <v>1</v>
      </c>
    </row>
    <row r="47" spans="1:29" s="1265"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2"/>
      <c r="M47" s="1984"/>
      <c r="N47" s="1984"/>
      <c r="O47" s="1995"/>
      <c r="P47" s="3637"/>
      <c r="Q47" s="1479">
        <f t="shared" si="14"/>
        <v>111</v>
      </c>
      <c r="R47" s="1484" t="s">
        <v>8</v>
      </c>
      <c r="S47" s="1485">
        <f t="shared" si="10"/>
        <v>100</v>
      </c>
      <c r="T47" s="1484" t="s">
        <v>8</v>
      </c>
      <c r="U47" s="1485">
        <f t="shared" si="11"/>
        <v>100</v>
      </c>
      <c r="V47" s="1484" t="s">
        <v>8</v>
      </c>
      <c r="W47" s="1485">
        <f t="shared" si="12"/>
        <v>100</v>
      </c>
      <c r="X47" s="1486"/>
      <c r="Y47" s="3637"/>
      <c r="Z47" s="1487">
        <f t="shared" si="13"/>
        <v>111</v>
      </c>
      <c r="AA47" s="1483">
        <f t="shared" si="3"/>
        <v>1</v>
      </c>
      <c r="AB47" s="1483">
        <f t="shared" si="4"/>
        <v>1</v>
      </c>
      <c r="AC47" s="1483">
        <f t="shared" si="5"/>
        <v>1</v>
      </c>
    </row>
    <row r="48" spans="1:29" ht="20.25">
      <c r="A48" s="584" t="s">
        <v>539</v>
      </c>
      <c r="B48" s="585" t="s">
        <v>3276</v>
      </c>
      <c r="C48" s="586" t="s">
        <v>1</v>
      </c>
      <c r="D48" s="587"/>
      <c r="E48" s="588">
        <f>土地案例!N2</f>
        <v>27936</v>
      </c>
      <c r="F48" s="589"/>
      <c r="G48" s="590">
        <f>土地案例!N3</f>
        <v>28185</v>
      </c>
      <c r="H48" s="591"/>
      <c r="I48" s="588">
        <f>土地案例!N4</f>
        <v>35597</v>
      </c>
      <c r="J48" s="591"/>
      <c r="K48" s="1266"/>
      <c r="L48" s="1996"/>
      <c r="M48" s="1984"/>
      <c r="N48" s="1984"/>
      <c r="O48" s="1997"/>
      <c r="P48" s="3632" t="str">
        <f>A48</f>
        <v>成交单价</v>
      </c>
      <c r="Q48" s="3632"/>
      <c r="R48" s="3646">
        <f>E48</f>
        <v>27936</v>
      </c>
      <c r="S48" s="3646"/>
      <c r="T48" s="3646">
        <f>G48</f>
        <v>28185</v>
      </c>
      <c r="U48" s="3646"/>
      <c r="V48" s="3646">
        <f>I48</f>
        <v>35597</v>
      </c>
      <c r="W48" s="3646"/>
      <c r="X48" s="1469"/>
      <c r="Y48" s="1488"/>
      <c r="Z48" s="1469"/>
      <c r="AA48" s="1469"/>
      <c r="AB48" s="1469"/>
      <c r="AC48" s="1469"/>
    </row>
    <row r="49" spans="1:29" ht="21" thickBot="1">
      <c r="A49" s="592" t="s">
        <v>2592</v>
      </c>
      <c r="B49" s="593"/>
      <c r="C49" s="594">
        <f>R50</f>
        <v>32914</v>
      </c>
      <c r="D49" s="2948" t="s">
        <v>2881</v>
      </c>
      <c r="E49" s="594">
        <f>R49</f>
        <v>30100</v>
      </c>
      <c r="F49" s="2949"/>
      <c r="G49" s="595">
        <f>T49</f>
        <v>30672</v>
      </c>
      <c r="H49" s="2949"/>
      <c r="I49" s="594">
        <f>V49</f>
        <v>37971</v>
      </c>
      <c r="J49" s="2949"/>
      <c r="K49" s="2950">
        <f>F49+H49+J49</f>
        <v>0</v>
      </c>
      <c r="L49" s="1996"/>
      <c r="M49" s="1984"/>
      <c r="N49" s="1984"/>
      <c r="O49" s="1997"/>
      <c r="P49" s="3632" t="str">
        <f>A49</f>
        <v>比较价格（元/平方米）</v>
      </c>
      <c r="Q49" s="3632"/>
      <c r="R49" s="3656">
        <f>ROUND(PRODUCT(R48,AA9:AA47),0)</f>
        <v>30100</v>
      </c>
      <c r="S49" s="3656"/>
      <c r="T49" s="3656">
        <f>ROUND(PRODUCT(T48,AB9:AB47),0)</f>
        <v>30672</v>
      </c>
      <c r="U49" s="3656"/>
      <c r="V49" s="3656">
        <f>ROUND(PRODUCT(V48,AC9:AC47),0)</f>
        <v>37971</v>
      </c>
      <c r="W49" s="3656"/>
      <c r="X49" s="1469"/>
      <c r="Y49" s="1469"/>
      <c r="Z49" s="1469"/>
      <c r="AA49" s="1469"/>
      <c r="AB49" s="1469"/>
      <c r="AC49" s="1469"/>
    </row>
    <row r="50" spans="1:29" ht="21" thickBot="1">
      <c r="A50" s="596" t="s">
        <v>2814</v>
      </c>
      <c r="B50" s="597"/>
      <c r="C50" s="598">
        <f>R50</f>
        <v>32914</v>
      </c>
      <c r="D50" s="598"/>
      <c r="E50" s="598"/>
      <c r="F50" s="598"/>
      <c r="G50" s="598"/>
      <c r="H50" s="598"/>
      <c r="I50" s="598"/>
      <c r="J50" s="598"/>
      <c r="K50" s="1267"/>
      <c r="L50" s="1996"/>
      <c r="M50" s="1984"/>
      <c r="N50" s="1984"/>
      <c r="O50" s="1997"/>
      <c r="P50" s="3653" t="str">
        <f>A50</f>
        <v>估价对象XX用房的比较价格（楼面单价，元/平方米）</v>
      </c>
      <c r="Q50" s="3654"/>
      <c r="R50" s="3655">
        <f>ROUND(IF(D49="简单平均",AVERAGE(R49:W49),R49*F49+T49*H49+V49*J49),0)</f>
        <v>32914</v>
      </c>
      <c r="S50" s="3655"/>
      <c r="T50" s="3655"/>
      <c r="U50" s="3655"/>
      <c r="V50" s="3655"/>
      <c r="W50" s="3655"/>
      <c r="X50" s="1469"/>
      <c r="Y50" s="1469"/>
      <c r="Z50" s="1469"/>
      <c r="AA50" s="1469"/>
      <c r="AB50" s="1469"/>
      <c r="AC50" s="1469"/>
    </row>
    <row r="51" spans="1:29" ht="20.25">
      <c r="A51" s="3146"/>
      <c r="B51" s="3146"/>
      <c r="C51" s="3146"/>
      <c r="D51" s="3146"/>
      <c r="E51" s="3146"/>
      <c r="F51" s="3146"/>
      <c r="G51" s="3148"/>
      <c r="H51" s="3146"/>
      <c r="I51" s="3146"/>
      <c r="J51" s="3146"/>
      <c r="K51" s="3149"/>
      <c r="L51" s="2001"/>
      <c r="M51" s="1984"/>
      <c r="N51" s="1984"/>
      <c r="O51" s="1997"/>
      <c r="P51" s="1997"/>
      <c r="Q51" s="1997"/>
      <c r="R51" s="1997"/>
      <c r="S51" s="1997"/>
      <c r="T51" s="1997"/>
      <c r="U51" s="1997"/>
      <c r="V51" s="1997"/>
      <c r="W51" s="1997"/>
      <c r="X51" s="1997"/>
      <c r="Y51" s="1997"/>
      <c r="Z51" s="1997"/>
      <c r="AA51" s="1997"/>
      <c r="AB51" s="1997"/>
      <c r="AC51" s="1997"/>
    </row>
    <row r="52" spans="1:29" ht="20.25">
      <c r="A52" s="3146"/>
      <c r="B52" s="3146"/>
      <c r="C52" s="3146"/>
      <c r="D52" s="3146"/>
      <c r="E52" s="3146"/>
      <c r="F52" s="3146"/>
      <c r="G52" s="3146"/>
      <c r="H52" s="3146"/>
      <c r="I52" s="3146"/>
      <c r="J52" s="3146"/>
      <c r="K52" s="314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f>IF(E48&lt;E49,E49/E48-1,E48/E49-1)</f>
        <v>7.7462772050400863E-2</v>
      </c>
      <c r="F53" s="602" t="str">
        <f>IF(OR(E53&gt;=0.3,E53&lt;=-0.3),"超过30%","")</f>
        <v/>
      </c>
      <c r="G53" s="601">
        <f>IF(G48&lt;G49,G49/G48-1,G48/G49-1)</f>
        <v>8.8238424693986239E-2</v>
      </c>
      <c r="H53" s="602" t="str">
        <f>IF(OR(G53&gt;=0.3,G53&lt;=-0.3),"超过30%","")</f>
        <v/>
      </c>
      <c r="I53" s="601">
        <f>IF(I48&lt;I49,I49/I48-1,I48/I49-1)</f>
        <v>6.6691013287636602E-2</v>
      </c>
      <c r="J53" s="602" t="str">
        <f>IF(OR(I53&gt;=0.3,I53&lt;=-0.3),"超过30%","")</f>
        <v/>
      </c>
      <c r="K53" s="314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f>IF(E49&lt;G49,G49/E49-1,E49/G49-1)</f>
        <v>1.9003322259136146E-2</v>
      </c>
      <c r="F54" s="602" t="str">
        <f>IF(OR(E54&gt;=0.2,E54&lt;=-0.2),"超过20%","")</f>
        <v/>
      </c>
      <c r="G54" s="601">
        <f>IF(G49&lt;I49,I49/G49-1,G49/I49-1)</f>
        <v>0.23796948356807501</v>
      </c>
      <c r="H54" s="602" t="str">
        <f>IF(OR(G54&gt;=0.2,G54&lt;=-0.2),"超过20%","")</f>
        <v>超过20%</v>
      </c>
      <c r="I54" s="601">
        <f>IF(I49&lt;E49,E49/I49-1,I49/E49-1)</f>
        <v>0.26149501661129571</v>
      </c>
      <c r="J54" s="602" t="str">
        <f>IF(OR(I54&gt;=0.2,I54&lt;=-0.2),"超过20%","")</f>
        <v>超过20%</v>
      </c>
      <c r="K54" s="3149"/>
      <c r="L54" s="2001"/>
      <c r="M54" s="1984"/>
      <c r="N54" s="1984"/>
      <c r="O54" s="1997"/>
      <c r="P54" s="1997"/>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f>IF(E48&lt;G48,G48/E48-1,E48/G48-1)</f>
        <v>8.9132302405499075E-3</v>
      </c>
      <c r="F55" s="602" t="str">
        <f>IF(OR(E55&gt;=0.3,E55&lt;=-0.3),"超过30%","")</f>
        <v/>
      </c>
      <c r="G55" s="601">
        <f>IF(G48&lt;I48,I48/G48-1,G48/I48-1)</f>
        <v>0.26297676068830933</v>
      </c>
      <c r="H55" s="602" t="str">
        <f>IF(OR(G55&gt;=0.3,G55&lt;=-0.3),"超过30%","")</f>
        <v/>
      </c>
      <c r="I55" s="601">
        <f>IF(I48&lt;E48,E48/I48-1,I48/E48-1)</f>
        <v>0.27423396334478811</v>
      </c>
      <c r="J55" s="602" t="str">
        <f>IF(OR(I55&gt;=0.3,I55&lt;=-0.3),"超过30%","")</f>
        <v/>
      </c>
      <c r="K55" s="3150"/>
      <c r="L55" s="2004"/>
      <c r="M55" s="1984"/>
      <c r="N55" s="1984"/>
      <c r="O55" s="1998"/>
      <c r="P55" s="1998"/>
      <c r="Q55" s="1998"/>
      <c r="R55" s="1998"/>
      <c r="S55" s="1998"/>
      <c r="T55" s="1998"/>
      <c r="U55" s="1998"/>
      <c r="V55" s="1998"/>
      <c r="W55" s="1998"/>
      <c r="X55" s="1998"/>
      <c r="Y55" s="1998"/>
      <c r="Z55" s="1998"/>
      <c r="AA55" s="1998"/>
      <c r="AB55" s="1998"/>
      <c r="AC55" s="1998"/>
    </row>
    <row r="56" spans="1:29" s="1270" customFormat="1" ht="21" thickBot="1">
      <c r="A56" s="1998"/>
      <c r="B56" s="1999"/>
      <c r="C56" s="2002"/>
      <c r="D56" s="1998"/>
      <c r="E56" s="1998"/>
      <c r="F56" s="1998"/>
      <c r="G56" s="1998"/>
      <c r="H56" s="1998"/>
      <c r="I56" s="1998"/>
      <c r="J56" s="1998"/>
      <c r="K56" s="315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4" t="s">
        <v>543</v>
      </c>
      <c r="B57" s="605" t="s">
        <v>544</v>
      </c>
      <c r="C57" s="1470" t="s">
        <v>1704</v>
      </c>
      <c r="D57" s="2077" t="s">
        <v>2265</v>
      </c>
      <c r="E57" s="606" t="s">
        <v>545</v>
      </c>
      <c r="F57" s="607" t="s">
        <v>546</v>
      </c>
      <c r="G57" s="3616" t="s">
        <v>2254</v>
      </c>
      <c r="H57" s="3617"/>
      <c r="I57" s="1466" t="s">
        <v>1702</v>
      </c>
      <c r="J57" s="1466">
        <f>项目基本情况!F41</f>
        <v>0</v>
      </c>
      <c r="K57" s="2005" t="s">
        <v>1703</v>
      </c>
      <c r="L57" s="2001"/>
      <c r="M57" s="1997"/>
      <c r="N57" s="1997"/>
      <c r="O57" s="1997"/>
      <c r="P57" s="1997"/>
      <c r="Q57" s="1997"/>
      <c r="R57" s="1997"/>
      <c r="S57" s="1997"/>
      <c r="T57" s="1997"/>
      <c r="U57" s="1997"/>
      <c r="V57" s="1997"/>
      <c r="W57" s="1997"/>
      <c r="X57" s="1997"/>
      <c r="Y57" s="1997"/>
      <c r="Z57" s="1997"/>
      <c r="AA57" s="1997"/>
      <c r="AB57" s="1997"/>
      <c r="AC57" s="1997"/>
    </row>
    <row r="58" spans="1:29" s="1271" customFormat="1" ht="12.75">
      <c r="A58" s="608" t="s">
        <v>547</v>
      </c>
      <c r="B58" s="609">
        <f>C50</f>
        <v>32914</v>
      </c>
      <c r="C58" s="610">
        <v>1</v>
      </c>
      <c r="D58" s="2078">
        <v>1</v>
      </c>
      <c r="E58" s="610">
        <f>'数据-汇总表'!E8+'数据-汇总表'!E9</f>
        <v>44088.19</v>
      </c>
      <c r="F58" s="611">
        <f t="shared" ref="F58:F67" si="15">ROUND(B58*E58/10000,0)</f>
        <v>145112</v>
      </c>
      <c r="G58" s="3618"/>
      <c r="H58" s="3619"/>
      <c r="I58" s="1467">
        <v>1</v>
      </c>
      <c r="J58" s="1467">
        <v>1</v>
      </c>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548</v>
      </c>
      <c r="B59" s="613">
        <f>ROUND($C$50*C59*D59,0)</f>
        <v>4937</v>
      </c>
      <c r="C59" s="372">
        <f t="shared" ref="C59:C67" si="16">IF($C$57="北京市系数",I59,J59)</f>
        <v>0.6</v>
      </c>
      <c r="D59" s="2079">
        <v>0.25</v>
      </c>
      <c r="E59" s="614">
        <v>0</v>
      </c>
      <c r="F59" s="611">
        <f t="shared" si="15"/>
        <v>0</v>
      </c>
      <c r="G59" s="3620" t="s">
        <v>2255</v>
      </c>
      <c r="H59" s="1833" t="str">
        <f>项目基本情况!B43</f>
        <v>八级</v>
      </c>
      <c r="I59" s="1467">
        <f>SUMIF(修正!$A$45:$A$56,H59,修正!B45:B56)</f>
        <v>0.6</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549</v>
      </c>
      <c r="B60" s="613">
        <f t="shared" ref="B60:B67" si="17">ROUND($C$50*C60*D60,0)</f>
        <v>2469</v>
      </c>
      <c r="C60" s="372">
        <f t="shared" si="16"/>
        <v>0.3</v>
      </c>
      <c r="D60" s="2079">
        <v>0.25</v>
      </c>
      <c r="E60" s="614">
        <v>0</v>
      </c>
      <c r="F60" s="611">
        <f t="shared" si="15"/>
        <v>0</v>
      </c>
      <c r="G60" s="3620"/>
      <c r="H60" s="1833" t="str">
        <f>项目基本情况!B43</f>
        <v>八级</v>
      </c>
      <c r="I60" s="1467">
        <f>SUMIF(修正!$A$45:$A$56,H60,修正!C45:C56)</f>
        <v>0.3</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550</v>
      </c>
      <c r="B61" s="613">
        <f t="shared" si="17"/>
        <v>1646</v>
      </c>
      <c r="C61" s="372">
        <f t="shared" si="16"/>
        <v>0.2</v>
      </c>
      <c r="D61" s="2079">
        <v>0.25</v>
      </c>
      <c r="E61" s="614">
        <v>0</v>
      </c>
      <c r="F61" s="611">
        <f t="shared" si="15"/>
        <v>0</v>
      </c>
      <c r="G61" s="3620"/>
      <c r="H61" s="1833" t="str">
        <f>项目基本情况!B43</f>
        <v>八级</v>
      </c>
      <c r="I61" s="1467">
        <f>SUMIF(修正!$A$45:$A$56,H61,修正!D45:D56)</f>
        <v>0.2</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2.75">
      <c r="A62" s="612" t="s">
        <v>551</v>
      </c>
      <c r="B62" s="613">
        <f t="shared" si="17"/>
        <v>1646</v>
      </c>
      <c r="C62" s="372">
        <f t="shared" si="16"/>
        <v>0.2</v>
      </c>
      <c r="D62" s="2079">
        <v>0.25</v>
      </c>
      <c r="E62" s="614">
        <v>0</v>
      </c>
      <c r="F62" s="611">
        <f t="shared" si="15"/>
        <v>0</v>
      </c>
      <c r="G62" s="3620"/>
      <c r="H62" s="1833" t="str">
        <f>项目基本情况!B43</f>
        <v>八级</v>
      </c>
      <c r="I62" s="1467">
        <f>SUMIF(修正!$A$45:$A$56,H62,修正!E45:E56)</f>
        <v>0.2</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2.75">
      <c r="A63" s="2181" t="s">
        <v>2300</v>
      </c>
      <c r="B63" s="613">
        <f t="shared" si="17"/>
        <v>1646</v>
      </c>
      <c r="C63" s="372">
        <f t="shared" si="16"/>
        <v>0.2</v>
      </c>
      <c r="D63" s="2079">
        <v>0.25</v>
      </c>
      <c r="E63" s="616">
        <f>'数据-汇总表'!E11</f>
        <v>50</v>
      </c>
      <c r="F63" s="611">
        <f t="shared" si="15"/>
        <v>8</v>
      </c>
      <c r="G63" s="1830" t="s">
        <v>2256</v>
      </c>
      <c r="H63" s="1833" t="str">
        <f>项目基本情况!C43</f>
        <v>八级</v>
      </c>
      <c r="I63" s="1467">
        <f>SUMIF(修正!$A$45:$A$56,H63,修正!F45:F56)</f>
        <v>0.2</v>
      </c>
      <c r="J63" s="1468"/>
      <c r="K63" s="3151"/>
      <c r="L63" s="2006"/>
      <c r="M63" s="2006"/>
      <c r="N63" s="2006"/>
      <c r="O63" s="2006"/>
      <c r="P63" s="2006"/>
      <c r="Q63" s="2006"/>
      <c r="R63" s="2006"/>
      <c r="S63" s="2006"/>
      <c r="T63" s="2006"/>
      <c r="U63" s="2006"/>
      <c r="V63" s="2006"/>
      <c r="W63" s="2006"/>
      <c r="X63" s="2006"/>
      <c r="Y63" s="2006"/>
      <c r="Z63" s="2006"/>
      <c r="AA63" s="2006"/>
      <c r="AB63" s="2006"/>
      <c r="AC63" s="2006"/>
    </row>
    <row r="64" spans="1:29" s="1271" customFormat="1" ht="12.75">
      <c r="A64" s="612" t="s">
        <v>552</v>
      </c>
      <c r="B64" s="613">
        <f t="shared" si="17"/>
        <v>1646</v>
      </c>
      <c r="C64" s="372">
        <f t="shared" si="16"/>
        <v>0.2</v>
      </c>
      <c r="D64" s="2079">
        <v>0.25</v>
      </c>
      <c r="E64" s="616">
        <f>'数据-汇总表'!E12</f>
        <v>3005.41</v>
      </c>
      <c r="F64" s="611">
        <f t="shared" si="15"/>
        <v>495</v>
      </c>
      <c r="G64" s="1831" t="s">
        <v>903</v>
      </c>
      <c r="H64" s="1829" t="str">
        <f>IF(G64="商业",项目基本情况!B43,IF(G64="办公",项目基本情况!C43,IF(G64="住宅",项目基本情况!D43,项目基本情况!E43)))</f>
        <v>八级</v>
      </c>
      <c r="I64" s="1467">
        <f>SUMIF(修正!$A$45:$A$56,H64,修正!G45:G56)</f>
        <v>0.2</v>
      </c>
      <c r="J64" s="1468"/>
      <c r="K64" s="3151"/>
      <c r="L64" s="2006"/>
      <c r="M64" s="2006"/>
      <c r="N64" s="2006"/>
      <c r="O64" s="2006"/>
      <c r="P64" s="2006"/>
      <c r="Q64" s="2006"/>
      <c r="R64" s="2006"/>
      <c r="S64" s="2006"/>
      <c r="T64" s="2006"/>
      <c r="U64" s="2006"/>
      <c r="V64" s="2006"/>
      <c r="W64" s="2006"/>
      <c r="X64" s="2006"/>
      <c r="Y64" s="2006"/>
      <c r="Z64" s="2006"/>
      <c r="AA64" s="2006"/>
      <c r="AB64" s="2006"/>
      <c r="AC64" s="2006"/>
    </row>
    <row r="65" spans="1:29" s="1271" customFormat="1" ht="12.75">
      <c r="A65" s="612" t="s">
        <v>553</v>
      </c>
      <c r="B65" s="613">
        <f t="shared" si="17"/>
        <v>1234</v>
      </c>
      <c r="C65" s="372">
        <f t="shared" si="16"/>
        <v>0.15</v>
      </c>
      <c r="D65" s="2079">
        <v>0.25</v>
      </c>
      <c r="E65" s="616">
        <f>'数据-汇总表'!E13</f>
        <v>11890.43</v>
      </c>
      <c r="F65" s="611">
        <f t="shared" si="15"/>
        <v>1467</v>
      </c>
      <c r="G65" s="1831" t="s">
        <v>903</v>
      </c>
      <c r="H65" s="1829" t="str">
        <f>IF(G65="商业",项目基本情况!B43,IF(G65="办公",项目基本情况!C43,IF(G65="住宅",项目基本情况!D43,项目基本情况!E43)))</f>
        <v>八级</v>
      </c>
      <c r="I65" s="1467">
        <f>SUMIF(修正!$A$45:$A$56,H65,修正!H45:H56)</f>
        <v>0.15</v>
      </c>
      <c r="J65" s="1468"/>
      <c r="K65" s="3151"/>
      <c r="L65" s="2006"/>
      <c r="M65" s="2006"/>
      <c r="N65" s="2006"/>
      <c r="O65" s="2006"/>
      <c r="P65" s="2006"/>
      <c r="Q65" s="2006"/>
      <c r="R65" s="2006"/>
      <c r="S65" s="2006"/>
      <c r="T65" s="2006"/>
      <c r="U65" s="2006"/>
      <c r="V65" s="2006"/>
      <c r="W65" s="2006"/>
      <c r="X65" s="2006"/>
      <c r="Y65" s="2006"/>
      <c r="Z65" s="2006"/>
      <c r="AA65" s="2006"/>
      <c r="AB65" s="2006"/>
      <c r="AC65" s="2006"/>
    </row>
    <row r="66" spans="1:29" s="1271" customFormat="1" ht="12.75">
      <c r="A66" s="612" t="s">
        <v>554</v>
      </c>
      <c r="B66" s="613">
        <f t="shared" si="17"/>
        <v>1234</v>
      </c>
      <c r="C66" s="372">
        <f t="shared" si="16"/>
        <v>0.15</v>
      </c>
      <c r="D66" s="2079">
        <v>0.25</v>
      </c>
      <c r="E66" s="616">
        <f>'数据-汇总表'!E14</f>
        <v>0</v>
      </c>
      <c r="F66" s="611">
        <f t="shared" si="15"/>
        <v>0</v>
      </c>
      <c r="G66" s="1830" t="s">
        <v>2255</v>
      </c>
      <c r="H66" s="1833" t="str">
        <f>项目基本情况!B43</f>
        <v>八级</v>
      </c>
      <c r="I66" s="1467">
        <f>SUMIF(修正!$A$45:$A$56,H66,修正!H45:H56)</f>
        <v>0.15</v>
      </c>
      <c r="J66" s="1468"/>
      <c r="K66" s="3151"/>
      <c r="L66" s="2006"/>
      <c r="M66" s="2006"/>
      <c r="N66" s="2006"/>
      <c r="O66" s="2006"/>
      <c r="P66" s="2006"/>
      <c r="Q66" s="2006"/>
      <c r="R66" s="2006"/>
      <c r="S66" s="2006"/>
      <c r="T66" s="2006"/>
      <c r="U66" s="2006"/>
      <c r="V66" s="2006"/>
      <c r="W66" s="2006"/>
      <c r="X66" s="2006"/>
      <c r="Y66" s="2006"/>
      <c r="Z66" s="2006"/>
      <c r="AA66" s="2006"/>
      <c r="AB66" s="2006"/>
      <c r="AC66" s="2006"/>
    </row>
    <row r="67" spans="1:29" s="1271" customFormat="1" ht="13.5" thickBot="1">
      <c r="A67" s="612" t="s">
        <v>555</v>
      </c>
      <c r="B67" s="613">
        <f t="shared" si="17"/>
        <v>1234</v>
      </c>
      <c r="C67" s="372">
        <f t="shared" si="16"/>
        <v>0.15</v>
      </c>
      <c r="D67" s="2079">
        <v>0.25</v>
      </c>
      <c r="E67" s="616">
        <f>'数据-汇总表'!E15</f>
        <v>0</v>
      </c>
      <c r="F67" s="611">
        <f t="shared" si="15"/>
        <v>0</v>
      </c>
      <c r="G67" s="1832" t="s">
        <v>2256</v>
      </c>
      <c r="H67" s="1834" t="str">
        <f>项目基本情况!C43</f>
        <v>八级</v>
      </c>
      <c r="I67" s="1467">
        <f>SUMIF(修正!$A$45:$A$56,H67,修正!H45:H56)</f>
        <v>0.15</v>
      </c>
      <c r="J67" s="1468"/>
      <c r="K67" s="3151"/>
      <c r="L67" s="2006"/>
      <c r="M67" s="2006"/>
      <c r="N67" s="2006"/>
      <c r="O67" s="2006"/>
      <c r="P67" s="2006"/>
      <c r="Q67" s="2006"/>
      <c r="R67" s="2006"/>
      <c r="S67" s="2006"/>
      <c r="T67" s="2006"/>
      <c r="U67" s="2006"/>
      <c r="V67" s="2006"/>
      <c r="W67" s="2006"/>
      <c r="X67" s="2006"/>
      <c r="Y67" s="2006"/>
      <c r="Z67" s="2006"/>
      <c r="AA67" s="2006"/>
      <c r="AB67" s="2006"/>
      <c r="AC67" s="2006"/>
    </row>
    <row r="68" spans="1:29" s="1271" customFormat="1" ht="13.5" thickBot="1">
      <c r="A68" s="617" t="s">
        <v>556</v>
      </c>
      <c r="B68" s="618" t="s">
        <v>17</v>
      </c>
      <c r="C68" s="618" t="s">
        <v>18</v>
      </c>
      <c r="D68" s="618" t="s">
        <v>2266</v>
      </c>
      <c r="E68" s="618">
        <f>IF(B48="楼面地价",SUM(E58:E67),'数据-汇总表'!D3)</f>
        <v>59034.030000000006</v>
      </c>
      <c r="F68" s="619">
        <f>IF(B48="楼面地价",SUM(F58:F67),ROUND(C50*E68/10000,0))</f>
        <v>147082</v>
      </c>
      <c r="G68" s="2007" t="s">
        <v>3278</v>
      </c>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54" t="str">
        <f>YEAR(C9)&amp;"-"&amp;MONTH(C9)&amp;"-1"</f>
        <v>2022-3-1</v>
      </c>
      <c r="D70" s="2454">
        <f>EDATE(C70,-3)</f>
        <v>44531</v>
      </c>
      <c r="E70" s="2454">
        <f t="shared" ref="E70:N70" si="18">EDATE(D70,-3)</f>
        <v>44440</v>
      </c>
      <c r="F70" s="2454">
        <f t="shared" si="18"/>
        <v>44348</v>
      </c>
      <c r="G70" s="2454">
        <f t="shared" si="18"/>
        <v>44256</v>
      </c>
      <c r="H70" s="2454">
        <f t="shared" si="18"/>
        <v>44166</v>
      </c>
      <c r="I70" s="2454">
        <f t="shared" si="18"/>
        <v>44075</v>
      </c>
      <c r="J70" s="2454">
        <f t="shared" si="18"/>
        <v>43983</v>
      </c>
      <c r="K70" s="2454">
        <f t="shared" si="18"/>
        <v>43891</v>
      </c>
      <c r="L70" s="2454">
        <f t="shared" si="18"/>
        <v>43800</v>
      </c>
      <c r="M70" s="2454">
        <f t="shared" si="18"/>
        <v>43709</v>
      </c>
      <c r="N70" s="2454">
        <f t="shared" si="18"/>
        <v>43617</v>
      </c>
      <c r="O70" s="1997"/>
      <c r="P70" s="1997"/>
      <c r="Q70" s="1997"/>
      <c r="R70" s="1997"/>
      <c r="S70" s="1997"/>
      <c r="T70" s="1997"/>
      <c r="U70" s="1997"/>
      <c r="V70" s="1997"/>
      <c r="W70" s="1997"/>
      <c r="X70" s="1997"/>
      <c r="Y70" s="1997"/>
      <c r="Z70" s="1997"/>
      <c r="AA70" s="1997"/>
      <c r="AB70" s="1997"/>
      <c r="AC70" s="1997"/>
    </row>
    <row r="71" spans="1:29" ht="21.75" thickBot="1">
      <c r="A71" s="1491" t="s">
        <v>557</v>
      </c>
      <c r="B71" s="1469"/>
      <c r="C71" s="1490"/>
      <c r="D71" s="1490"/>
      <c r="E71" s="1490"/>
      <c r="F71" s="1492"/>
      <c r="G71" s="1492"/>
      <c r="H71" s="1490"/>
      <c r="I71" s="1490"/>
      <c r="J71" s="1490"/>
      <c r="K71" s="1493"/>
      <c r="L71" s="1489"/>
      <c r="M71" s="1490"/>
      <c r="N71" s="1490"/>
      <c r="O71" s="2008"/>
      <c r="P71" s="2008"/>
      <c r="Q71" s="2009"/>
      <c r="R71" s="1997"/>
      <c r="S71" s="1997"/>
      <c r="T71" s="1997"/>
      <c r="U71" s="1997"/>
      <c r="V71" s="1997"/>
      <c r="W71" s="1997"/>
      <c r="X71" s="1997"/>
      <c r="Y71" s="1997"/>
      <c r="Z71" s="1997"/>
      <c r="AA71" s="1997"/>
      <c r="AB71" s="1997"/>
      <c r="AC71" s="1997"/>
    </row>
    <row r="72" spans="1:29" s="1272" customFormat="1" ht="15">
      <c r="A72" s="2359" t="s">
        <v>2432</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0"/>
      <c r="P72" s="2011"/>
      <c r="Q72" s="2012"/>
      <c r="R72" s="2012"/>
      <c r="S72" s="2012"/>
      <c r="T72" s="2012"/>
      <c r="U72" s="2012"/>
      <c r="V72" s="2012"/>
      <c r="W72" s="2012"/>
      <c r="X72" s="2012"/>
      <c r="Y72" s="2012"/>
      <c r="Z72" s="2012"/>
      <c r="AA72" s="2012"/>
      <c r="AB72" s="2012"/>
      <c r="AC72" s="2012"/>
    </row>
    <row r="73" spans="1:29" s="1183" customFormat="1" ht="27" customHeight="1">
      <c r="A73" s="2461" t="s">
        <v>2546</v>
      </c>
      <c r="B73" s="472" t="str">
        <f>"北京市平均增长率"&amp;TEXT(SUMIF(基准地价!N21:N25,A73,基准地价!P21:P25),"0.00%")</f>
        <v>北京市平均增长率1.64%</v>
      </c>
      <c r="C73" s="863">
        <v>100</v>
      </c>
      <c r="D73" s="705">
        <f>C73-1</f>
        <v>99</v>
      </c>
      <c r="E73" s="705">
        <f t="shared" ref="E73:N73" si="20">D73-1</f>
        <v>98</v>
      </c>
      <c r="F73" s="705">
        <f t="shared" si="20"/>
        <v>97</v>
      </c>
      <c r="G73" s="705">
        <f t="shared" si="20"/>
        <v>96</v>
      </c>
      <c r="H73" s="705">
        <f t="shared" si="20"/>
        <v>95</v>
      </c>
      <c r="I73" s="705">
        <f t="shared" si="20"/>
        <v>94</v>
      </c>
      <c r="J73" s="705">
        <f t="shared" si="20"/>
        <v>93</v>
      </c>
      <c r="K73" s="705">
        <f t="shared" si="20"/>
        <v>92</v>
      </c>
      <c r="L73" s="705">
        <f t="shared" si="20"/>
        <v>91</v>
      </c>
      <c r="M73" s="705">
        <f t="shared" si="20"/>
        <v>90</v>
      </c>
      <c r="N73" s="705">
        <f t="shared" si="20"/>
        <v>89</v>
      </c>
      <c r="O73" s="2013"/>
      <c r="P73" s="2009"/>
      <c r="Q73" s="1875"/>
      <c r="R73" s="1875"/>
      <c r="S73" s="1875"/>
      <c r="T73" s="1875"/>
      <c r="U73" s="1875"/>
      <c r="V73" s="1875"/>
      <c r="W73" s="1875"/>
      <c r="X73" s="1875"/>
      <c r="Y73" s="1875"/>
      <c r="Z73" s="1875"/>
      <c r="AA73" s="1875"/>
      <c r="AB73" s="1875"/>
      <c r="AC73" s="1875"/>
    </row>
    <row r="74" spans="1:29" s="1183" customFormat="1" ht="15" customHeight="1" thickBot="1">
      <c r="A74" s="2452" t="s">
        <v>2545</v>
      </c>
      <c r="B74" s="2460"/>
      <c r="C74" s="2447"/>
      <c r="D74" s="2448"/>
      <c r="E74" s="2448"/>
      <c r="F74" s="2448"/>
      <c r="G74" s="2448"/>
      <c r="H74" s="2448"/>
      <c r="I74" s="2448"/>
      <c r="J74" s="2448"/>
      <c r="K74" s="2448"/>
      <c r="L74" s="2448"/>
      <c r="M74" s="2448"/>
      <c r="N74" s="2448"/>
      <c r="O74" s="2013"/>
      <c r="P74" s="2009"/>
      <c r="Q74" s="2009"/>
      <c r="R74" s="1875"/>
      <c r="S74" s="1875"/>
      <c r="T74" s="1875"/>
      <c r="U74" s="1875"/>
      <c r="V74" s="1875"/>
      <c r="W74" s="1875"/>
      <c r="X74" s="1875"/>
      <c r="Y74" s="1875"/>
      <c r="Z74" s="1875"/>
      <c r="AA74" s="1875"/>
      <c r="AB74" s="1875"/>
      <c r="AC74" s="1875"/>
    </row>
    <row r="75" spans="1:29" s="1183" customFormat="1" ht="15">
      <c r="A75" s="634" t="s">
        <v>514</v>
      </c>
      <c r="B75" s="623"/>
      <c r="C75" s="635" t="s">
        <v>559</v>
      </c>
      <c r="D75" s="636"/>
      <c r="E75" s="636"/>
      <c r="F75" s="636"/>
      <c r="G75" s="636"/>
      <c r="H75" s="636"/>
      <c r="I75" s="636"/>
      <c r="J75" s="636"/>
      <c r="K75" s="636"/>
      <c r="L75" s="637"/>
      <c r="M75" s="638"/>
      <c r="N75" s="2013"/>
      <c r="O75" s="2013"/>
      <c r="P75" s="2014"/>
      <c r="Q75" s="2009"/>
      <c r="R75" s="1875"/>
      <c r="S75" s="1875"/>
      <c r="T75" s="1875"/>
      <c r="U75" s="1875"/>
      <c r="V75" s="1875"/>
      <c r="W75" s="1875"/>
      <c r="X75" s="1875"/>
      <c r="Y75" s="1875"/>
      <c r="Z75" s="1875"/>
      <c r="AA75" s="1875"/>
      <c r="AB75" s="1875"/>
      <c r="AC75" s="1875"/>
    </row>
    <row r="76" spans="1:29" s="1183" customFormat="1" ht="15.75" thickBot="1">
      <c r="A76" s="634"/>
      <c r="B76" s="623"/>
      <c r="C76" s="624">
        <v>100</v>
      </c>
      <c r="D76" s="625"/>
      <c r="E76" s="625"/>
      <c r="F76" s="625"/>
      <c r="G76" s="625"/>
      <c r="H76" s="625"/>
      <c r="I76" s="625"/>
      <c r="J76" s="625"/>
      <c r="K76" s="625"/>
      <c r="L76" s="625"/>
      <c r="M76" s="627"/>
      <c r="N76" s="2013"/>
      <c r="O76" s="2013"/>
      <c r="P76" s="2009"/>
      <c r="Q76" s="2009"/>
      <c r="R76" s="1875"/>
      <c r="S76" s="1875"/>
      <c r="T76" s="1875"/>
      <c r="U76" s="1875"/>
      <c r="V76" s="1875"/>
      <c r="W76" s="1875"/>
      <c r="X76" s="1875"/>
      <c r="Y76" s="1875"/>
      <c r="Z76" s="1875"/>
      <c r="AA76" s="1875"/>
      <c r="AB76" s="1875"/>
      <c r="AC76" s="1875"/>
    </row>
    <row r="77" spans="1:29">
      <c r="A77" s="639" t="s">
        <v>560</v>
      </c>
      <c r="B77" s="640" t="s">
        <v>517</v>
      </c>
      <c r="C77" s="3434" t="s">
        <v>3266</v>
      </c>
      <c r="D77" s="575"/>
      <c r="E77" s="575"/>
      <c r="F77" s="575"/>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45"/>
      <c r="C78" s="646">
        <v>100</v>
      </c>
      <c r="D78" s="646"/>
      <c r="E78" s="646"/>
      <c r="F78" s="646"/>
      <c r="G78" s="646"/>
      <c r="H78" s="646"/>
      <c r="I78" s="646"/>
      <c r="J78" s="646"/>
      <c r="K78" s="646"/>
      <c r="L78" s="646"/>
      <c r="M78" s="647"/>
      <c r="N78" s="2017"/>
      <c r="O78" s="2017"/>
      <c r="P78" s="2016"/>
      <c r="Q78" s="2009"/>
      <c r="R78" s="1997"/>
      <c r="S78" s="1997"/>
      <c r="T78" s="1997"/>
      <c r="U78" s="1997"/>
      <c r="V78" s="1997"/>
      <c r="W78" s="1997"/>
      <c r="X78" s="1997"/>
      <c r="Y78" s="1997"/>
      <c r="Z78" s="1997"/>
      <c r="AA78" s="1997"/>
      <c r="AB78" s="1997"/>
      <c r="AC78" s="1997"/>
    </row>
    <row r="79" spans="1:29" ht="27.75" thickTop="1">
      <c r="A79" s="644"/>
      <c r="B79" s="648" t="s">
        <v>520</v>
      </c>
      <c r="C79" s="649"/>
      <c r="D79" s="649"/>
      <c r="E79" s="649"/>
      <c r="F79" s="649"/>
      <c r="G79" s="649"/>
      <c r="H79" s="649"/>
      <c r="I79" s="649"/>
      <c r="J79" s="649"/>
      <c r="K79" s="650"/>
      <c r="L79" s="651"/>
      <c r="M79" s="652"/>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c r="D80" s="654"/>
      <c r="E80" s="654"/>
      <c r="F80" s="654"/>
      <c r="G80" s="654"/>
      <c r="H80" s="654"/>
      <c r="I80" s="654"/>
      <c r="J80" s="654"/>
      <c r="K80" s="654"/>
      <c r="L80" s="654"/>
      <c r="M80" s="655"/>
      <c r="N80" s="2017"/>
      <c r="O80" s="2017"/>
      <c r="P80" s="2016"/>
      <c r="Q80" s="2009"/>
      <c r="R80" s="1997"/>
      <c r="S80" s="1997"/>
      <c r="T80" s="1997"/>
      <c r="U80" s="1997"/>
      <c r="V80" s="1997"/>
      <c r="W80" s="1997"/>
      <c r="X80" s="1997"/>
      <c r="Y80" s="1997"/>
      <c r="Z80" s="1997"/>
      <c r="AA80" s="1997"/>
      <c r="AB80" s="1997"/>
      <c r="AC80" s="1997"/>
    </row>
    <row r="81" spans="1:29" ht="15.75" thickTop="1">
      <c r="A81" s="644"/>
      <c r="B81" s="656" t="s">
        <v>521</v>
      </c>
      <c r="C81" s="657" t="str">
        <f>C82&amp;"（含）"&amp;"-"&amp;D82</f>
        <v>0.5（含）-1.5</v>
      </c>
      <c r="D81" s="657" t="str">
        <f t="shared" ref="D81:L81" si="21">D82&amp;"（含）"&amp;"-"&amp;E82</f>
        <v>1.5（含）-2.5</v>
      </c>
      <c r="E81" s="657" t="str">
        <f t="shared" si="21"/>
        <v>2.5（含）-3.5</v>
      </c>
      <c r="F81" s="657" t="str">
        <f t="shared" si="21"/>
        <v>3.5（含）-4.5</v>
      </c>
      <c r="G81" s="657" t="str">
        <f t="shared" si="21"/>
        <v>4.5（含）-5.5</v>
      </c>
      <c r="H81" s="657" t="str">
        <f t="shared" si="21"/>
        <v>5.5（含）-</v>
      </c>
      <c r="I81" s="657" t="str">
        <f t="shared" si="21"/>
        <v>（含）-</v>
      </c>
      <c r="J81" s="657" t="str">
        <f t="shared" si="21"/>
        <v>（含）-</v>
      </c>
      <c r="K81" s="657" t="str">
        <f t="shared" si="21"/>
        <v>（含）-</v>
      </c>
      <c r="L81" s="657" t="str">
        <f t="shared" si="21"/>
        <v>（含）-</v>
      </c>
      <c r="M81" s="532"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4"/>
      <c r="B82" s="658"/>
      <c r="C82" s="518">
        <v>0.5</v>
      </c>
      <c r="D82" s="518">
        <v>1.5</v>
      </c>
      <c r="E82" s="518">
        <v>2.5</v>
      </c>
      <c r="F82" s="518">
        <v>3.5</v>
      </c>
      <c r="G82" s="518">
        <v>4.5</v>
      </c>
      <c r="H82" s="518">
        <v>5.5</v>
      </c>
      <c r="I82" s="518"/>
      <c r="J82" s="518"/>
      <c r="K82" s="659"/>
      <c r="L82" s="660"/>
      <c r="M82" s="661"/>
      <c r="N82" s="2015"/>
      <c r="O82" s="2015"/>
      <c r="P82" s="2016"/>
      <c r="Q82" s="2009"/>
      <c r="R82" s="1997"/>
      <c r="S82" s="1997"/>
      <c r="T82" s="1997"/>
      <c r="U82" s="1997"/>
      <c r="V82" s="1997"/>
      <c r="W82" s="1997"/>
      <c r="X82" s="1997"/>
      <c r="Y82" s="1997"/>
      <c r="Z82" s="1997"/>
      <c r="AA82" s="1997"/>
      <c r="AB82" s="1997"/>
      <c r="AC82" s="1997"/>
    </row>
    <row r="83" spans="1:29" ht="15.75" thickBot="1">
      <c r="A83" s="644"/>
      <c r="B83" s="645"/>
      <c r="C83" s="654">
        <v>100</v>
      </c>
      <c r="D83" s="654">
        <f>IF($B$48="单位面积地价",C83+$K13,C83-$K13)</f>
        <v>99</v>
      </c>
      <c r="E83" s="654">
        <f t="shared" ref="E83:M83" si="22">IF($B$48="单位面积地价",D83+$K13,D83-$K13)</f>
        <v>98</v>
      </c>
      <c r="F83" s="654">
        <f t="shared" si="22"/>
        <v>97</v>
      </c>
      <c r="G83" s="654">
        <f t="shared" si="22"/>
        <v>96</v>
      </c>
      <c r="H83" s="654">
        <f t="shared" si="22"/>
        <v>95</v>
      </c>
      <c r="I83" s="654">
        <f t="shared" si="22"/>
        <v>94</v>
      </c>
      <c r="J83" s="654">
        <f t="shared" si="22"/>
        <v>93</v>
      </c>
      <c r="K83" s="654">
        <f t="shared" si="22"/>
        <v>92</v>
      </c>
      <c r="L83" s="654">
        <f t="shared" si="22"/>
        <v>91</v>
      </c>
      <c r="M83" s="654">
        <f t="shared" si="22"/>
        <v>90</v>
      </c>
      <c r="N83" s="2017"/>
      <c r="O83" s="2017"/>
      <c r="P83" s="2016"/>
      <c r="Q83" s="2009"/>
      <c r="R83" s="1997"/>
      <c r="S83" s="1997"/>
      <c r="T83" s="1997"/>
      <c r="U83" s="1997"/>
      <c r="V83" s="1997"/>
      <c r="W83" s="1997"/>
      <c r="X83" s="1997"/>
      <c r="Y83" s="1997"/>
      <c r="Z83" s="1997"/>
      <c r="AA83" s="1997"/>
      <c r="AB83" s="1997"/>
      <c r="AC83" s="1997"/>
    </row>
    <row r="84" spans="1:29" s="1265" customFormat="1" ht="15.75" thickTop="1">
      <c r="A84" s="662"/>
      <c r="B84" s="648" t="str">
        <f>B14</f>
        <v>配建</v>
      </c>
      <c r="C84" s="663"/>
      <c r="D84" s="1299"/>
      <c r="E84" s="1300"/>
      <c r="F84" s="663"/>
      <c r="G84" s="663"/>
      <c r="H84" s="664"/>
      <c r="I84" s="664"/>
      <c r="J84" s="664"/>
      <c r="K84" s="664"/>
      <c r="L84" s="665"/>
      <c r="M84" s="666"/>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7"/>
      <c r="O85" s="2017"/>
      <c r="P85" s="2019"/>
      <c r="Q85" s="2020"/>
      <c r="R85" s="2021"/>
      <c r="S85" s="2021"/>
      <c r="T85" s="2021"/>
      <c r="U85" s="2021"/>
      <c r="V85" s="2021"/>
      <c r="W85" s="2021"/>
      <c r="X85" s="2021"/>
      <c r="Y85" s="2021"/>
      <c r="Z85" s="2021"/>
      <c r="AA85" s="2021"/>
      <c r="AB85" s="2021"/>
      <c r="AC85" s="2021"/>
    </row>
    <row r="86" spans="1:29" s="1265" customFormat="1" ht="15.75" thickTop="1">
      <c r="A86" s="662"/>
      <c r="B86" s="648">
        <f>B15</f>
        <v>111</v>
      </c>
      <c r="C86" s="663"/>
      <c r="D86" s="663"/>
      <c r="E86" s="663"/>
      <c r="F86" s="663"/>
      <c r="G86" s="663"/>
      <c r="H86" s="664"/>
      <c r="I86" s="664"/>
      <c r="J86" s="664"/>
      <c r="K86" s="664"/>
      <c r="L86" s="665"/>
      <c r="M86" s="666"/>
      <c r="N86" s="2018"/>
      <c r="O86" s="2018"/>
      <c r="P86" s="2022"/>
      <c r="Q86" s="2023"/>
      <c r="R86" s="2021"/>
      <c r="S86" s="2021"/>
      <c r="T86" s="2021"/>
      <c r="U86" s="2021"/>
      <c r="V86" s="2021"/>
      <c r="W86" s="2021"/>
      <c r="X86" s="2021"/>
      <c r="Y86" s="2021"/>
      <c r="Z86" s="2021"/>
      <c r="AA86" s="2021"/>
      <c r="AB86" s="2021"/>
      <c r="AC86" s="2021"/>
    </row>
    <row r="87" spans="1:29" s="1265" customFormat="1" ht="15.75" thickBot="1">
      <c r="A87" s="662"/>
      <c r="B87" s="653"/>
      <c r="C87" s="667"/>
      <c r="D87" s="667"/>
      <c r="E87" s="667"/>
      <c r="F87" s="667"/>
      <c r="G87" s="667"/>
      <c r="H87" s="668"/>
      <c r="I87" s="668"/>
      <c r="J87" s="668"/>
      <c r="K87" s="668"/>
      <c r="L87" s="668"/>
      <c r="M87" s="669"/>
      <c r="N87" s="2018"/>
      <c r="O87" s="2018"/>
      <c r="P87" s="2019"/>
      <c r="Q87" s="2020"/>
      <c r="R87" s="2021"/>
      <c r="S87" s="2021"/>
      <c r="T87" s="2021"/>
      <c r="U87" s="2021"/>
      <c r="V87" s="2021"/>
      <c r="W87" s="2021"/>
      <c r="X87" s="2021"/>
      <c r="Y87" s="2021"/>
      <c r="Z87" s="2021"/>
      <c r="AA87" s="2021"/>
      <c r="AB87" s="2021"/>
      <c r="AC87" s="2021"/>
    </row>
    <row r="88" spans="1:29" s="1265" customFormat="1" ht="15.75" thickTop="1">
      <c r="A88" s="662"/>
      <c r="B88" s="656">
        <f>B16</f>
        <v>111</v>
      </c>
      <c r="C88" s="636"/>
      <c r="D88" s="636"/>
      <c r="E88" s="636"/>
      <c r="F88" s="636"/>
      <c r="G88" s="636"/>
      <c r="H88" s="670"/>
      <c r="I88" s="670"/>
      <c r="J88" s="670"/>
      <c r="K88" s="670"/>
      <c r="L88" s="671"/>
      <c r="M88" s="672"/>
      <c r="N88" s="2018"/>
      <c r="O88" s="2018"/>
      <c r="P88" s="2024"/>
      <c r="Q88" s="2020"/>
      <c r="R88" s="2021"/>
      <c r="S88" s="2021"/>
      <c r="T88" s="2021"/>
      <c r="U88" s="2021"/>
      <c r="V88" s="2021"/>
      <c r="W88" s="2021"/>
      <c r="X88" s="2021"/>
      <c r="Y88" s="2021"/>
      <c r="Z88" s="2021"/>
      <c r="AA88" s="2021"/>
      <c r="AB88" s="2021"/>
      <c r="AC88" s="2021"/>
    </row>
    <row r="89" spans="1:29" s="1265" customFormat="1" ht="15.75" thickBot="1">
      <c r="A89" s="673"/>
      <c r="B89" s="674"/>
      <c r="C89" s="675"/>
      <c r="D89" s="675"/>
      <c r="E89" s="675"/>
      <c r="F89" s="675"/>
      <c r="G89" s="675"/>
      <c r="H89" s="676"/>
      <c r="I89" s="676"/>
      <c r="J89" s="676"/>
      <c r="K89" s="676"/>
      <c r="L89" s="676"/>
      <c r="M89" s="677"/>
      <c r="N89" s="2018"/>
      <c r="O89" s="2018"/>
      <c r="P89" s="2019"/>
      <c r="Q89" s="2020"/>
      <c r="R89" s="2021"/>
      <c r="S89" s="2021"/>
      <c r="T89" s="2021"/>
      <c r="U89" s="2021"/>
      <c r="V89" s="2021"/>
      <c r="W89" s="2021"/>
      <c r="X89" s="2021"/>
      <c r="Y89" s="2021"/>
      <c r="Z89" s="2021"/>
      <c r="AA89" s="2021"/>
      <c r="AB89" s="2021"/>
      <c r="AC89" s="2021"/>
    </row>
    <row r="90" spans="1:29">
      <c r="A90" s="639" t="s">
        <v>522</v>
      </c>
      <c r="B90" s="640" t="s">
        <v>561</v>
      </c>
      <c r="C90" s="678" t="s">
        <v>562</v>
      </c>
      <c r="D90" s="678" t="s">
        <v>563</v>
      </c>
      <c r="E90" s="678" t="s">
        <v>564</v>
      </c>
      <c r="F90" s="678" t="s">
        <v>565</v>
      </c>
      <c r="G90" s="678" t="s">
        <v>566</v>
      </c>
      <c r="H90" s="679"/>
      <c r="I90" s="679"/>
      <c r="J90" s="679"/>
      <c r="K90" s="680"/>
      <c r="L90" s="681"/>
      <c r="M90" s="682"/>
      <c r="N90" s="2015"/>
      <c r="O90" s="2015"/>
      <c r="P90" s="2025"/>
      <c r="Q90" s="2009"/>
      <c r="R90" s="1997"/>
      <c r="S90" s="1997"/>
      <c r="T90" s="1997"/>
      <c r="U90" s="1997"/>
      <c r="V90" s="1997"/>
      <c r="W90" s="1997"/>
      <c r="X90" s="1997"/>
      <c r="Y90" s="1997"/>
      <c r="Z90" s="1997"/>
      <c r="AA90" s="1997"/>
      <c r="AB90" s="1997"/>
      <c r="AC90" s="1997"/>
    </row>
    <row r="91" spans="1:29" ht="15.75" thickBot="1">
      <c r="A91" s="644"/>
      <c r="B91" s="653"/>
      <c r="C91" s="654">
        <v>100</v>
      </c>
      <c r="D91" s="654">
        <f>C91-$K17</f>
        <v>99</v>
      </c>
      <c r="E91" s="654">
        <f>D91-$K17</f>
        <v>98</v>
      </c>
      <c r="F91" s="654">
        <f>E91-$K17</f>
        <v>97</v>
      </c>
      <c r="G91" s="654">
        <f>F91-$K17</f>
        <v>96</v>
      </c>
      <c r="H91" s="654"/>
      <c r="I91" s="654"/>
      <c r="J91" s="654"/>
      <c r="K91" s="654"/>
      <c r="L91" s="654"/>
      <c r="M91" s="655"/>
      <c r="N91" s="2017"/>
      <c r="O91" s="2017"/>
      <c r="P91" s="2016"/>
      <c r="Q91" s="2009"/>
      <c r="R91" s="1997"/>
      <c r="S91" s="1997"/>
      <c r="T91" s="1997"/>
      <c r="U91" s="1997"/>
      <c r="V91" s="1997"/>
      <c r="W91" s="1997"/>
      <c r="X91" s="1997"/>
      <c r="Y91" s="1997"/>
      <c r="Z91" s="1997"/>
      <c r="AA91" s="1997"/>
      <c r="AB91" s="1997"/>
      <c r="AC91" s="1997"/>
    </row>
    <row r="92" spans="1:29" ht="15.75" thickTop="1">
      <c r="A92" s="644"/>
      <c r="B92" s="648" t="s">
        <v>567</v>
      </c>
      <c r="C92" s="683" t="s">
        <v>562</v>
      </c>
      <c r="D92" s="683" t="s">
        <v>563</v>
      </c>
      <c r="E92" s="683" t="s">
        <v>564</v>
      </c>
      <c r="F92" s="683" t="s">
        <v>565</v>
      </c>
      <c r="G92" s="683" t="s">
        <v>566</v>
      </c>
      <c r="H92" s="649"/>
      <c r="I92" s="649"/>
      <c r="J92" s="649"/>
      <c r="K92" s="650"/>
      <c r="L92" s="651"/>
      <c r="M92" s="652"/>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7"/>
      <c r="O93" s="2017"/>
      <c r="P93" s="2016"/>
      <c r="Q93" s="2009"/>
      <c r="R93" s="1997"/>
      <c r="S93" s="1997"/>
      <c r="T93" s="1997"/>
      <c r="U93" s="1997"/>
      <c r="V93" s="1997"/>
      <c r="W93" s="1997"/>
      <c r="X93" s="1997"/>
      <c r="Y93" s="1997"/>
      <c r="Z93" s="1997"/>
      <c r="AA93" s="1997"/>
      <c r="AB93" s="1997"/>
      <c r="AC93" s="1997"/>
    </row>
    <row r="94" spans="1:29" ht="15.75" thickTop="1">
      <c r="A94" s="644"/>
      <c r="B94" s="648" t="s">
        <v>568</v>
      </c>
      <c r="C94" s="683" t="s">
        <v>562</v>
      </c>
      <c r="D94" s="683" t="s">
        <v>563</v>
      </c>
      <c r="E94" s="683" t="s">
        <v>564</v>
      </c>
      <c r="F94" s="683" t="s">
        <v>565</v>
      </c>
      <c r="G94" s="683" t="s">
        <v>566</v>
      </c>
      <c r="H94" s="649"/>
      <c r="I94" s="649"/>
      <c r="J94" s="649"/>
      <c r="K94" s="650"/>
      <c r="L94" s="651"/>
      <c r="M94" s="652"/>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7"/>
      <c r="O95" s="2017"/>
      <c r="P95" s="2016"/>
      <c r="Q95" s="2009"/>
      <c r="R95" s="1997"/>
      <c r="S95" s="1997"/>
      <c r="T95" s="1997"/>
      <c r="U95" s="1997"/>
      <c r="V95" s="1997"/>
      <c r="W95" s="1997"/>
      <c r="X95" s="1997"/>
      <c r="Y95" s="1997"/>
      <c r="Z95" s="1997"/>
      <c r="AA95" s="1997"/>
      <c r="AB95" s="1997"/>
      <c r="AC95" s="1997"/>
    </row>
    <row r="96" spans="1:29" ht="15.75" thickTop="1">
      <c r="A96" s="644"/>
      <c r="B96" s="648" t="s">
        <v>569</v>
      </c>
      <c r="C96" s="683" t="s">
        <v>562</v>
      </c>
      <c r="D96" s="683" t="s">
        <v>563</v>
      </c>
      <c r="E96" s="683" t="s">
        <v>564</v>
      </c>
      <c r="F96" s="683" t="s">
        <v>565</v>
      </c>
      <c r="G96" s="683" t="s">
        <v>566</v>
      </c>
      <c r="H96" s="649"/>
      <c r="I96" s="649"/>
      <c r="J96" s="649"/>
      <c r="K96" s="650"/>
      <c r="L96" s="651"/>
      <c r="M96" s="652"/>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54">
        <v>100</v>
      </c>
      <c r="D97" s="654">
        <f>C97-$K23</f>
        <v>99</v>
      </c>
      <c r="E97" s="654">
        <f>D97-$K23</f>
        <v>98</v>
      </c>
      <c r="F97" s="654">
        <f>E97-$K23</f>
        <v>97</v>
      </c>
      <c r="G97" s="654">
        <f>F97-$K23</f>
        <v>96</v>
      </c>
      <c r="H97" s="654"/>
      <c r="I97" s="654"/>
      <c r="J97" s="654"/>
      <c r="K97" s="654"/>
      <c r="L97" s="654"/>
      <c r="M97" s="655"/>
      <c r="N97" s="2017"/>
      <c r="O97" s="2017"/>
      <c r="P97" s="2016"/>
      <c r="Q97" s="2009"/>
      <c r="R97" s="1997"/>
      <c r="S97" s="1997"/>
      <c r="T97" s="1997"/>
      <c r="U97" s="1997"/>
      <c r="V97" s="1997"/>
      <c r="W97" s="1997"/>
      <c r="X97" s="1997"/>
      <c r="Y97" s="1997"/>
      <c r="Z97" s="1997"/>
      <c r="AA97" s="1997"/>
      <c r="AB97" s="1997"/>
      <c r="AC97" s="1997"/>
    </row>
    <row r="98" spans="1:29" s="1183" customFormat="1" ht="27.75" thickTop="1">
      <c r="A98" s="684"/>
      <c r="B98" s="648" t="s">
        <v>570</v>
      </c>
      <c r="C98" s="683" t="s">
        <v>562</v>
      </c>
      <c r="D98" s="683" t="s">
        <v>563</v>
      </c>
      <c r="E98" s="683" t="s">
        <v>564</v>
      </c>
      <c r="F98" s="683" t="s">
        <v>565</v>
      </c>
      <c r="G98" s="683" t="s">
        <v>566</v>
      </c>
      <c r="H98" s="683"/>
      <c r="I98" s="683"/>
      <c r="J98" s="683"/>
      <c r="K98" s="683"/>
      <c r="L98" s="685"/>
      <c r="M98" s="686"/>
      <c r="N98" s="2013"/>
      <c r="O98" s="2013"/>
      <c r="P98" s="2016"/>
      <c r="Q98" s="2009"/>
      <c r="R98" s="1875"/>
      <c r="S98" s="1875"/>
      <c r="T98" s="1875"/>
      <c r="U98" s="1875"/>
      <c r="V98" s="1875"/>
      <c r="W98" s="1875"/>
      <c r="X98" s="1875"/>
      <c r="Y98" s="1875"/>
      <c r="Z98" s="1875"/>
      <c r="AA98" s="1875"/>
      <c r="AB98" s="1875"/>
      <c r="AC98" s="1875"/>
    </row>
    <row r="99" spans="1:29" s="1183" customFormat="1" ht="15.75" thickBot="1">
      <c r="A99" s="684"/>
      <c r="B99" s="653"/>
      <c r="C99" s="687">
        <v>100</v>
      </c>
      <c r="D99" s="654">
        <f>C99-$K25</f>
        <v>99</v>
      </c>
      <c r="E99" s="654">
        <f>D99-$K25</f>
        <v>98</v>
      </c>
      <c r="F99" s="654">
        <f>E99-$K25</f>
        <v>97</v>
      </c>
      <c r="G99" s="654">
        <f>F99-$K25</f>
        <v>96</v>
      </c>
      <c r="H99" s="654"/>
      <c r="I99" s="654"/>
      <c r="J99" s="654"/>
      <c r="K99" s="654"/>
      <c r="L99" s="654"/>
      <c r="M99" s="655"/>
      <c r="N99" s="2017"/>
      <c r="O99" s="2017"/>
      <c r="P99" s="2016"/>
      <c r="Q99" s="2009"/>
      <c r="R99" s="1875"/>
      <c r="S99" s="1875"/>
      <c r="T99" s="1875"/>
      <c r="U99" s="1875"/>
      <c r="V99" s="1875"/>
      <c r="W99" s="1875"/>
      <c r="X99" s="1875"/>
      <c r="Y99" s="1875"/>
      <c r="Z99" s="1875"/>
      <c r="AA99" s="1875"/>
      <c r="AB99" s="1875"/>
      <c r="AC99" s="1875"/>
    </row>
    <row r="100" spans="1:29" s="1183" customFormat="1" ht="27.75" thickTop="1">
      <c r="A100" s="684"/>
      <c r="B100" s="648" t="s">
        <v>571</v>
      </c>
      <c r="C100" s="678" t="s">
        <v>562</v>
      </c>
      <c r="D100" s="678" t="s">
        <v>563</v>
      </c>
      <c r="E100" s="678" t="s">
        <v>564</v>
      </c>
      <c r="F100" s="678" t="s">
        <v>565</v>
      </c>
      <c r="G100" s="678" t="s">
        <v>566</v>
      </c>
      <c r="H100" s="683"/>
      <c r="I100" s="683"/>
      <c r="J100" s="683"/>
      <c r="K100" s="683"/>
      <c r="L100" s="683"/>
      <c r="M100" s="686"/>
      <c r="N100" s="2013"/>
      <c r="O100" s="2013"/>
      <c r="P100" s="2016"/>
      <c r="Q100" s="2009"/>
      <c r="R100" s="1875"/>
      <c r="S100" s="1875"/>
      <c r="T100" s="1875"/>
      <c r="U100" s="1875"/>
      <c r="V100" s="1875"/>
      <c r="W100" s="1875"/>
      <c r="X100" s="1875"/>
      <c r="Y100" s="1875"/>
      <c r="Z100" s="1875"/>
      <c r="AA100" s="1875"/>
      <c r="AB100" s="1875"/>
      <c r="AC100" s="1875"/>
    </row>
    <row r="101" spans="1:29" s="1183" customFormat="1" ht="15.75" thickBot="1">
      <c r="A101" s="684"/>
      <c r="B101" s="653"/>
      <c r="C101" s="654">
        <v>100</v>
      </c>
      <c r="D101" s="654">
        <f>C101-$K27</f>
        <v>99</v>
      </c>
      <c r="E101" s="654">
        <f>D101-$K27</f>
        <v>98</v>
      </c>
      <c r="F101" s="654">
        <f>E101-$K27</f>
        <v>97</v>
      </c>
      <c r="G101" s="654">
        <f>F101-$K27</f>
        <v>96</v>
      </c>
      <c r="H101" s="654"/>
      <c r="I101" s="654"/>
      <c r="J101" s="654"/>
      <c r="K101" s="654"/>
      <c r="L101" s="654"/>
      <c r="M101" s="655"/>
      <c r="N101" s="2017"/>
      <c r="O101" s="2017"/>
      <c r="P101" s="2016"/>
      <c r="Q101" s="2009"/>
      <c r="R101" s="1875"/>
      <c r="S101" s="1875"/>
      <c r="T101" s="1875"/>
      <c r="U101" s="1875"/>
      <c r="V101" s="1875"/>
      <c r="W101" s="1875"/>
      <c r="X101" s="1875"/>
      <c r="Y101" s="1875"/>
      <c r="Z101" s="1875"/>
      <c r="AA101" s="1875"/>
      <c r="AB101" s="1875"/>
      <c r="AC101" s="1875"/>
    </row>
    <row r="102" spans="1:29" s="1265" customFormat="1" ht="15.75" thickTop="1">
      <c r="A102" s="662"/>
      <c r="B102" s="1781" t="s">
        <v>2448</v>
      </c>
      <c r="C102" s="678" t="s">
        <v>562</v>
      </c>
      <c r="D102" s="678" t="s">
        <v>563</v>
      </c>
      <c r="E102" s="678" t="s">
        <v>564</v>
      </c>
      <c r="F102" s="678" t="s">
        <v>565</v>
      </c>
      <c r="G102" s="678" t="s">
        <v>566</v>
      </c>
      <c r="H102" s="688"/>
      <c r="I102" s="688"/>
      <c r="J102" s="688"/>
      <c r="K102" s="688"/>
      <c r="L102" s="689"/>
      <c r="M102" s="690"/>
      <c r="N102" s="2018"/>
      <c r="O102" s="2018"/>
      <c r="P102" s="2019"/>
      <c r="Q102" s="2020"/>
      <c r="R102" s="2021"/>
      <c r="S102" s="2021"/>
      <c r="T102" s="2021"/>
      <c r="U102" s="2021"/>
      <c r="V102" s="2021"/>
      <c r="W102" s="2021"/>
      <c r="X102" s="2021"/>
      <c r="Y102" s="2021"/>
      <c r="Z102" s="2021"/>
      <c r="AA102" s="2021"/>
      <c r="AB102" s="2021"/>
      <c r="AC102" s="2021"/>
    </row>
    <row r="103" spans="1:29" s="1265" customFormat="1" ht="15.75" thickBot="1">
      <c r="A103" s="662"/>
      <c r="B103" s="653"/>
      <c r="C103" s="654">
        <v>100</v>
      </c>
      <c r="D103" s="654">
        <f>C103-$K29</f>
        <v>99</v>
      </c>
      <c r="E103" s="654">
        <f>D103-$K29</f>
        <v>98</v>
      </c>
      <c r="F103" s="654">
        <f>E103-$K29</f>
        <v>97</v>
      </c>
      <c r="G103" s="654">
        <f>F103-$K29</f>
        <v>96</v>
      </c>
      <c r="H103" s="691"/>
      <c r="I103" s="691"/>
      <c r="J103" s="691"/>
      <c r="K103" s="691"/>
      <c r="L103" s="691"/>
      <c r="M103" s="692"/>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Top="1">
      <c r="A104" s="662"/>
      <c r="B104" s="2379" t="s">
        <v>2450</v>
      </c>
      <c r="C104" s="2380" t="s">
        <v>2451</v>
      </c>
      <c r="D104" s="2380" t="s">
        <v>2452</v>
      </c>
      <c r="E104" s="2380" t="s">
        <v>2453</v>
      </c>
      <c r="F104" s="2380" t="s">
        <v>2454</v>
      </c>
      <c r="G104" s="2380" t="s">
        <v>2455</v>
      </c>
      <c r="H104" s="688"/>
      <c r="I104" s="688"/>
      <c r="J104" s="688"/>
      <c r="K104" s="688"/>
      <c r="L104" s="688"/>
      <c r="M104" s="690"/>
      <c r="N104" s="2018"/>
      <c r="O104" s="2018"/>
      <c r="P104" s="2019"/>
      <c r="Q104" s="2020"/>
      <c r="R104" s="2021"/>
      <c r="S104" s="2021"/>
      <c r="T104" s="2021"/>
      <c r="U104" s="2021"/>
      <c r="V104" s="2021"/>
      <c r="W104" s="2021"/>
      <c r="X104" s="2021"/>
      <c r="Y104" s="2021"/>
      <c r="Z104" s="2021"/>
      <c r="AA104" s="2021"/>
      <c r="AB104" s="2021"/>
      <c r="AC104" s="2021"/>
    </row>
    <row r="105" spans="1:29" s="1265" customFormat="1" ht="15.75" thickBot="1">
      <c r="A105" s="662"/>
      <c r="B105" s="656"/>
      <c r="C105" s="654">
        <v>100</v>
      </c>
      <c r="D105" s="654">
        <f>C105-$K31</f>
        <v>99</v>
      </c>
      <c r="E105" s="654">
        <f>D105-$K31</f>
        <v>98</v>
      </c>
      <c r="F105" s="654">
        <f>E105-$K31</f>
        <v>97</v>
      </c>
      <c r="G105" s="654">
        <f>F105-$K31</f>
        <v>96</v>
      </c>
      <c r="H105" s="658"/>
      <c r="I105" s="658"/>
      <c r="J105" s="658"/>
      <c r="K105" s="658"/>
      <c r="L105" s="658"/>
      <c r="M105" s="2372"/>
      <c r="N105" s="2018"/>
      <c r="O105" s="2018"/>
      <c r="P105" s="2019"/>
      <c r="Q105" s="2020"/>
      <c r="R105" s="2021"/>
      <c r="S105" s="2021"/>
      <c r="T105" s="2021"/>
      <c r="U105" s="2021"/>
      <c r="V105" s="2021"/>
      <c r="W105" s="2021"/>
      <c r="X105" s="2021"/>
      <c r="Y105" s="2021"/>
      <c r="Z105" s="2021"/>
      <c r="AA105" s="2021"/>
      <c r="AB105" s="2021"/>
      <c r="AC105" s="2021"/>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5"/>
      <c r="O106" s="2015"/>
      <c r="P106" s="2016"/>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4"/>
      <c r="B108" s="648" t="s">
        <v>531</v>
      </c>
      <c r="C108" s="663"/>
      <c r="D108" s="663"/>
      <c r="E108" s="663"/>
      <c r="F108" s="663"/>
      <c r="G108" s="663"/>
      <c r="H108" s="693"/>
      <c r="I108" s="693"/>
      <c r="J108" s="693"/>
      <c r="K108" s="694"/>
      <c r="L108" s="695"/>
      <c r="M108" s="696"/>
      <c r="N108" s="2015"/>
      <c r="O108" s="2015"/>
      <c r="P108" s="2016"/>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4"/>
      <c r="B110" s="648" t="s">
        <v>532</v>
      </c>
      <c r="C110" s="693"/>
      <c r="D110" s="693"/>
      <c r="E110" s="693"/>
      <c r="F110" s="693"/>
      <c r="G110" s="693"/>
      <c r="H110" s="693"/>
      <c r="I110" s="693"/>
      <c r="J110" s="693"/>
      <c r="K110" s="694"/>
      <c r="L110" s="695"/>
      <c r="M110" s="69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4"/>
      <c r="B112" s="656">
        <f>B37</f>
        <v>111</v>
      </c>
      <c r="C112" s="663"/>
      <c r="D112" s="663"/>
      <c r="E112" s="663"/>
      <c r="F112" s="663"/>
      <c r="G112" s="697"/>
      <c r="H112" s="697"/>
      <c r="I112" s="697"/>
      <c r="J112" s="697"/>
      <c r="K112" s="698"/>
      <c r="L112" s="699"/>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644"/>
      <c r="B113" s="674"/>
      <c r="C113" s="667"/>
      <c r="D113" s="667"/>
      <c r="E113" s="667"/>
      <c r="F113" s="667"/>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ht="15" thickTop="1">
      <c r="A114" s="564"/>
      <c r="B114" s="648">
        <f>B38</f>
        <v>111</v>
      </c>
      <c r="C114" s="636"/>
      <c r="D114" s="636"/>
      <c r="E114" s="636"/>
      <c r="F114" s="636"/>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75"/>
      <c r="D115" s="675"/>
      <c r="E115" s="675"/>
      <c r="F115" s="675"/>
      <c r="G115" s="646"/>
      <c r="H115" s="646"/>
      <c r="I115" s="646"/>
      <c r="J115" s="646"/>
      <c r="K115" s="646"/>
      <c r="L115" s="646"/>
      <c r="M115" s="647"/>
      <c r="N115" s="2017"/>
      <c r="O115" s="2017"/>
      <c r="P115" s="2016"/>
      <c r="Q115" s="2009"/>
      <c r="R115" s="1997"/>
      <c r="S115" s="1997"/>
      <c r="T115" s="1997"/>
      <c r="U115" s="1997"/>
      <c r="V115" s="1997"/>
      <c r="W115" s="1997"/>
      <c r="X115" s="1997"/>
      <c r="Y115" s="1997"/>
      <c r="Z115" s="1997"/>
      <c r="AA115" s="1997"/>
      <c r="AB115" s="1997"/>
      <c r="AC115" s="1997"/>
    </row>
    <row r="116" spans="1:29" s="1265" customFormat="1" ht="15" thickTop="1">
      <c r="A116" s="703"/>
      <c r="B116" s="704">
        <f>B39</f>
        <v>111</v>
      </c>
      <c r="C116" s="705"/>
      <c r="D116" s="705"/>
      <c r="E116" s="705"/>
      <c r="F116" s="705"/>
      <c r="G116" s="705"/>
      <c r="H116" s="705"/>
      <c r="I116" s="705"/>
      <c r="J116" s="706"/>
      <c r="K116" s="706"/>
      <c r="L116" s="707"/>
      <c r="M116" s="708"/>
      <c r="N116" s="2018"/>
      <c r="O116" s="2018"/>
      <c r="P116" s="2019"/>
      <c r="Q116" s="2020"/>
      <c r="R116" s="2021"/>
      <c r="S116" s="2021"/>
      <c r="T116" s="2021"/>
      <c r="U116" s="2021"/>
      <c r="V116" s="2021"/>
      <c r="W116" s="2021"/>
      <c r="X116" s="2021"/>
      <c r="Y116" s="2021"/>
      <c r="Z116" s="2021"/>
      <c r="AA116" s="2021"/>
      <c r="AB116" s="2021"/>
      <c r="AC116" s="2021"/>
    </row>
    <row r="117" spans="1:29" s="1265" customFormat="1" ht="15.75" thickBot="1">
      <c r="A117" s="662"/>
      <c r="B117" s="656"/>
      <c r="C117" s="625"/>
      <c r="D117" s="569"/>
      <c r="E117" s="569"/>
      <c r="F117" s="569"/>
      <c r="G117" s="569"/>
      <c r="H117" s="569"/>
      <c r="I117" s="569"/>
      <c r="J117" s="569"/>
      <c r="K117" s="569"/>
      <c r="L117" s="569"/>
      <c r="M117" s="709"/>
      <c r="N117" s="2017"/>
      <c r="O117" s="2017"/>
      <c r="P117" s="2019"/>
      <c r="Q117" s="2020"/>
      <c r="R117" s="2021"/>
      <c r="S117" s="2021"/>
      <c r="T117" s="2021"/>
      <c r="U117" s="2021"/>
      <c r="V117" s="2021"/>
      <c r="W117" s="2021"/>
      <c r="X117" s="2021"/>
      <c r="Y117" s="2021"/>
      <c r="Z117" s="2021"/>
      <c r="AA117" s="2021"/>
      <c r="AB117" s="2021"/>
      <c r="AC117" s="2021"/>
    </row>
    <row r="118" spans="1:29" ht="28.5">
      <c r="A118" s="639" t="s">
        <v>534</v>
      </c>
      <c r="B118" s="640" t="s">
        <v>576</v>
      </c>
      <c r="C118" s="679" t="str">
        <f t="shared" ref="C118:L118" si="26">C119&amp;"(含)"&amp;"-"&amp;D119</f>
        <v>0(含)-50000</v>
      </c>
      <c r="D118" s="679" t="str">
        <f t="shared" si="26"/>
        <v>50000(含)-100000</v>
      </c>
      <c r="E118" s="679" t="str">
        <f t="shared" si="26"/>
        <v>100000(含)-200000</v>
      </c>
      <c r="F118" s="679" t="str">
        <f t="shared" si="26"/>
        <v>200000(含)-300000</v>
      </c>
      <c r="G118" s="679" t="str">
        <f t="shared" si="26"/>
        <v>300000(含)-400000</v>
      </c>
      <c r="H118" s="679" t="str">
        <f t="shared" si="26"/>
        <v>400000(含)-500000</v>
      </c>
      <c r="I118" s="679" t="str">
        <f t="shared" si="26"/>
        <v>500000(含)-</v>
      </c>
      <c r="J118" s="2714" t="str">
        <f t="shared" si="26"/>
        <v>(含)-</v>
      </c>
      <c r="K118" s="2714" t="str">
        <f t="shared" si="26"/>
        <v>(含)-</v>
      </c>
      <c r="L118" s="2715" t="str">
        <f t="shared" si="26"/>
        <v>(含)-</v>
      </c>
      <c r="M118" s="271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4"/>
      <c r="B119" s="656"/>
      <c r="C119" s="705">
        <v>0</v>
      </c>
      <c r="D119" s="705">
        <v>50000</v>
      </c>
      <c r="E119" s="705">
        <v>100000</v>
      </c>
      <c r="F119" s="705">
        <v>200000</v>
      </c>
      <c r="G119" s="705">
        <v>300000</v>
      </c>
      <c r="H119" s="705">
        <v>400000</v>
      </c>
      <c r="I119" s="705">
        <v>500000</v>
      </c>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4"/>
      <c r="B120" s="653"/>
      <c r="C120" s="675">
        <v>100</v>
      </c>
      <c r="D120" s="701">
        <f>C120+1</f>
        <v>101</v>
      </c>
      <c r="E120" s="701">
        <f t="shared" ref="E120:H120" si="27">D120+1</f>
        <v>102</v>
      </c>
      <c r="F120" s="701">
        <f t="shared" si="27"/>
        <v>103</v>
      </c>
      <c r="G120" s="701">
        <f t="shared" si="27"/>
        <v>104</v>
      </c>
      <c r="H120" s="701">
        <f t="shared" si="27"/>
        <v>105</v>
      </c>
      <c r="I120" s="701"/>
      <c r="J120" s="701"/>
      <c r="K120" s="701"/>
      <c r="L120" s="701"/>
      <c r="M120" s="702"/>
      <c r="N120" s="2017"/>
      <c r="O120" s="2017"/>
      <c r="P120" s="2016"/>
      <c r="Q120" s="2009"/>
      <c r="R120" s="1997"/>
      <c r="S120" s="1997"/>
      <c r="T120" s="1997"/>
      <c r="U120" s="1997"/>
      <c r="V120" s="1997"/>
      <c r="W120" s="1997"/>
      <c r="X120" s="1997"/>
      <c r="Y120" s="1997"/>
      <c r="Z120" s="1997"/>
      <c r="AA120" s="1997"/>
      <c r="AB120" s="1997"/>
      <c r="AC120" s="1997"/>
    </row>
    <row r="121" spans="1:29" ht="15" thickTop="1">
      <c r="A121" s="710"/>
      <c r="B121" s="648" t="s">
        <v>577</v>
      </c>
      <c r="C121" s="3435" t="s">
        <v>3267</v>
      </c>
      <c r="D121" s="3435" t="s">
        <v>3268</v>
      </c>
      <c r="E121" s="3435" t="s">
        <v>3269</v>
      </c>
      <c r="F121" s="3435" t="s">
        <v>3270</v>
      </c>
      <c r="G121" s="3435" t="s">
        <v>3271</v>
      </c>
      <c r="H121" s="693"/>
      <c r="I121" s="693"/>
      <c r="J121" s="693"/>
      <c r="K121" s="694"/>
      <c r="L121" s="695"/>
      <c r="M121" s="696"/>
      <c r="N121" s="2015"/>
      <c r="O121" s="2015"/>
      <c r="P121" s="2016"/>
      <c r="Q121" s="2009"/>
      <c r="R121" s="1997"/>
      <c r="S121" s="1997"/>
      <c r="T121" s="1997"/>
      <c r="U121" s="1997"/>
      <c r="V121" s="1997"/>
      <c r="W121" s="1997"/>
      <c r="X121" s="1997"/>
      <c r="Y121" s="1997"/>
      <c r="Z121" s="1997"/>
      <c r="AA121" s="1997"/>
      <c r="AB121" s="1997"/>
      <c r="AC121" s="1997"/>
    </row>
    <row r="122" spans="1:29" ht="15.75" thickBot="1">
      <c r="A122" s="644"/>
      <c r="B122" s="653"/>
      <c r="C122" s="654">
        <v>100</v>
      </c>
      <c r="D122" s="654">
        <f t="shared" ref="D122:M122" si="28">C122-$K41</f>
        <v>99</v>
      </c>
      <c r="E122" s="654">
        <f t="shared" si="28"/>
        <v>98</v>
      </c>
      <c r="F122" s="654">
        <f t="shared" si="28"/>
        <v>97</v>
      </c>
      <c r="G122" s="654">
        <f t="shared" si="28"/>
        <v>96</v>
      </c>
      <c r="H122" s="654">
        <f t="shared" si="28"/>
        <v>95</v>
      </c>
      <c r="I122" s="654">
        <f t="shared" si="28"/>
        <v>94</v>
      </c>
      <c r="J122" s="654">
        <f t="shared" si="28"/>
        <v>93</v>
      </c>
      <c r="K122" s="654">
        <f t="shared" si="28"/>
        <v>92</v>
      </c>
      <c r="L122" s="654">
        <f t="shared" si="28"/>
        <v>91</v>
      </c>
      <c r="M122" s="655">
        <f t="shared" si="28"/>
        <v>90</v>
      </c>
      <c r="N122" s="2017"/>
      <c r="O122" s="2017"/>
      <c r="P122" s="2016"/>
      <c r="Q122" s="2009"/>
      <c r="R122" s="1997"/>
      <c r="S122" s="1997"/>
      <c r="T122" s="1997"/>
      <c r="U122" s="1997"/>
      <c r="V122" s="1997"/>
      <c r="W122" s="1997"/>
      <c r="X122" s="1997"/>
      <c r="Y122" s="1997"/>
      <c r="Z122" s="1997"/>
      <c r="AA122" s="1997"/>
      <c r="AB122" s="1997"/>
      <c r="AC122" s="1997"/>
    </row>
    <row r="123" spans="1:29" ht="15" thickTop="1">
      <c r="A123" s="710"/>
      <c r="B123" s="648" t="s">
        <v>578</v>
      </c>
      <c r="C123" s="3436" t="s">
        <v>3272</v>
      </c>
      <c r="D123" s="3436" t="s">
        <v>3273</v>
      </c>
      <c r="E123" s="3436" t="s">
        <v>3269</v>
      </c>
      <c r="F123" s="3435" t="s">
        <v>3274</v>
      </c>
      <c r="G123" s="3435" t="s">
        <v>3275</v>
      </c>
      <c r="H123" s="693"/>
      <c r="I123" s="693"/>
      <c r="J123" s="693"/>
      <c r="K123" s="694"/>
      <c r="L123" s="695"/>
      <c r="M123" s="696"/>
      <c r="N123" s="2015"/>
      <c r="O123" s="2015"/>
      <c r="P123" s="2016"/>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29">C124-$K42</f>
        <v>99</v>
      </c>
      <c r="E124" s="654">
        <f t="shared" si="29"/>
        <v>98</v>
      </c>
      <c r="F124" s="654">
        <f t="shared" si="29"/>
        <v>97</v>
      </c>
      <c r="G124" s="654">
        <f t="shared" si="29"/>
        <v>96</v>
      </c>
      <c r="H124" s="654">
        <f t="shared" si="29"/>
        <v>95</v>
      </c>
      <c r="I124" s="654">
        <f t="shared" si="29"/>
        <v>94</v>
      </c>
      <c r="J124" s="654">
        <f t="shared" si="29"/>
        <v>93</v>
      </c>
      <c r="K124" s="654">
        <f t="shared" si="29"/>
        <v>92</v>
      </c>
      <c r="L124" s="654">
        <f t="shared" si="29"/>
        <v>91</v>
      </c>
      <c r="M124" s="655">
        <f t="shared" si="29"/>
        <v>90</v>
      </c>
      <c r="N124" s="2017"/>
      <c r="O124" s="2017"/>
      <c r="P124" s="2016"/>
      <c r="Q124" s="2009"/>
      <c r="R124" s="1997"/>
      <c r="S124" s="1997"/>
      <c r="T124" s="1997"/>
      <c r="U124" s="1997"/>
      <c r="V124" s="1997"/>
      <c r="W124" s="1997"/>
      <c r="X124" s="1997"/>
      <c r="Y124" s="1997"/>
      <c r="Z124" s="1997"/>
      <c r="AA124" s="1997"/>
      <c r="AB124" s="1997"/>
      <c r="AC124" s="1997"/>
    </row>
    <row r="125" spans="1:29" s="1265" customFormat="1" ht="15" thickTop="1">
      <c r="A125" s="703"/>
      <c r="B125" s="1781" t="s">
        <v>2394</v>
      </c>
      <c r="C125" s="1299" t="str">
        <f>C104</f>
        <v>七通</v>
      </c>
      <c r="D125" s="1299" t="str">
        <f>D104</f>
        <v>六通</v>
      </c>
      <c r="E125" s="1299" t="str">
        <f>E104</f>
        <v>五通</v>
      </c>
      <c r="F125" s="1299" t="str">
        <f>F104</f>
        <v>四通</v>
      </c>
      <c r="G125" s="1299" t="str">
        <f>G104</f>
        <v>三通</v>
      </c>
      <c r="H125" s="693"/>
      <c r="I125" s="693"/>
      <c r="J125" s="693"/>
      <c r="K125" s="694"/>
      <c r="L125" s="695"/>
      <c r="M125" s="696"/>
      <c r="N125" s="2018"/>
      <c r="O125" s="2018"/>
      <c r="P125" s="2019"/>
      <c r="Q125" s="2020"/>
      <c r="R125" s="2021"/>
      <c r="S125" s="2021"/>
      <c r="T125" s="2021"/>
      <c r="U125" s="2021"/>
      <c r="V125" s="2021"/>
      <c r="W125" s="2021"/>
      <c r="X125" s="2021"/>
      <c r="Y125" s="2021"/>
      <c r="Z125" s="2021"/>
      <c r="AA125" s="2021"/>
      <c r="AB125" s="2021"/>
      <c r="AC125" s="2021"/>
    </row>
    <row r="126" spans="1:29" s="1265" customFormat="1" ht="15.75" thickBot="1">
      <c r="A126" s="662"/>
      <c r="B126" s="653"/>
      <c r="C126" s="654">
        <v>100</v>
      </c>
      <c r="D126" s="654">
        <f>C126-$K43</f>
        <v>99</v>
      </c>
      <c r="E126" s="654">
        <f t="shared" ref="E126:M126" si="30">D126-$K43</f>
        <v>98</v>
      </c>
      <c r="F126" s="654">
        <f t="shared" si="30"/>
        <v>97</v>
      </c>
      <c r="G126" s="654">
        <f t="shared" si="30"/>
        <v>96</v>
      </c>
      <c r="H126" s="654">
        <f t="shared" si="30"/>
        <v>95</v>
      </c>
      <c r="I126" s="654">
        <f t="shared" si="30"/>
        <v>94</v>
      </c>
      <c r="J126" s="654">
        <f t="shared" si="30"/>
        <v>93</v>
      </c>
      <c r="K126" s="654">
        <f t="shared" si="30"/>
        <v>92</v>
      </c>
      <c r="L126" s="654">
        <f t="shared" si="30"/>
        <v>91</v>
      </c>
      <c r="M126" s="655">
        <f t="shared" si="30"/>
        <v>90</v>
      </c>
      <c r="N126" s="2018"/>
      <c r="O126" s="2018"/>
      <c r="P126" s="2019"/>
      <c r="Q126" s="2020"/>
      <c r="R126" s="2021"/>
      <c r="S126" s="2021"/>
      <c r="T126" s="2021"/>
      <c r="U126" s="2021"/>
      <c r="V126" s="2021"/>
      <c r="W126" s="2021"/>
      <c r="X126" s="2021"/>
      <c r="Y126" s="2021"/>
      <c r="Z126" s="2021"/>
      <c r="AA126" s="2021"/>
      <c r="AB126" s="2021"/>
      <c r="AC126" s="2021"/>
    </row>
    <row r="127" spans="1:29" ht="15" thickTop="1">
      <c r="A127" s="710"/>
      <c r="B127" s="648" t="s">
        <v>579</v>
      </c>
      <c r="C127" s="663" t="str">
        <f>C102</f>
        <v>好</v>
      </c>
      <c r="D127" s="663" t="str">
        <f>D102</f>
        <v>较好</v>
      </c>
      <c r="E127" s="663" t="str">
        <f>E102</f>
        <v>一般</v>
      </c>
      <c r="F127" s="663" t="str">
        <f>F102</f>
        <v>较差</v>
      </c>
      <c r="G127" s="663" t="str">
        <f>G102</f>
        <v>差</v>
      </c>
      <c r="H127" s="693"/>
      <c r="I127" s="693"/>
      <c r="J127" s="693"/>
      <c r="K127" s="694"/>
      <c r="L127" s="695"/>
      <c r="M127" s="696"/>
      <c r="N127" s="2015"/>
      <c r="O127" s="2015"/>
      <c r="P127" s="2016"/>
      <c r="Q127" s="2009"/>
      <c r="R127" s="1997"/>
      <c r="S127" s="1997"/>
      <c r="T127" s="1997"/>
      <c r="U127" s="1997"/>
      <c r="V127" s="1997"/>
      <c r="W127" s="1997"/>
      <c r="X127" s="1997"/>
      <c r="Y127" s="1997"/>
      <c r="Z127" s="1997"/>
      <c r="AA127" s="1997"/>
      <c r="AB127" s="1997"/>
      <c r="AC127" s="1997"/>
    </row>
    <row r="128" spans="1:29" ht="15.75" thickBot="1">
      <c r="A128" s="644"/>
      <c r="B128" s="653"/>
      <c r="C128" s="654">
        <v>100</v>
      </c>
      <c r="D128" s="654">
        <f t="shared" ref="D128:M128" si="31">C128-$K44</f>
        <v>99</v>
      </c>
      <c r="E128" s="654">
        <f t="shared" si="31"/>
        <v>98</v>
      </c>
      <c r="F128" s="654">
        <f t="shared" si="31"/>
        <v>97</v>
      </c>
      <c r="G128" s="654">
        <f t="shared" si="31"/>
        <v>96</v>
      </c>
      <c r="H128" s="654">
        <f t="shared" si="31"/>
        <v>95</v>
      </c>
      <c r="I128" s="654">
        <f t="shared" si="31"/>
        <v>94</v>
      </c>
      <c r="J128" s="654">
        <f t="shared" si="31"/>
        <v>93</v>
      </c>
      <c r="K128" s="654">
        <f t="shared" si="31"/>
        <v>92</v>
      </c>
      <c r="L128" s="654">
        <f t="shared" si="31"/>
        <v>91</v>
      </c>
      <c r="M128" s="655">
        <f t="shared" si="31"/>
        <v>90</v>
      </c>
      <c r="N128" s="2017"/>
      <c r="O128" s="2017"/>
      <c r="P128" s="2016"/>
      <c r="Q128" s="2009"/>
      <c r="R128" s="1997"/>
      <c r="S128" s="1997"/>
      <c r="T128" s="1997"/>
      <c r="U128" s="1997"/>
      <c r="V128" s="1997"/>
      <c r="W128" s="1997"/>
      <c r="X128" s="1997"/>
      <c r="Y128" s="1997"/>
      <c r="Z128" s="1997"/>
      <c r="AA128" s="1997"/>
      <c r="AB128" s="1997"/>
      <c r="AC128" s="1997"/>
    </row>
    <row r="129" spans="1:29" ht="15" thickTop="1">
      <c r="A129" s="710"/>
      <c r="B129" s="648">
        <f>B45</f>
        <v>111</v>
      </c>
      <c r="C129" s="663"/>
      <c r="D129" s="663"/>
      <c r="E129" s="663"/>
      <c r="F129" s="663"/>
      <c r="G129" s="663"/>
      <c r="H129" s="693"/>
      <c r="I129" s="693"/>
      <c r="J129" s="693"/>
      <c r="K129" s="694"/>
      <c r="L129" s="695"/>
      <c r="M129" s="696"/>
      <c r="N129" s="2015"/>
      <c r="O129" s="2015"/>
      <c r="P129" s="2016"/>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16"/>
      <c r="Q130" s="2009"/>
      <c r="R130" s="1997"/>
      <c r="S130" s="1997"/>
      <c r="T130" s="1997"/>
      <c r="U130" s="1997"/>
      <c r="V130" s="1997"/>
      <c r="W130" s="1997"/>
      <c r="X130" s="1997"/>
      <c r="Y130" s="1997"/>
      <c r="Z130" s="1997"/>
      <c r="AA130" s="1997"/>
      <c r="AB130" s="1997"/>
      <c r="AC130" s="1997"/>
    </row>
    <row r="131" spans="1:29" ht="15" thickTop="1">
      <c r="A131" s="710"/>
      <c r="B131" s="648">
        <f>B46</f>
        <v>111</v>
      </c>
      <c r="C131" s="636"/>
      <c r="D131" s="636"/>
      <c r="E131" s="636"/>
      <c r="F131" s="636"/>
      <c r="G131" s="693"/>
      <c r="H131" s="693"/>
      <c r="I131" s="693"/>
      <c r="J131" s="693"/>
      <c r="K131" s="694"/>
      <c r="L131" s="695"/>
      <c r="M131" s="696"/>
      <c r="N131" s="2015"/>
      <c r="O131" s="2015"/>
      <c r="P131" s="2016"/>
      <c r="Q131" s="2009"/>
      <c r="R131" s="1997"/>
      <c r="S131" s="1997"/>
      <c r="T131" s="1997"/>
      <c r="U131" s="1997"/>
      <c r="V131" s="1997"/>
      <c r="W131" s="1997"/>
      <c r="X131" s="1997"/>
      <c r="Y131" s="1997"/>
      <c r="Z131" s="1997"/>
      <c r="AA131" s="1997"/>
      <c r="AB131" s="1997"/>
      <c r="AC131" s="1997"/>
    </row>
    <row r="132" spans="1:29" ht="15.75" thickBot="1">
      <c r="A132" s="644"/>
      <c r="B132" s="653"/>
      <c r="C132" s="675"/>
      <c r="D132" s="675"/>
      <c r="E132" s="675"/>
      <c r="F132" s="675"/>
      <c r="G132" s="646"/>
      <c r="H132" s="646"/>
      <c r="I132" s="646"/>
      <c r="J132" s="646"/>
      <c r="K132" s="646"/>
      <c r="L132" s="646"/>
      <c r="M132" s="647"/>
      <c r="N132" s="2017"/>
      <c r="O132" s="2017"/>
      <c r="P132" s="2016"/>
      <c r="Q132" s="2009"/>
      <c r="R132" s="1997"/>
      <c r="S132" s="1997"/>
      <c r="T132" s="1997"/>
      <c r="U132" s="1997"/>
      <c r="V132" s="1997"/>
      <c r="W132" s="1997"/>
      <c r="X132" s="1997"/>
      <c r="Y132" s="1997"/>
      <c r="Z132" s="1997"/>
      <c r="AA132" s="1997"/>
      <c r="AB132" s="1997"/>
      <c r="AC132" s="1997"/>
    </row>
    <row r="133" spans="1:29" s="1265" customFormat="1" ht="15" thickTop="1">
      <c r="A133" s="703"/>
      <c r="B133" s="648">
        <f>B47</f>
        <v>111</v>
      </c>
      <c r="C133" s="636"/>
      <c r="D133" s="636"/>
      <c r="E133" s="636"/>
      <c r="F133" s="636"/>
      <c r="G133" s="664"/>
      <c r="H133" s="664"/>
      <c r="I133" s="664"/>
      <c r="J133" s="664"/>
      <c r="K133" s="664"/>
      <c r="L133" s="665"/>
      <c r="M133" s="666"/>
      <c r="N133" s="2018"/>
      <c r="O133" s="2018"/>
      <c r="P133" s="2019"/>
      <c r="Q133" s="2020"/>
      <c r="R133" s="2021"/>
      <c r="S133" s="2021"/>
      <c r="T133" s="2021"/>
      <c r="U133" s="2021"/>
      <c r="V133" s="2021"/>
      <c r="W133" s="2021"/>
      <c r="X133" s="2021"/>
      <c r="Y133" s="2021"/>
      <c r="Z133" s="2021"/>
      <c r="AA133" s="2021"/>
      <c r="AB133" s="2021"/>
      <c r="AC133" s="2021"/>
    </row>
    <row r="134" spans="1:29" s="1265" customFormat="1" ht="15.75" thickBot="1">
      <c r="A134" s="673"/>
      <c r="B134" s="711"/>
      <c r="C134" s="675"/>
      <c r="D134" s="675"/>
      <c r="E134" s="675"/>
      <c r="F134" s="675"/>
      <c r="G134" s="701"/>
      <c r="H134" s="701"/>
      <c r="I134" s="701"/>
      <c r="J134" s="701"/>
      <c r="K134" s="701"/>
      <c r="L134" s="701"/>
      <c r="M134" s="702"/>
      <c r="N134" s="2018"/>
      <c r="O134" s="2018"/>
      <c r="P134" s="2019"/>
      <c r="Q134" s="2020"/>
      <c r="R134" s="2021"/>
      <c r="S134" s="2021"/>
      <c r="T134" s="2021"/>
      <c r="U134" s="2021"/>
      <c r="V134" s="2021"/>
      <c r="W134" s="2021"/>
      <c r="X134" s="2021"/>
      <c r="Y134" s="2021"/>
      <c r="Z134" s="2021"/>
      <c r="AA134" s="2021"/>
      <c r="AB134" s="2021"/>
      <c r="AC134" s="2021"/>
    </row>
    <row r="135" spans="1:29" s="1494"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4"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4"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4"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4"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4"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4"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4"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4"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4"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4"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4"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4"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4"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4"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4"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4"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4"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4"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4"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4"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4"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4"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4"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4"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4"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4"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4"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4"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4"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4"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4"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4"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4"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4"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4"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4"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4"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4"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4"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4"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4"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4"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4"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4"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4"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4"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4"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4"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4"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4"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4"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4"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4"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4"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4"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4"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4"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4"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4"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4"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4"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4"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4"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4"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4"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4"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4"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4"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4"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4"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4"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4"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4"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4"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4"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4"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4"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4"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4"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4"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4"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4"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4"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4"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4"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4"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4"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4"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4"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4"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4"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4"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4"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4"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4"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4"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4"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4"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4"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4"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4"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4"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4"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4"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4"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4"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4"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4"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4"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4"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4"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4"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4"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4"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4"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4"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4"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4"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4"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4"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N33" sqref="N33"/>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31" s="1894" customFormat="1" ht="18" customHeight="1">
      <c r="A2" s="1953" t="s">
        <v>461</v>
      </c>
      <c r="B2" s="1957">
        <f ca="1">C36</f>
        <v>145179</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1664</v>
      </c>
      <c r="B3" s="1959">
        <f ca="1">ROUND(B2*10000/IF(B1="",'数据-汇总表'!E3,INDIRECT("'数据-取费表'!K"&amp;$K$1)),0)</f>
        <v>23086</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69807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4654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483" t="s">
        <v>1822</v>
      </c>
      <c r="B6" s="2484"/>
      <c r="C6" s="2485">
        <f>SUM(C10:K10)</f>
        <v>242794</v>
      </c>
      <c r="D6" s="2484"/>
      <c r="E6" s="2484"/>
      <c r="F6" s="2484"/>
      <c r="G6" s="2484"/>
      <c r="H6" s="2484"/>
      <c r="I6" s="2484"/>
      <c r="J6" s="2484"/>
      <c r="K6" s="2486"/>
      <c r="L6" s="3129"/>
      <c r="M6" s="3129"/>
      <c r="N6" s="3129"/>
      <c r="O6" s="3129"/>
      <c r="P6" s="3129"/>
      <c r="Q6" s="3129"/>
      <c r="R6" s="3129"/>
      <c r="S6" s="3129"/>
      <c r="T6" s="3129"/>
      <c r="U6" s="3129"/>
      <c r="V6" s="3129"/>
      <c r="W6" s="3129"/>
      <c r="X6" s="3129"/>
      <c r="Y6" s="3129"/>
      <c r="Z6" s="3129"/>
    </row>
    <row r="7" spans="1:31" s="1965" customFormat="1" ht="15">
      <c r="A7" s="2487" t="s">
        <v>464</v>
      </c>
      <c r="B7" s="2488" t="s">
        <v>465</v>
      </c>
      <c r="C7" s="430" t="s">
        <v>903</v>
      </c>
      <c r="D7" s="430" t="s">
        <v>3256</v>
      </c>
      <c r="E7" s="430" t="s">
        <v>35</v>
      </c>
      <c r="F7" s="430"/>
      <c r="G7" s="430"/>
      <c r="H7" s="430"/>
      <c r="I7" s="430"/>
      <c r="J7" s="430"/>
      <c r="K7" s="431"/>
      <c r="AA7" s="1964"/>
      <c r="AB7" s="1964"/>
      <c r="AC7" s="1964"/>
      <c r="AD7" s="1964"/>
      <c r="AE7" s="1964"/>
    </row>
    <row r="8" spans="1:31" s="1967" customFormat="1" ht="13.5" customHeight="1">
      <c r="A8" s="776" t="s">
        <v>1825</v>
      </c>
      <c r="B8" s="259" t="s">
        <v>466</v>
      </c>
      <c r="C8" s="2489">
        <f>'不动产比较法-住宅'!B3</f>
        <v>51654</v>
      </c>
      <c r="D8" s="2489">
        <f>'不动产比较法-仓储'!B3</f>
        <v>18189</v>
      </c>
      <c r="E8" s="2489">
        <f>'不动产比较法-车位'!B3</f>
        <v>8503</v>
      </c>
      <c r="F8" s="2489"/>
      <c r="G8" s="2489"/>
      <c r="H8" s="2489"/>
      <c r="I8" s="2489"/>
      <c r="J8" s="2489"/>
      <c r="K8" s="2490"/>
      <c r="AA8" s="1966"/>
      <c r="AB8" s="1966"/>
      <c r="AC8" s="1966"/>
      <c r="AD8" s="1966"/>
      <c r="AE8" s="1966"/>
    </row>
    <row r="9" spans="1:31" s="1967" customFormat="1" ht="13.5" customHeight="1">
      <c r="A9" s="776" t="s">
        <v>1826</v>
      </c>
      <c r="B9" s="259" t="s">
        <v>467</v>
      </c>
      <c r="C9" s="435">
        <f>SUMIF('数据-汇总表'!$C19:$C33,'剩余法-待开发'!C7,'数据-汇总表'!$E19:$E33)</f>
        <v>43988.19</v>
      </c>
      <c r="D9" s="435">
        <f>SUMIF('数据-汇总表'!$C19:$C33,'剩余法-待开发'!D7,'数据-汇总表'!$E19:$E33)</f>
        <v>3005.41</v>
      </c>
      <c r="E9" s="435">
        <f>SUMIF('数据-汇总表'!$C19:$C33,'剩余法-待开发'!E7,'数据-汇总表'!$E19:$E33)</f>
        <v>11890.43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6"/>
      <c r="AB9" s="1966"/>
      <c r="AC9" s="1966"/>
      <c r="AD9" s="1966"/>
      <c r="AE9" s="1966"/>
    </row>
    <row r="10" spans="1:31" s="1967" customFormat="1" ht="13.5" customHeight="1" thickBot="1">
      <c r="A10" s="2491" t="s">
        <v>1827</v>
      </c>
      <c r="B10" s="2477" t="s">
        <v>468</v>
      </c>
      <c r="C10" s="2679">
        <f>'不动产比较法-住宅'!B2</f>
        <v>227217</v>
      </c>
      <c r="D10" s="2679">
        <f>'不动产比较法-仓储'!B2</f>
        <v>5467</v>
      </c>
      <c r="E10" s="2679">
        <f>'不动产比较法-车位'!B2</f>
        <v>10110</v>
      </c>
      <c r="F10" s="2492"/>
      <c r="G10" s="2492"/>
      <c r="H10" s="2492"/>
      <c r="I10" s="2492"/>
      <c r="J10" s="2492"/>
      <c r="K10" s="2493"/>
      <c r="AA10" s="1966"/>
      <c r="AB10" s="1966"/>
      <c r="AC10" s="1966"/>
      <c r="AD10" s="1966"/>
      <c r="AE10" s="1966"/>
    </row>
    <row r="11" spans="1:31" s="1963" customFormat="1" ht="16.5" customHeight="1">
      <c r="A11" s="2494" t="s">
        <v>1823</v>
      </c>
      <c r="B11" s="2484"/>
      <c r="C11" s="2484"/>
      <c r="D11" s="2484"/>
      <c r="E11" s="2484"/>
      <c r="F11" s="2484"/>
      <c r="G11" s="2484"/>
      <c r="H11" s="2484"/>
      <c r="I11" s="2484"/>
      <c r="J11" s="2484"/>
      <c r="K11" s="2486"/>
      <c r="L11" s="3129"/>
      <c r="M11" s="3129"/>
      <c r="N11" s="3129"/>
      <c r="O11" s="3129"/>
      <c r="P11" s="3129"/>
      <c r="Q11" s="3129"/>
      <c r="R11" s="3129"/>
      <c r="S11" s="3129"/>
      <c r="T11" s="3129"/>
      <c r="U11" s="3129"/>
      <c r="V11" s="3129"/>
      <c r="W11" s="3129"/>
      <c r="X11" s="3129"/>
      <c r="Y11" s="3129"/>
      <c r="Z11" s="3129"/>
    </row>
    <row r="12" spans="1:31" s="1937" customFormat="1" ht="13.5" customHeight="1">
      <c r="A12" s="2495" t="s">
        <v>464</v>
      </c>
      <c r="B12" s="2467" t="s">
        <v>465</v>
      </c>
      <c r="C12" s="2496" t="s">
        <v>469</v>
      </c>
      <c r="D12" s="2463" t="s">
        <v>470</v>
      </c>
      <c r="E12" s="2463" t="s">
        <v>471</v>
      </c>
      <c r="F12" s="2463" t="s">
        <v>472</v>
      </c>
      <c r="G12" s="2467"/>
      <c r="H12" s="2468"/>
      <c r="I12" s="2468"/>
      <c r="J12" s="2468"/>
      <c r="K12" s="2469"/>
      <c r="L12" s="3130"/>
      <c r="M12" s="3130"/>
      <c r="N12" s="3130"/>
      <c r="O12" s="3130"/>
      <c r="P12" s="3130"/>
      <c r="Q12" s="3130"/>
      <c r="R12" s="3130"/>
      <c r="S12" s="3130"/>
      <c r="T12" s="3130"/>
      <c r="U12" s="3130"/>
      <c r="V12" s="3130"/>
      <c r="W12" s="3130"/>
      <c r="X12" s="3130"/>
      <c r="Y12" s="3130"/>
      <c r="Z12" s="3130"/>
    </row>
    <row r="13" spans="1:31" s="1968" customFormat="1" ht="13.5" customHeight="1">
      <c r="A13" s="2497" t="s">
        <v>1828</v>
      </c>
      <c r="B13" s="2498" t="s">
        <v>473</v>
      </c>
      <c r="C13" s="443">
        <f ca="1">IF(B1="",'数据-取费表'!P16,INDIRECT("'数据-取费表'!p"&amp;$K$1)+INDIRECT("'数据-取费表'!t"&amp;$K$1))</f>
        <v>25976</v>
      </c>
      <c r="D13" s="2499"/>
      <c r="E13" s="2500"/>
      <c r="F13" s="2501"/>
      <c r="G13" s="2467"/>
      <c r="H13" s="2468"/>
      <c r="I13" s="2468"/>
      <c r="J13" s="2468"/>
      <c r="K13" s="2469"/>
      <c r="L13" s="1969"/>
      <c r="M13" s="1969"/>
      <c r="N13" s="1969"/>
      <c r="O13" s="1969"/>
      <c r="P13" s="1969"/>
      <c r="Q13" s="1969"/>
      <c r="R13" s="1969"/>
      <c r="S13" s="1969"/>
      <c r="T13" s="1969"/>
      <c r="U13" s="1969"/>
      <c r="V13" s="1969"/>
      <c r="W13" s="1969"/>
      <c r="X13" s="1969"/>
      <c r="Y13" s="1969"/>
      <c r="Z13" s="1969"/>
    </row>
    <row r="14" spans="1:31" s="1968" customFormat="1" ht="13.5" customHeight="1">
      <c r="A14" s="2497" t="s">
        <v>1829</v>
      </c>
      <c r="B14" s="2498" t="s">
        <v>474</v>
      </c>
      <c r="C14" s="53">
        <f ca="1">ROUND(C13*F14,0)</f>
        <v>779</v>
      </c>
      <c r="D14" s="2499"/>
      <c r="E14" s="2500"/>
      <c r="F14" s="2502">
        <f>'数据-取费表'!B33</f>
        <v>0.03</v>
      </c>
      <c r="G14" s="2467" t="s">
        <v>475</v>
      </c>
      <c r="H14" s="2468"/>
      <c r="I14" s="2468"/>
      <c r="J14" s="2468"/>
      <c r="K14" s="2469"/>
      <c r="L14" s="1969"/>
      <c r="M14" s="1969"/>
      <c r="N14" s="1969"/>
      <c r="O14" s="1969"/>
      <c r="P14" s="1969"/>
      <c r="Q14" s="1969"/>
      <c r="R14" s="1969"/>
      <c r="S14" s="1969"/>
      <c r="T14" s="1969"/>
      <c r="U14" s="1969"/>
      <c r="V14" s="1969"/>
      <c r="W14" s="1969"/>
      <c r="X14" s="1969"/>
      <c r="Y14" s="1969"/>
      <c r="Z14" s="1969"/>
    </row>
    <row r="15" spans="1:31" s="1968" customFormat="1" ht="13.5" customHeight="1">
      <c r="A15" s="2497" t="s">
        <v>1830</v>
      </c>
      <c r="B15" s="2498" t="s">
        <v>476</v>
      </c>
      <c r="C15" s="53">
        <f ca="1">ROUND(IF(B1="",SUMIF('数据-取费表'!C:C,"住宅",'数据-取费表'!P:P)*F15,IF(INDIRECT("'数据-取费表'!c"&amp;$K$1)="住宅",INDIRECT("'数据-取费表'!P"&amp;$K$1)*F15,0)),0)</f>
        <v>990</v>
      </c>
      <c r="D15" s="2499"/>
      <c r="E15" s="2500"/>
      <c r="F15" s="2502">
        <f>'数据-取费表'!B34</f>
        <v>0.05</v>
      </c>
      <c r="G15" s="2467" t="s">
        <v>477</v>
      </c>
      <c r="H15" s="2468"/>
      <c r="I15" s="2468"/>
      <c r="J15" s="2468"/>
      <c r="K15" s="2469"/>
      <c r="L15" s="1969"/>
      <c r="M15" s="1969"/>
      <c r="N15" s="1969"/>
      <c r="O15" s="1969"/>
      <c r="P15" s="1969"/>
      <c r="Q15" s="1969"/>
      <c r="R15" s="1969"/>
      <c r="S15" s="1969"/>
      <c r="T15" s="1969"/>
      <c r="U15" s="1969"/>
      <c r="V15" s="1969"/>
      <c r="W15" s="1969"/>
      <c r="X15" s="1969"/>
      <c r="Y15" s="1969"/>
      <c r="Z15" s="1969"/>
    </row>
    <row r="16" spans="1:31" s="1969" customFormat="1" ht="13.5" customHeight="1">
      <c r="A16" s="2497" t="s">
        <v>1831</v>
      </c>
      <c r="B16" s="2498" t="s">
        <v>478</v>
      </c>
      <c r="C16" s="53">
        <f ca="1">ROUND(D16*E16/10000,0)</f>
        <v>1258</v>
      </c>
      <c r="D16" s="2499">
        <f ca="1">IF(B1="",'数据-汇总表'!E3,INDIRECT("'数据-取费表'!K"&amp;$K$1)+INDIRECT("'数据-取费表'!S"&amp;$K$1))</f>
        <v>62884.97</v>
      </c>
      <c r="E16" s="53">
        <f>'数据-取费表'!B35</f>
        <v>200</v>
      </c>
      <c r="F16" s="2502"/>
      <c r="G16" s="2467"/>
      <c r="H16" s="2468"/>
      <c r="I16" s="2468"/>
      <c r="J16" s="2468"/>
      <c r="K16" s="2469"/>
      <c r="AA16" s="1968"/>
      <c r="AB16" s="1968"/>
      <c r="AC16" s="1968"/>
      <c r="AD16" s="1968"/>
      <c r="AE16" s="1968"/>
    </row>
    <row r="17" spans="1:26" s="1968" customFormat="1" ht="13.5" customHeight="1">
      <c r="A17" s="2497" t="s">
        <v>1832</v>
      </c>
      <c r="B17" s="2498" t="s">
        <v>479</v>
      </c>
      <c r="C17" s="2503">
        <f ca="1">ROUND(C13*F17,0)</f>
        <v>390</v>
      </c>
      <c r="D17" s="468"/>
      <c r="E17" s="2503"/>
      <c r="F17" s="2504">
        <f>'数据-取费表'!B36</f>
        <v>1.4999999999999999E-2</v>
      </c>
      <c r="G17" s="259" t="s">
        <v>480</v>
      </c>
      <c r="H17" s="2470"/>
      <c r="I17" s="2470"/>
      <c r="J17" s="2470"/>
      <c r="K17" s="277"/>
      <c r="L17" s="1969"/>
      <c r="M17" s="1969"/>
      <c r="N17" s="1969"/>
      <c r="O17" s="1969"/>
      <c r="P17" s="1969"/>
      <c r="Q17" s="1969"/>
      <c r="R17" s="1969"/>
      <c r="S17" s="1969"/>
      <c r="T17" s="1969"/>
      <c r="U17" s="1969"/>
      <c r="V17" s="1969"/>
      <c r="W17" s="1969"/>
      <c r="X17" s="1969"/>
      <c r="Y17" s="1969"/>
      <c r="Z17" s="1969"/>
    </row>
    <row r="18" spans="1:26" s="1968" customFormat="1" ht="13.5" customHeight="1">
      <c r="A18" s="2505" t="s">
        <v>1833</v>
      </c>
      <c r="B18" s="2506" t="s">
        <v>481</v>
      </c>
      <c r="C18" s="2507">
        <f ca="1">SUM(C13:C17)</f>
        <v>29393</v>
      </c>
      <c r="D18" s="2508"/>
      <c r="E18" s="461"/>
      <c r="F18" s="461"/>
      <c r="G18" s="2471" t="s">
        <v>2398</v>
      </c>
      <c r="H18" s="2472"/>
      <c r="I18" s="2472"/>
      <c r="J18" s="2472"/>
      <c r="K18" s="2473"/>
      <c r="L18" s="1969"/>
      <c r="M18" s="1969"/>
      <c r="N18" s="1969"/>
      <c r="O18" s="1969"/>
      <c r="P18" s="1969"/>
      <c r="Q18" s="1969"/>
      <c r="R18" s="1969"/>
      <c r="S18" s="1969"/>
      <c r="T18" s="1969"/>
      <c r="U18" s="1969"/>
      <c r="V18" s="1969"/>
      <c r="W18" s="1969"/>
      <c r="X18" s="1969"/>
      <c r="Y18" s="1969"/>
      <c r="Z18" s="1969"/>
    </row>
    <row r="19" spans="1:26" s="1968" customFormat="1" ht="13.5" customHeight="1">
      <c r="A19" s="2505" t="s">
        <v>1834</v>
      </c>
      <c r="B19" s="2506" t="s">
        <v>482</v>
      </c>
      <c r="C19" s="2463">
        <f ca="1">ROUND(D19*E19/10000,0)</f>
        <v>629</v>
      </c>
      <c r="D19" s="2509">
        <f ca="1">D16</f>
        <v>62884.97</v>
      </c>
      <c r="E19" s="2463">
        <f>'数据-取费表'!B32</f>
        <v>100</v>
      </c>
      <c r="F19" s="461"/>
      <c r="G19" s="2467" t="s">
        <v>483</v>
      </c>
      <c r="H19" s="2468"/>
      <c r="I19" s="2472"/>
      <c r="J19" s="2472"/>
      <c r="K19" s="2473"/>
      <c r="L19" s="1969"/>
      <c r="M19" s="1969"/>
      <c r="N19" s="1969"/>
      <c r="O19" s="1969"/>
      <c r="P19" s="1969"/>
      <c r="Q19" s="1969"/>
      <c r="R19" s="1969"/>
      <c r="S19" s="1969"/>
      <c r="T19" s="1969"/>
      <c r="U19" s="1969"/>
      <c r="V19" s="1969"/>
      <c r="W19" s="1969"/>
      <c r="X19" s="1969"/>
      <c r="Y19" s="1969"/>
      <c r="Z19" s="1969"/>
    </row>
    <row r="20" spans="1:26" s="1968" customFormat="1" ht="13.5" customHeight="1">
      <c r="A20" s="2505" t="s">
        <v>1835</v>
      </c>
      <c r="B20" s="2506" t="s">
        <v>484</v>
      </c>
      <c r="C20" s="2463">
        <f ca="1">C21+C22-IF(B1="",'数据-取费表'!B29,IF(G20="已全部缴纳",C21+C22,H20))</f>
        <v>1082</v>
      </c>
      <c r="D20" s="2509"/>
      <c r="E20" s="2463"/>
      <c r="F20" s="2510"/>
      <c r="G20" s="2710"/>
      <c r="H20" s="2465"/>
      <c r="I20" s="2466" t="s">
        <v>2550</v>
      </c>
      <c r="J20" s="2472"/>
      <c r="K20" s="2473"/>
      <c r="L20" s="1969"/>
      <c r="M20" s="1969"/>
      <c r="N20" s="1969"/>
      <c r="O20" s="1969"/>
      <c r="P20" s="1969"/>
      <c r="Q20" s="1969"/>
      <c r="R20" s="1969"/>
      <c r="S20" s="1969"/>
      <c r="T20" s="1969"/>
      <c r="U20" s="1969"/>
      <c r="V20" s="1969"/>
      <c r="W20" s="1969"/>
      <c r="X20" s="1969"/>
      <c r="Y20" s="1969"/>
      <c r="Z20" s="1969"/>
    </row>
    <row r="21" spans="1:26" s="1968" customFormat="1" ht="13.5" customHeight="1">
      <c r="A21" s="2497" t="s">
        <v>1836</v>
      </c>
      <c r="B21" s="2498" t="s">
        <v>485</v>
      </c>
      <c r="C21" s="53">
        <f ca="1">ROUND(D21*E21/10000,0)</f>
        <v>704</v>
      </c>
      <c r="D21" s="2499">
        <f ca="1">IF(B1="",'数据-汇总表'!E5,IF(INDIRECT("'数据-取费表'!c"&amp;$K$1)="住宅",INDIRECT("'数据-取费表'!k"&amp;$K$1),0))</f>
        <v>43988.19</v>
      </c>
      <c r="E21" s="53">
        <f>'数据-取费表'!B27</f>
        <v>160</v>
      </c>
      <c r="F21" s="2502"/>
      <c r="G21" s="26"/>
      <c r="H21" s="51"/>
      <c r="I21" s="51"/>
      <c r="J21" s="51"/>
      <c r="K21" s="2474"/>
      <c r="L21" s="1969"/>
      <c r="M21" s="1969"/>
      <c r="N21" s="1969"/>
      <c r="O21" s="1969"/>
      <c r="P21" s="1969"/>
      <c r="Q21" s="1969"/>
      <c r="R21" s="1969"/>
      <c r="S21" s="1969"/>
      <c r="T21" s="1969"/>
      <c r="U21" s="1969"/>
      <c r="V21" s="1969"/>
      <c r="W21" s="1969"/>
      <c r="X21" s="1969"/>
      <c r="Y21" s="1969"/>
      <c r="Z21" s="1969"/>
    </row>
    <row r="22" spans="1:26" s="1968" customFormat="1" ht="13.5" customHeight="1">
      <c r="A22" s="2497" t="s">
        <v>1837</v>
      </c>
      <c r="B22" s="2498" t="s">
        <v>486</v>
      </c>
      <c r="C22" s="53">
        <f ca="1">ROUND(D22*E22/10000,0)</f>
        <v>378</v>
      </c>
      <c r="D22" s="2499">
        <f ca="1">IF(B1="",'数据-汇总表'!E6,IF(INDIRECT("'数据-取费表'!c"&amp;$K$1)="住宅",INDIRECT("'数据-取费表'!s"&amp;$K$1),INDIRECT("'数据-取费表'!k"&amp;$K$1)+INDIRECT("'数据-取费表'!s"&amp;$K$1)))</f>
        <v>18896.78</v>
      </c>
      <c r="E22" s="53">
        <f>'数据-取费表'!B28</f>
        <v>200</v>
      </c>
      <c r="F22" s="2502"/>
      <c r="G22" s="26"/>
      <c r="H22" s="51"/>
      <c r="I22" s="51"/>
      <c r="J22" s="51"/>
      <c r="K22" s="2474"/>
      <c r="L22" s="1969"/>
      <c r="M22" s="1969"/>
      <c r="N22" s="1969"/>
      <c r="O22" s="1969"/>
      <c r="P22" s="1969"/>
      <c r="Q22" s="1969"/>
      <c r="R22" s="1969"/>
      <c r="S22" s="1969"/>
      <c r="T22" s="1969"/>
      <c r="U22" s="1969"/>
      <c r="V22" s="1969"/>
      <c r="W22" s="1969"/>
      <c r="X22" s="1969"/>
      <c r="Y22" s="1969"/>
      <c r="Z22" s="1969"/>
    </row>
    <row r="23" spans="1:26" s="1968" customFormat="1" ht="13.5" customHeight="1">
      <c r="A23" s="2505" t="s">
        <v>1838</v>
      </c>
      <c r="B23" s="2683" t="s">
        <v>2730</v>
      </c>
      <c r="C23" s="2507">
        <f ca="1">ROUND((C18+C19+C20)*F23,0)</f>
        <v>622</v>
      </c>
      <c r="D23" s="461"/>
      <c r="E23" s="461"/>
      <c r="F23" s="2511">
        <f>'数据-取费表'!B37</f>
        <v>0.02</v>
      </c>
      <c r="G23" s="2467" t="s">
        <v>2399</v>
      </c>
      <c r="H23" s="2468"/>
      <c r="I23" s="2468"/>
      <c r="J23" s="2468"/>
      <c r="K23" s="2469"/>
      <c r="L23" s="3131"/>
      <c r="M23" s="3131"/>
      <c r="N23" s="3131"/>
      <c r="O23" s="1969"/>
      <c r="P23" s="1969"/>
      <c r="Q23" s="1969"/>
      <c r="R23" s="1969"/>
      <c r="S23" s="1969"/>
      <c r="T23" s="1969"/>
      <c r="U23" s="1969"/>
      <c r="V23" s="1969"/>
      <c r="W23" s="1969"/>
      <c r="X23" s="1969"/>
      <c r="Y23" s="1969"/>
      <c r="Z23" s="1969"/>
    </row>
    <row r="24" spans="1:26" s="1968" customFormat="1" ht="13.5" customHeight="1">
      <c r="A24" s="2505" t="s">
        <v>1839</v>
      </c>
      <c r="B24" s="2683" t="s">
        <v>2733</v>
      </c>
      <c r="C24" s="2507">
        <f>ROUND(C6*F24,0)</f>
        <v>4856</v>
      </c>
      <c r="D24" s="468"/>
      <c r="E24" s="466"/>
      <c r="F24" s="2511">
        <f>'数据-取费表'!B38</f>
        <v>0.02</v>
      </c>
      <c r="G24" s="2476" t="s">
        <v>493</v>
      </c>
      <c r="H24" s="2470"/>
      <c r="I24" s="2470"/>
      <c r="J24" s="2470"/>
      <c r="K24" s="277"/>
      <c r="L24" s="3131"/>
      <c r="M24" s="3131"/>
      <c r="N24" s="3131"/>
      <c r="O24" s="1969"/>
      <c r="P24" s="1969"/>
      <c r="Q24" s="1969"/>
      <c r="R24" s="1969"/>
      <c r="S24" s="1969"/>
      <c r="T24" s="1969"/>
      <c r="U24" s="1969"/>
      <c r="V24" s="1969"/>
      <c r="W24" s="1969"/>
      <c r="X24" s="1969"/>
      <c r="Y24" s="1969"/>
      <c r="Z24" s="1969"/>
    </row>
    <row r="25" spans="1:26" s="1971"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2"/>
      <c r="M25" s="3132"/>
      <c r="N25" s="3132"/>
      <c r="O25" s="3132"/>
      <c r="P25" s="3132"/>
      <c r="Q25" s="3132"/>
      <c r="R25" s="3132"/>
      <c r="S25" s="3132"/>
      <c r="T25" s="3132"/>
      <c r="U25" s="3132"/>
      <c r="V25" s="3132"/>
      <c r="W25" s="3132"/>
      <c r="X25" s="3132"/>
      <c r="Y25" s="3132"/>
      <c r="Z25" s="3132"/>
    </row>
    <row r="26" spans="1:26" s="1970" customFormat="1" ht="13.5" customHeight="1">
      <c r="A26" s="2505" t="s">
        <v>1841</v>
      </c>
      <c r="B26" s="2684" t="s">
        <v>2732</v>
      </c>
      <c r="C26" s="2512">
        <f ca="1">C28</f>
        <v>1536</v>
      </c>
      <c r="D26" s="460">
        <f ca="1">C27</f>
        <v>8.8300000000000003E-2</v>
      </c>
      <c r="E26" s="462" t="s">
        <v>489</v>
      </c>
      <c r="F26" s="464">
        <f ca="1">'数据-取费表'!B40</f>
        <v>4.2000000000000003E-2</v>
      </c>
      <c r="G26" s="2362" t="str">
        <f>IF('数据-取费表'!B22&lt;=1,"单利计息。","复利计息。")&amp;"后续开发成本、管理费用及销售费用产生的利息。"</f>
        <v>复利计息。后续开发成本、管理费用及销售费用产生的利息。</v>
      </c>
      <c r="H26" s="2472"/>
      <c r="I26" s="2472"/>
      <c r="J26" s="2472"/>
      <c r="K26" s="2473"/>
      <c r="L26" s="3131"/>
      <c r="M26" s="3131"/>
      <c r="N26" s="3131"/>
      <c r="O26" s="3131"/>
      <c r="P26" s="3131"/>
      <c r="Q26" s="3131"/>
      <c r="R26" s="3131"/>
      <c r="S26" s="3131"/>
      <c r="T26" s="3131"/>
      <c r="U26" s="3131"/>
      <c r="V26" s="3131"/>
      <c r="W26" s="3131"/>
      <c r="X26" s="3131"/>
      <c r="Y26" s="3131"/>
      <c r="Z26" s="3131"/>
    </row>
    <row r="27" spans="1:26" s="1972" customFormat="1" ht="13.5" customHeight="1">
      <c r="A27" s="776" t="s">
        <v>1836</v>
      </c>
      <c r="B27" s="2513" t="s">
        <v>490</v>
      </c>
      <c r="C27" s="2514">
        <f ca="1">ROUND(IF('数据-取费表'!B22&lt;=1,(1+C25)*F26*'数据-取费表'!B24,(1+C25)*(POWER((1+F26),'数据-取费表'!B24)-1)),4)</f>
        <v>8.8300000000000003E-2</v>
      </c>
      <c r="D27" s="465"/>
      <c r="E27" s="466"/>
      <c r="F27" s="467"/>
      <c r="G27" s="2362" t="str">
        <f>IF('数据-取费表'!B22&lt;=1,"（1+取得税费率/(1+5%)）×年利率×建设期","（1+取得税费率）/(1+5%)×((1+年利率)^建设期-1)")</f>
        <v>（1+取得税费率）/(1+5%)×((1+年利率)^建设期-1)</v>
      </c>
      <c r="H27" s="2470"/>
      <c r="I27" s="2470"/>
      <c r="J27" s="2470"/>
      <c r="K27" s="277"/>
      <c r="L27" s="3133"/>
      <c r="M27" s="3133"/>
      <c r="N27" s="3133"/>
      <c r="O27" s="3133"/>
      <c r="P27" s="3133"/>
      <c r="Q27" s="3133"/>
      <c r="R27" s="3133"/>
      <c r="S27" s="3133"/>
      <c r="T27" s="3133"/>
      <c r="U27" s="3133"/>
      <c r="V27" s="3133"/>
      <c r="W27" s="3133"/>
      <c r="X27" s="3133"/>
      <c r="Y27" s="3133"/>
      <c r="Z27" s="3133"/>
    </row>
    <row r="28" spans="1:26" s="1972" customFormat="1" ht="13.5" customHeight="1">
      <c r="A28" s="776" t="s">
        <v>1837</v>
      </c>
      <c r="B28" s="2513" t="s">
        <v>2734</v>
      </c>
      <c r="C28" s="2515">
        <f ca="1">ROUND(IF('数据-取费表'!B22&lt;=1,(C18+C19+C20+C23+C24)*F26*'数据-取费表'!B24/2,(C18+C19+C20+C23+C24)*(POWER((1+F26),'数据-取费表'!B24/2)-1)),0)</f>
        <v>1536</v>
      </c>
      <c r="D28" s="465"/>
      <c r="E28" s="466"/>
      <c r="F28" s="467"/>
      <c r="G28" s="2362" t="str">
        <f>IF('数据-取费表'!B22&lt;=1,"（1）-（4）项×年利率×建设期÷2","（1）-（4）项×((1+年利率)^(建设期÷2)-1)")</f>
        <v>（1）-（4）项×((1+年利率)^(建设期÷2)-1)</v>
      </c>
      <c r="H28" s="2470"/>
      <c r="I28" s="2470"/>
      <c r="J28" s="2470"/>
      <c r="K28" s="277"/>
      <c r="L28" s="3133"/>
      <c r="M28" s="3133"/>
      <c r="N28" s="3133"/>
      <c r="O28" s="3133"/>
      <c r="P28" s="3133"/>
      <c r="Q28" s="3133"/>
      <c r="R28" s="3133"/>
      <c r="S28" s="3133"/>
      <c r="T28" s="3133"/>
      <c r="U28" s="3133"/>
      <c r="V28" s="3133"/>
      <c r="W28" s="3133"/>
      <c r="X28" s="3133"/>
      <c r="Y28" s="3133"/>
      <c r="Z28" s="3133"/>
    </row>
    <row r="29" spans="1:26" s="1972" customFormat="1" ht="13.5" customHeight="1">
      <c r="A29" s="2516" t="s">
        <v>1842</v>
      </c>
      <c r="B29" s="2506" t="s">
        <v>491</v>
      </c>
      <c r="C29" s="2507">
        <f>ROUND(C6*F29/(1+'数据-取费表'!C42),0)</f>
        <v>12718</v>
      </c>
      <c r="D29" s="461"/>
      <c r="E29" s="461"/>
      <c r="F29" s="2685">
        <f>'数据-取费表'!B41</f>
        <v>5.5000000000000007E-2</v>
      </c>
      <c r="G29" s="2476" t="s">
        <v>492</v>
      </c>
      <c r="H29" s="2468"/>
      <c r="I29" s="2468"/>
      <c r="J29" s="2468"/>
      <c r="K29" s="2469"/>
      <c r="L29" s="3133"/>
      <c r="M29" s="3133"/>
      <c r="N29" s="3133"/>
      <c r="O29" s="3133"/>
      <c r="P29" s="3133"/>
      <c r="Q29" s="3133"/>
      <c r="R29" s="3133"/>
      <c r="S29" s="3133"/>
      <c r="T29" s="3133"/>
      <c r="U29" s="3133"/>
      <c r="V29" s="3133"/>
      <c r="W29" s="3133"/>
      <c r="X29" s="3133"/>
      <c r="Y29" s="3133"/>
      <c r="Z29" s="3133"/>
    </row>
    <row r="30" spans="1:26" s="1973" customFormat="1" ht="13.5" customHeight="1">
      <c r="A30" s="1536" t="s">
        <v>1843</v>
      </c>
      <c r="B30" s="2517" t="s">
        <v>494</v>
      </c>
      <c r="C30" s="2512">
        <f ca="1">C31</f>
        <v>50836</v>
      </c>
      <c r="D30" s="470">
        <f ca="1">C32</f>
        <v>0.1173</v>
      </c>
      <c r="E30" s="462" t="s">
        <v>489</v>
      </c>
      <c r="F30" s="464"/>
      <c r="G30" s="2475" t="s">
        <v>2847</v>
      </c>
      <c r="H30" s="2468"/>
      <c r="I30" s="2468"/>
      <c r="J30" s="2468"/>
      <c r="K30" s="2469"/>
      <c r="L30" s="3134"/>
      <c r="M30" s="3134"/>
      <c r="N30" s="3134"/>
      <c r="O30" s="3134"/>
      <c r="P30" s="3134"/>
      <c r="Q30" s="3134"/>
      <c r="R30" s="3134"/>
      <c r="S30" s="3134"/>
      <c r="T30" s="3134"/>
      <c r="U30" s="3134"/>
      <c r="V30" s="3134"/>
      <c r="W30" s="3134"/>
      <c r="X30" s="3134"/>
      <c r="Y30" s="3134"/>
      <c r="Z30" s="3134"/>
    </row>
    <row r="31" spans="1:26" s="1972" customFormat="1" ht="13.5" customHeight="1">
      <c r="A31" s="776" t="s">
        <v>1836</v>
      </c>
      <c r="B31" s="2513"/>
      <c r="C31" s="443">
        <f ca="1">C18+C19+C20+C23+C24+C26+C29</f>
        <v>50836</v>
      </c>
      <c r="D31" s="465"/>
      <c r="E31" s="466"/>
      <c r="F31" s="467"/>
      <c r="G31" s="259"/>
      <c r="H31" s="2470"/>
      <c r="I31" s="2470"/>
      <c r="J31" s="2470"/>
      <c r="K31" s="277"/>
      <c r="L31" s="3133"/>
      <c r="M31" s="3133"/>
      <c r="N31" s="3133"/>
      <c r="O31" s="3133"/>
      <c r="P31" s="3133"/>
      <c r="Q31" s="3133"/>
      <c r="R31" s="3133"/>
      <c r="S31" s="3133"/>
      <c r="T31" s="3133"/>
      <c r="U31" s="3133"/>
      <c r="V31" s="3133"/>
      <c r="W31" s="3133"/>
      <c r="X31" s="3133"/>
      <c r="Y31" s="3133"/>
      <c r="Z31" s="3133"/>
    </row>
    <row r="32" spans="1:26" s="1972" customFormat="1" ht="13.5" customHeight="1">
      <c r="A32" s="776" t="s">
        <v>1837</v>
      </c>
      <c r="B32" s="2513"/>
      <c r="C32" s="53">
        <f ca="1">ROUND(C25+D26,4)</f>
        <v>0.1173</v>
      </c>
      <c r="D32" s="465"/>
      <c r="E32" s="466"/>
      <c r="F32" s="467"/>
      <c r="G32" s="259"/>
      <c r="H32" s="2470"/>
      <c r="I32" s="2470"/>
      <c r="J32" s="2470"/>
      <c r="K32" s="277"/>
      <c r="L32" s="3133"/>
      <c r="M32" s="3133"/>
      <c r="N32" s="3133"/>
      <c r="O32" s="3133"/>
      <c r="P32" s="3133"/>
      <c r="Q32" s="3133"/>
      <c r="R32" s="3133"/>
      <c r="S32" s="3133"/>
      <c r="T32" s="3133"/>
      <c r="U32" s="3133"/>
      <c r="V32" s="3133"/>
      <c r="W32" s="3133"/>
      <c r="X32" s="3133"/>
      <c r="Y32" s="3133"/>
      <c r="Z32" s="3133"/>
    </row>
    <row r="33" spans="1:26" s="1974" customFormat="1" ht="13.5" customHeight="1">
      <c r="A33" s="2682" t="s">
        <v>2729</v>
      </c>
      <c r="B33" s="2680" t="s">
        <v>2727</v>
      </c>
      <c r="C33" s="471">
        <f ca="1">C35</f>
        <v>5853</v>
      </c>
      <c r="D33" s="460">
        <f ca="1">C34</f>
        <v>0.1646</v>
      </c>
      <c r="E33" s="462" t="s">
        <v>489</v>
      </c>
      <c r="F33" s="472">
        <f ca="1">IF(B1="",'数据-取费表'!Q16,INDIRECT("'数据-取费表'!q"&amp;$K$1))</f>
        <v>0.16</v>
      </c>
      <c r="G33" s="2471"/>
      <c r="H33" s="2472"/>
      <c r="I33" s="2472"/>
      <c r="J33" s="2472"/>
      <c r="K33" s="2473"/>
      <c r="L33" s="3135"/>
      <c r="M33" s="3135"/>
      <c r="N33" s="3135"/>
      <c r="O33" s="3135"/>
      <c r="P33" s="3135"/>
      <c r="Q33" s="3135"/>
      <c r="R33" s="3135"/>
      <c r="S33" s="3135"/>
      <c r="T33" s="3135"/>
      <c r="U33" s="3135"/>
      <c r="V33" s="3135"/>
      <c r="W33" s="3135"/>
      <c r="X33" s="3135"/>
      <c r="Y33" s="3135"/>
      <c r="Z33" s="3135"/>
    </row>
    <row r="34" spans="1:26" s="1975" customFormat="1" ht="13.5" customHeight="1">
      <c r="A34" s="369" t="s">
        <v>1836</v>
      </c>
      <c r="B34" s="2518" t="s">
        <v>495</v>
      </c>
      <c r="C34" s="465">
        <f ca="1">ROUND((1+C25)*F33,4)</f>
        <v>0.1646</v>
      </c>
      <c r="D34" s="465"/>
      <c r="E34" s="466"/>
      <c r="F34" s="473"/>
      <c r="G34" s="259" t="s">
        <v>2263</v>
      </c>
      <c r="H34" s="2470"/>
      <c r="I34" s="2470"/>
      <c r="J34" s="2470"/>
      <c r="K34" s="277"/>
      <c r="L34" s="3136"/>
      <c r="M34" s="3136"/>
      <c r="N34" s="3136"/>
      <c r="O34" s="3136"/>
      <c r="P34" s="3136"/>
      <c r="Q34" s="3136"/>
      <c r="R34" s="3136"/>
      <c r="S34" s="3136"/>
      <c r="T34" s="3136"/>
      <c r="U34" s="3136"/>
      <c r="V34" s="3136"/>
      <c r="W34" s="3136"/>
      <c r="X34" s="3136"/>
      <c r="Y34" s="3136"/>
      <c r="Z34" s="3136"/>
    </row>
    <row r="35" spans="1:26" s="1975" customFormat="1" ht="13.5" customHeight="1" thickBot="1">
      <c r="A35" s="1537" t="s">
        <v>1837</v>
      </c>
      <c r="B35" s="2681" t="s">
        <v>2735</v>
      </c>
      <c r="C35" s="1529">
        <f ca="1">ROUND((C18+C19+C20+C23+C24)*F33,0)</f>
        <v>5853</v>
      </c>
      <c r="D35" s="1530"/>
      <c r="E35" s="2519"/>
      <c r="F35" s="1531"/>
      <c r="G35" s="2477"/>
      <c r="H35" s="2478"/>
      <c r="I35" s="2478"/>
      <c r="J35" s="2478"/>
      <c r="K35" s="2479"/>
      <c r="L35" s="3136"/>
      <c r="M35" s="3136"/>
      <c r="N35" s="3136"/>
      <c r="O35" s="3136"/>
      <c r="P35" s="3136"/>
      <c r="Q35" s="3136"/>
      <c r="R35" s="3136"/>
      <c r="S35" s="3136"/>
      <c r="T35" s="3136"/>
      <c r="U35" s="3136"/>
      <c r="V35" s="3136"/>
      <c r="W35" s="3136"/>
      <c r="X35" s="3136"/>
      <c r="Y35" s="3136"/>
      <c r="Z35" s="3136"/>
    </row>
    <row r="36" spans="1:26" s="1937" customFormat="1" ht="13.5" customHeight="1" thickBot="1">
      <c r="A36" s="282" t="s">
        <v>1824</v>
      </c>
      <c r="B36" s="2481"/>
      <c r="C36" s="2520">
        <f ca="1">ROUND((C6-C30-C33)/(1+D30+D33),0)</f>
        <v>145179</v>
      </c>
      <c r="D36" s="2481"/>
      <c r="E36" s="2481"/>
      <c r="F36" s="2481"/>
      <c r="G36" s="2480" t="s">
        <v>2736</v>
      </c>
      <c r="H36" s="2481"/>
      <c r="I36" s="2481"/>
      <c r="J36" s="2481"/>
      <c r="K36" s="2482"/>
      <c r="L36" s="3130"/>
      <c r="M36" s="3130"/>
      <c r="N36" s="3130"/>
      <c r="O36" s="3130"/>
      <c r="P36" s="3130"/>
      <c r="Q36" s="3130"/>
      <c r="R36" s="3130"/>
      <c r="S36" s="3130"/>
      <c r="T36" s="3130"/>
      <c r="U36" s="3130"/>
      <c r="V36" s="3130"/>
      <c r="W36" s="3130"/>
      <c r="X36" s="3130"/>
      <c r="Y36" s="3130"/>
      <c r="Z36" s="3130"/>
    </row>
    <row r="37" spans="1:26" s="1967" customFormat="1">
      <c r="A37" s="3137"/>
      <c r="C37" s="3138"/>
      <c r="E37" s="3137"/>
    </row>
    <row r="38" spans="1:26" s="1967" customFormat="1" ht="12.75" customHeight="1">
      <c r="A38" s="3137"/>
      <c r="C38" s="3138"/>
      <c r="E38" s="3137"/>
    </row>
    <row r="39" spans="1:26" s="1967" customFormat="1">
      <c r="A39" s="3137"/>
      <c r="C39" s="3138"/>
      <c r="E39" s="3137"/>
    </row>
    <row r="40" spans="1:26" s="1967" customFormat="1">
      <c r="A40" s="3137"/>
      <c r="C40" s="3138"/>
      <c r="E40" s="3137"/>
    </row>
    <row r="41" spans="1:26" s="1967" customFormat="1">
      <c r="A41" s="3137"/>
      <c r="C41" s="3138"/>
      <c r="E41" s="3137"/>
    </row>
    <row r="42" spans="1:26" s="1967" customFormat="1">
      <c r="A42" s="3137"/>
      <c r="C42" s="3138"/>
      <c r="E42" s="3137"/>
    </row>
    <row r="43" spans="1:26" s="1967" customFormat="1">
      <c r="A43" s="3137"/>
      <c r="C43" s="3138"/>
      <c r="E43" s="3137"/>
    </row>
    <row r="44" spans="1:26" s="1967" customFormat="1">
      <c r="A44" s="3137"/>
      <c r="C44" s="3138"/>
      <c r="E44" s="3137"/>
    </row>
    <row r="45" spans="1:26" s="1967" customFormat="1">
      <c r="A45" s="3137"/>
      <c r="C45" s="3138"/>
      <c r="E45" s="3137"/>
    </row>
    <row r="46" spans="1:26" s="1967" customFormat="1">
      <c r="A46" s="3137"/>
      <c r="C46" s="3138"/>
      <c r="E46" s="3137"/>
    </row>
    <row r="47" spans="1:26" s="1967" customFormat="1">
      <c r="A47" s="3137"/>
      <c r="C47" s="3138"/>
      <c r="E47" s="3137"/>
    </row>
    <row r="48" spans="1:26"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row r="212" spans="1:5" s="1967" customFormat="1">
      <c r="A212" s="3137"/>
      <c r="C212" s="3138"/>
      <c r="E212" s="3137"/>
    </row>
    <row r="213" spans="1:5" s="1967" customFormat="1">
      <c r="A213" s="3137"/>
      <c r="C213" s="3138"/>
      <c r="E213" s="3137"/>
    </row>
    <row r="214" spans="1:5" s="1967" customFormat="1">
      <c r="A214" s="3137"/>
      <c r="C214" s="3138"/>
      <c r="E214" s="3137"/>
    </row>
    <row r="215" spans="1:5" s="1967" customFormat="1">
      <c r="A215" s="3137"/>
      <c r="C215" s="3138"/>
      <c r="E215" s="3137"/>
    </row>
    <row r="216" spans="1:5" s="1967" customFormat="1">
      <c r="A216" s="3137"/>
      <c r="C216" s="3138"/>
      <c r="E216" s="3137"/>
    </row>
    <row r="217" spans="1:5" s="1967" customFormat="1">
      <c r="A217" s="3137"/>
      <c r="C217" s="3138"/>
      <c r="E217" s="3137"/>
    </row>
    <row r="218" spans="1:5" s="1967" customFormat="1">
      <c r="A218" s="3137"/>
      <c r="C218" s="3138"/>
      <c r="E218" s="3137"/>
    </row>
    <row r="219" spans="1:5" s="1967" customFormat="1">
      <c r="A219" s="3137"/>
      <c r="C219" s="3138"/>
      <c r="E219" s="3137"/>
    </row>
    <row r="220" spans="1:5" s="1967" customFormat="1">
      <c r="A220" s="3137"/>
      <c r="C220" s="3138"/>
      <c r="E220" s="3137"/>
    </row>
    <row r="221" spans="1:5" s="1967" customFormat="1">
      <c r="A221" s="3137"/>
      <c r="C221" s="3138"/>
      <c r="E221" s="3137"/>
    </row>
    <row r="222" spans="1:5" s="1967" customFormat="1">
      <c r="A222" s="3137"/>
      <c r="C222" s="3138"/>
      <c r="E222" s="3137"/>
    </row>
    <row r="223" spans="1:5" s="1967" customFormat="1">
      <c r="A223" s="3137"/>
      <c r="C223" s="3138"/>
      <c r="E223" s="3137"/>
    </row>
    <row r="224" spans="1:5" s="1967" customFormat="1">
      <c r="A224" s="3137"/>
      <c r="C224" s="3138"/>
      <c r="E224" s="3137"/>
    </row>
    <row r="225" spans="1:5" s="1967" customFormat="1">
      <c r="A225" s="3137"/>
      <c r="C225" s="3138"/>
      <c r="E225" s="3137"/>
    </row>
    <row r="226" spans="1:5" s="1967" customFormat="1">
      <c r="A226" s="3137"/>
      <c r="C226" s="3138"/>
      <c r="E226" s="3137"/>
    </row>
    <row r="227" spans="1:5" s="1967" customFormat="1">
      <c r="A227" s="3137"/>
      <c r="C227" s="3138"/>
      <c r="E227" s="3137"/>
    </row>
    <row r="228" spans="1:5" s="1967" customFormat="1">
      <c r="A228" s="3137"/>
      <c r="C228" s="3138"/>
      <c r="E228" s="3137"/>
    </row>
    <row r="229" spans="1:5" s="1967" customFormat="1">
      <c r="A229" s="3137"/>
      <c r="C229" s="3138"/>
      <c r="E229" s="3137"/>
    </row>
    <row r="230" spans="1:5" s="1967" customFormat="1">
      <c r="A230" s="3137"/>
      <c r="C230" s="3138"/>
      <c r="E230" s="3137"/>
    </row>
    <row r="231" spans="1:5" s="1967" customFormat="1">
      <c r="A231" s="3137"/>
      <c r="C231" s="3138"/>
      <c r="E231" s="3137"/>
    </row>
    <row r="232" spans="1:5" s="1967" customFormat="1">
      <c r="A232" s="3137"/>
      <c r="C232" s="3138"/>
      <c r="E232" s="3137"/>
    </row>
    <row r="233" spans="1:5" s="1967" customFormat="1">
      <c r="A233" s="3137"/>
      <c r="C233" s="3138"/>
      <c r="E233" s="3137"/>
    </row>
    <row r="234" spans="1:5" s="1967" customFormat="1">
      <c r="A234" s="3137"/>
      <c r="C234" s="3138"/>
      <c r="E234" s="3137"/>
    </row>
    <row r="235" spans="1:5" s="1967" customFormat="1">
      <c r="A235" s="3137"/>
      <c r="C235" s="3138"/>
      <c r="E235" s="3137"/>
    </row>
    <row r="236" spans="1:5" s="1967" customFormat="1">
      <c r="A236" s="3137"/>
      <c r="C236" s="3138"/>
      <c r="E236" s="3137"/>
    </row>
    <row r="237" spans="1:5" s="1967" customFormat="1">
      <c r="A237" s="3137"/>
      <c r="C237" s="3138"/>
      <c r="E237" s="3137"/>
    </row>
    <row r="238" spans="1:5" s="1967" customFormat="1">
      <c r="A238" s="3137"/>
      <c r="C238" s="3138"/>
      <c r="E238" s="3137"/>
    </row>
    <row r="239" spans="1:5" s="1967" customFormat="1">
      <c r="A239" s="3137"/>
      <c r="C239" s="3138"/>
      <c r="E239" s="3137"/>
    </row>
    <row r="240" spans="1:5" s="1967" customFormat="1">
      <c r="A240" s="3137"/>
      <c r="C240" s="3138"/>
      <c r="E240" s="3137"/>
    </row>
    <row r="241" spans="1:5" s="1967" customFormat="1">
      <c r="A241" s="3137"/>
      <c r="C241" s="3138"/>
      <c r="E241" s="3137"/>
    </row>
    <row r="242" spans="1:5" s="1967" customFormat="1">
      <c r="A242" s="3137"/>
      <c r="C242" s="3138"/>
      <c r="E242" s="3137"/>
    </row>
    <row r="243" spans="1:5" s="1967" customFormat="1">
      <c r="A243" s="3137"/>
      <c r="C243" s="3138"/>
      <c r="E243" s="3137"/>
    </row>
    <row r="244" spans="1:5" s="1967" customFormat="1">
      <c r="A244" s="3137"/>
      <c r="C244" s="3138"/>
      <c r="E244" s="3137"/>
    </row>
    <row r="245" spans="1:5" s="1967" customFormat="1">
      <c r="A245" s="3137"/>
      <c r="C245" s="3138"/>
      <c r="E245" s="3137"/>
    </row>
    <row r="246" spans="1:5" s="1967" customFormat="1">
      <c r="A246" s="3137"/>
      <c r="C246" s="3138"/>
      <c r="E246" s="3137"/>
    </row>
    <row r="247" spans="1:5" s="1967" customFormat="1">
      <c r="A247" s="3137"/>
      <c r="C247" s="3138"/>
      <c r="E247" s="3137"/>
    </row>
    <row r="248" spans="1:5" s="1967" customFormat="1">
      <c r="A248" s="3137"/>
      <c r="C248" s="3138"/>
      <c r="E248" s="3137"/>
    </row>
    <row r="249" spans="1:5" s="1967" customFormat="1">
      <c r="A249" s="3137"/>
      <c r="C249" s="3138"/>
      <c r="E249" s="3137"/>
    </row>
    <row r="250" spans="1:5" s="1967" customFormat="1">
      <c r="A250" s="3137"/>
      <c r="C250" s="3138"/>
      <c r="E250" s="3137"/>
    </row>
    <row r="251" spans="1:5" s="1967" customFormat="1">
      <c r="A251" s="3137"/>
      <c r="C251" s="3138"/>
      <c r="E251" s="3137"/>
    </row>
    <row r="252" spans="1:5" s="1967" customFormat="1">
      <c r="A252" s="3137"/>
      <c r="C252" s="3138"/>
      <c r="E252" s="3137"/>
    </row>
    <row r="253" spans="1:5" s="1967" customFormat="1">
      <c r="A253" s="3137"/>
      <c r="C253" s="3138"/>
      <c r="E253" s="3137"/>
    </row>
    <row r="254" spans="1:5" s="1967" customFormat="1">
      <c r="A254" s="3137"/>
      <c r="C254" s="3138"/>
      <c r="E254" s="3137"/>
    </row>
    <row r="255" spans="1:5" s="1967" customFormat="1">
      <c r="A255" s="3137"/>
      <c r="C255" s="3138"/>
      <c r="E255" s="3137"/>
    </row>
    <row r="256" spans="1:5" s="1967" customFormat="1">
      <c r="A256" s="3137"/>
      <c r="C256" s="3138"/>
      <c r="E256" s="3137"/>
    </row>
    <row r="257" spans="1:5" s="1967" customFormat="1">
      <c r="A257" s="3137"/>
      <c r="C257" s="3138"/>
      <c r="E257" s="3137"/>
    </row>
    <row r="258" spans="1:5" s="1967" customFormat="1">
      <c r="A258" s="3137"/>
      <c r="C258" s="3138"/>
      <c r="E258" s="3137"/>
    </row>
    <row r="259" spans="1:5" s="1967" customFormat="1">
      <c r="A259" s="3137"/>
      <c r="C259" s="3138"/>
      <c r="E259" s="3137"/>
    </row>
    <row r="260" spans="1:5" s="1967" customFormat="1">
      <c r="A260" s="3137"/>
      <c r="C260" s="3138"/>
      <c r="E260" s="3137"/>
    </row>
    <row r="261" spans="1:5" s="1967" customFormat="1">
      <c r="A261" s="3137"/>
      <c r="C261" s="3138"/>
      <c r="E261" s="3137"/>
    </row>
    <row r="262" spans="1:5" s="1967" customFormat="1">
      <c r="A262" s="3137"/>
      <c r="C262" s="3138"/>
      <c r="E262" s="3137"/>
    </row>
    <row r="263" spans="1:5" s="1967" customFormat="1">
      <c r="A263" s="3137"/>
      <c r="C263" s="3138"/>
      <c r="E263" s="3137"/>
    </row>
    <row r="264" spans="1:5" s="1967" customFormat="1">
      <c r="A264" s="3137"/>
      <c r="C264" s="3138"/>
      <c r="E264" s="3137"/>
    </row>
    <row r="265" spans="1:5" s="1967" customFormat="1">
      <c r="A265" s="3137"/>
      <c r="C265" s="3138"/>
      <c r="E265" s="3137"/>
    </row>
    <row r="266" spans="1:5" s="1967" customFormat="1">
      <c r="A266" s="3137"/>
      <c r="C266" s="3138"/>
      <c r="E266" s="3137"/>
    </row>
    <row r="267" spans="1:5" s="1967" customFormat="1">
      <c r="A267" s="3137"/>
      <c r="C267" s="3138"/>
      <c r="E267" s="3137"/>
    </row>
    <row r="268" spans="1:5" s="1967" customFormat="1">
      <c r="A268" s="3137"/>
      <c r="C268" s="3138"/>
      <c r="E268" s="3137"/>
    </row>
    <row r="269" spans="1:5" s="1967" customFormat="1">
      <c r="A269" s="3137"/>
      <c r="C269" s="3138"/>
      <c r="E269" s="3137"/>
    </row>
    <row r="270" spans="1:5" s="1967" customFormat="1">
      <c r="A270" s="3137"/>
      <c r="C270" s="3138"/>
      <c r="E270" s="3137"/>
    </row>
    <row r="271" spans="1:5" s="1967" customFormat="1">
      <c r="A271" s="3137"/>
      <c r="C271" s="3138"/>
      <c r="E271" s="3137"/>
    </row>
    <row r="272" spans="1:5" s="1967" customFormat="1">
      <c r="A272" s="3137"/>
      <c r="C272" s="3138"/>
      <c r="E272" s="3137"/>
    </row>
    <row r="273" spans="1:5" s="1967" customFormat="1">
      <c r="A273" s="3137"/>
      <c r="C273" s="3138"/>
      <c r="E273" s="3137"/>
    </row>
    <row r="274" spans="1:5" s="1967" customFormat="1">
      <c r="A274" s="3137"/>
      <c r="C274" s="3138"/>
      <c r="E274" s="3137"/>
    </row>
    <row r="275" spans="1:5" s="1967" customFormat="1">
      <c r="A275" s="3137"/>
      <c r="C275" s="3138"/>
      <c r="E275" s="3137"/>
    </row>
    <row r="276" spans="1:5" s="1967" customFormat="1">
      <c r="A276" s="3137"/>
      <c r="C276" s="3138"/>
      <c r="E276" s="3137"/>
    </row>
    <row r="277" spans="1:5" s="1967" customFormat="1">
      <c r="A277" s="3137"/>
      <c r="C277" s="3138"/>
      <c r="E277" s="3137"/>
    </row>
    <row r="278" spans="1:5" s="1967" customFormat="1">
      <c r="A278" s="3137"/>
      <c r="C278" s="3138"/>
      <c r="E278" s="3137"/>
    </row>
    <row r="279" spans="1:5" s="1967" customFormat="1">
      <c r="A279" s="3137"/>
      <c r="C279" s="3138"/>
      <c r="E279" s="3137"/>
    </row>
    <row r="280" spans="1:5" s="1967" customFormat="1">
      <c r="A280" s="3137"/>
      <c r="C280" s="3138"/>
      <c r="E280" s="3137"/>
    </row>
    <row r="281" spans="1:5" s="1967" customFormat="1">
      <c r="A281" s="3137"/>
      <c r="C281" s="3138"/>
      <c r="E281" s="3137"/>
    </row>
    <row r="282" spans="1:5" s="1967" customFormat="1">
      <c r="A282" s="3137"/>
      <c r="C282" s="3138"/>
      <c r="E282" s="3137"/>
    </row>
    <row r="283" spans="1:5" s="1967" customFormat="1">
      <c r="A283" s="3137"/>
      <c r="C283" s="3138"/>
      <c r="E283" s="3137"/>
    </row>
    <row r="284" spans="1:5" s="1967" customFormat="1">
      <c r="A284" s="3137"/>
      <c r="C284" s="3138"/>
      <c r="E284" s="3137"/>
    </row>
    <row r="285" spans="1:5" s="1967" customFormat="1">
      <c r="A285" s="3137"/>
      <c r="C285" s="3138"/>
      <c r="E285" s="3137"/>
    </row>
    <row r="286" spans="1:5" s="1967" customFormat="1">
      <c r="A286" s="3137"/>
      <c r="C286" s="3138"/>
      <c r="E286" s="3137"/>
    </row>
    <row r="287" spans="1:5" s="1967" customFormat="1">
      <c r="A287" s="3137"/>
      <c r="C287" s="3138"/>
      <c r="E287" s="3137"/>
    </row>
    <row r="288" spans="1:5" s="1967" customFormat="1">
      <c r="A288" s="3137"/>
      <c r="C288" s="3138"/>
      <c r="E288" s="3137"/>
    </row>
    <row r="289" spans="1:5" s="1967" customFormat="1">
      <c r="A289" s="3137"/>
      <c r="C289" s="3138"/>
      <c r="E289" s="3137"/>
    </row>
    <row r="290" spans="1:5" s="1967" customFormat="1">
      <c r="A290" s="3137"/>
      <c r="C290" s="3138"/>
      <c r="E290" s="3137"/>
    </row>
    <row r="291" spans="1:5" s="1967" customFormat="1">
      <c r="A291" s="3137"/>
      <c r="C291" s="3138"/>
      <c r="E291" s="3137"/>
    </row>
    <row r="292" spans="1:5" s="1967" customFormat="1">
      <c r="A292" s="3137"/>
      <c r="C292" s="3138"/>
      <c r="E292" s="3137"/>
    </row>
    <row r="293" spans="1:5" s="1967" customFormat="1">
      <c r="A293" s="3137"/>
      <c r="C293" s="3138"/>
      <c r="E293" s="3137"/>
    </row>
    <row r="294" spans="1:5" s="1967" customFormat="1">
      <c r="A294" s="3137"/>
      <c r="C294" s="3138"/>
      <c r="E294" s="3137"/>
    </row>
    <row r="295" spans="1:5" s="1967" customFormat="1">
      <c r="A295" s="3137"/>
      <c r="C295" s="3138"/>
      <c r="E295" s="3137"/>
    </row>
    <row r="296" spans="1:5" s="1967" customFormat="1">
      <c r="A296" s="3137"/>
      <c r="C296" s="3138"/>
      <c r="E296" s="3137"/>
    </row>
    <row r="297" spans="1:5" s="1967" customFormat="1">
      <c r="A297" s="3137"/>
      <c r="C297" s="3138"/>
      <c r="E297" s="3137"/>
    </row>
    <row r="298" spans="1:5" s="1967" customFormat="1">
      <c r="A298" s="3137"/>
      <c r="C298" s="3138"/>
      <c r="E298" s="3137"/>
    </row>
    <row r="299" spans="1:5" s="1967" customFormat="1">
      <c r="A299" s="3137"/>
      <c r="C299" s="3138"/>
      <c r="E299" s="3137"/>
    </row>
    <row r="300" spans="1:5" s="1967" customFormat="1">
      <c r="A300" s="3137"/>
      <c r="C300" s="3138"/>
      <c r="E300" s="3137"/>
    </row>
    <row r="301" spans="1:5" s="1967" customFormat="1">
      <c r="A301" s="3137"/>
      <c r="C301" s="3138"/>
      <c r="E301" s="3137"/>
    </row>
    <row r="302" spans="1:5" s="1967" customFormat="1">
      <c r="A302" s="3137"/>
      <c r="C302" s="3138"/>
      <c r="E302" s="3137"/>
    </row>
    <row r="303" spans="1:5" s="1967" customFormat="1">
      <c r="A303" s="3137"/>
      <c r="C303" s="3138"/>
      <c r="E303" s="3137"/>
    </row>
    <row r="304" spans="1:5" s="1967" customFormat="1">
      <c r="A304" s="3137"/>
      <c r="C304" s="3138"/>
      <c r="E304" s="3137"/>
    </row>
    <row r="305" spans="1:5" s="1967" customFormat="1">
      <c r="A305" s="3137"/>
      <c r="C305" s="3138"/>
      <c r="E305" s="3137"/>
    </row>
    <row r="306" spans="1:5" s="1967" customFormat="1">
      <c r="A306" s="3137"/>
      <c r="C306" s="3138"/>
      <c r="E306" s="3137"/>
    </row>
    <row r="307" spans="1:5" s="1967" customFormat="1">
      <c r="A307" s="3137"/>
      <c r="C307" s="3138"/>
      <c r="E307" s="3137"/>
    </row>
    <row r="308" spans="1:5" s="1967" customFormat="1">
      <c r="A308" s="3137"/>
      <c r="C308" s="3138"/>
      <c r="E308" s="3137"/>
    </row>
    <row r="309" spans="1:5" s="1967" customFormat="1">
      <c r="A309" s="3137"/>
      <c r="C309" s="3138"/>
      <c r="E309" s="3137"/>
    </row>
    <row r="310" spans="1:5" s="1967" customFormat="1">
      <c r="A310" s="3137"/>
      <c r="C310" s="3138"/>
      <c r="E310" s="3137"/>
    </row>
    <row r="311" spans="1:5" s="1967" customFormat="1">
      <c r="A311" s="3137"/>
      <c r="C311" s="3138"/>
      <c r="E311" s="3137"/>
    </row>
    <row r="312" spans="1:5" s="1967" customFormat="1">
      <c r="A312" s="3137"/>
      <c r="C312" s="3138"/>
      <c r="E312" s="3137"/>
    </row>
    <row r="313" spans="1:5" s="1967" customFormat="1">
      <c r="A313" s="3137"/>
      <c r="C313" s="3138"/>
      <c r="E313" s="3137"/>
    </row>
    <row r="314" spans="1:5" s="1967" customFormat="1">
      <c r="A314" s="3137"/>
      <c r="C314" s="3138"/>
      <c r="E314" s="3137"/>
    </row>
    <row r="315" spans="1:5" s="1967" customFormat="1">
      <c r="A315" s="3137"/>
      <c r="C315" s="3138"/>
      <c r="E315" s="3137"/>
    </row>
    <row r="316" spans="1:5" s="1967" customFormat="1">
      <c r="A316" s="3137"/>
      <c r="C316" s="3138"/>
      <c r="E316" s="3137"/>
    </row>
    <row r="317" spans="1:5" s="1967" customFormat="1">
      <c r="A317" s="3137"/>
      <c r="C317" s="3138"/>
      <c r="E317" s="3137"/>
    </row>
    <row r="318" spans="1:5" s="1967" customFormat="1">
      <c r="A318" s="3137"/>
      <c r="C318" s="3138"/>
      <c r="E318" s="3137"/>
    </row>
    <row r="319" spans="1:5" s="1967" customFormat="1">
      <c r="A319" s="3137"/>
      <c r="C319" s="3138"/>
      <c r="E319" s="3137"/>
    </row>
    <row r="320" spans="1:5" s="1967" customFormat="1">
      <c r="A320" s="3137"/>
      <c r="C320" s="3138"/>
      <c r="E320" s="3137"/>
    </row>
    <row r="321" spans="1:5" s="1967" customFormat="1">
      <c r="A321" s="3137"/>
      <c r="C321" s="3138"/>
      <c r="E321" s="3137"/>
    </row>
    <row r="322" spans="1:5" s="1967" customFormat="1">
      <c r="A322" s="3137"/>
      <c r="C322" s="3138"/>
      <c r="E322" s="3137"/>
    </row>
    <row r="323" spans="1:5" s="1967" customFormat="1">
      <c r="A323" s="3137"/>
      <c r="C323" s="3138"/>
      <c r="E323" s="3137"/>
    </row>
    <row r="324" spans="1:5" s="1967" customFormat="1">
      <c r="A324" s="3137"/>
      <c r="C324" s="3138"/>
      <c r="E324" s="3137"/>
    </row>
    <row r="325" spans="1:5" s="1967" customFormat="1">
      <c r="A325" s="3137"/>
      <c r="C325" s="3138"/>
      <c r="E325" s="3137"/>
    </row>
    <row r="326" spans="1:5" s="1967" customFormat="1">
      <c r="A326" s="3137"/>
      <c r="C326" s="3138"/>
      <c r="E326" s="3137"/>
    </row>
    <row r="327" spans="1:5" s="1967" customFormat="1">
      <c r="A327" s="3137"/>
      <c r="C327" s="3138"/>
      <c r="E327" s="3137"/>
    </row>
    <row r="328" spans="1:5" s="1967" customFormat="1">
      <c r="A328" s="3137"/>
      <c r="C328" s="3138"/>
      <c r="E328" s="3137"/>
    </row>
    <row r="329" spans="1:5" s="1967" customFormat="1">
      <c r="A329" s="3137"/>
      <c r="C329" s="3138"/>
      <c r="E329" s="3137"/>
    </row>
    <row r="330" spans="1:5" s="1967" customFormat="1">
      <c r="A330" s="3137"/>
      <c r="C330" s="3138"/>
      <c r="E330" s="3137"/>
    </row>
    <row r="331" spans="1:5" s="1967" customFormat="1">
      <c r="A331" s="3137"/>
      <c r="C331" s="3138"/>
      <c r="E331" s="3137"/>
    </row>
    <row r="332" spans="1:5" s="1967" customFormat="1">
      <c r="A332" s="3137"/>
      <c r="C332" s="3138"/>
      <c r="E332" s="3137"/>
    </row>
    <row r="333" spans="1:5" s="1967" customFormat="1">
      <c r="A333" s="3137"/>
      <c r="C333" s="3138"/>
      <c r="E333" s="3137"/>
    </row>
    <row r="334" spans="1:5" s="1967" customFormat="1">
      <c r="A334" s="3137"/>
      <c r="C334" s="3138"/>
      <c r="E334" s="3137"/>
    </row>
    <row r="335" spans="1:5" s="1967" customFormat="1">
      <c r="A335" s="3137"/>
      <c r="C335" s="3138"/>
      <c r="E335" s="3137"/>
    </row>
    <row r="336" spans="1:5" s="1967" customFormat="1">
      <c r="A336" s="3137"/>
      <c r="C336" s="3138"/>
      <c r="E336" s="3137"/>
    </row>
    <row r="337" spans="1:5" s="1967" customFormat="1">
      <c r="A337" s="3137"/>
      <c r="C337" s="3138"/>
      <c r="E337" s="3137"/>
    </row>
    <row r="338" spans="1:5" s="1967" customFormat="1">
      <c r="A338" s="3137"/>
      <c r="C338" s="3138"/>
      <c r="E338" s="3137"/>
    </row>
    <row r="339" spans="1:5" s="1967" customFormat="1">
      <c r="A339" s="3137"/>
      <c r="C339" s="3138"/>
      <c r="E339" s="3137"/>
    </row>
    <row r="340" spans="1:5" s="1967" customFormat="1">
      <c r="A340" s="3137"/>
      <c r="C340" s="3138"/>
      <c r="E340" s="3137"/>
    </row>
    <row r="341" spans="1:5" s="1967" customFormat="1">
      <c r="A341" s="3137"/>
      <c r="C341" s="3138"/>
      <c r="E341" s="3137"/>
    </row>
    <row r="342" spans="1:5" s="1967" customFormat="1">
      <c r="A342" s="3137"/>
      <c r="C342" s="3138"/>
      <c r="E342" s="3137"/>
    </row>
    <row r="343" spans="1:5" s="1967" customFormat="1">
      <c r="A343" s="3137"/>
      <c r="C343" s="3138"/>
      <c r="E343" s="3137"/>
    </row>
    <row r="344" spans="1:5" s="1967" customFormat="1">
      <c r="A344" s="3137"/>
      <c r="C344" s="3138"/>
      <c r="E344" s="3137"/>
    </row>
    <row r="345" spans="1:5" s="1967" customFormat="1">
      <c r="A345" s="3137"/>
      <c r="C345" s="3138"/>
      <c r="E345" s="3137"/>
    </row>
    <row r="346" spans="1:5" s="1967" customFormat="1">
      <c r="A346" s="3137"/>
      <c r="C346" s="3138"/>
      <c r="E346" s="3137"/>
    </row>
    <row r="347" spans="1:5" s="1967" customFormat="1">
      <c r="A347" s="3137"/>
      <c r="C347" s="3138"/>
      <c r="E347" s="3137"/>
    </row>
    <row r="348" spans="1:5" s="1967" customFormat="1">
      <c r="A348" s="3137"/>
      <c r="C348" s="3138"/>
      <c r="E348" s="3137"/>
    </row>
    <row r="349" spans="1:5" s="1967" customFormat="1">
      <c r="A349" s="3137"/>
      <c r="C349" s="3138"/>
      <c r="E349" s="3137"/>
    </row>
    <row r="350" spans="1:5" s="1967" customFormat="1">
      <c r="A350" s="3137"/>
      <c r="C350" s="3138"/>
      <c r="E350" s="3137"/>
    </row>
    <row r="351" spans="1:5" s="1967" customFormat="1">
      <c r="A351" s="3137"/>
      <c r="C351" s="3138"/>
      <c r="E351" s="3137"/>
    </row>
    <row r="352" spans="1:5" s="1967" customFormat="1">
      <c r="A352" s="3137"/>
      <c r="C352" s="3138"/>
      <c r="E352" s="3137"/>
    </row>
    <row r="353" spans="1:5" s="1967" customFormat="1">
      <c r="A353" s="3137"/>
      <c r="C353" s="3138"/>
      <c r="E353" s="3137"/>
    </row>
    <row r="354" spans="1:5" s="1967" customFormat="1">
      <c r="A354" s="3137"/>
      <c r="C354" s="3138"/>
      <c r="E354" s="3137"/>
    </row>
    <row r="355" spans="1:5" s="1967" customFormat="1">
      <c r="A355" s="3137"/>
      <c r="C355" s="3138"/>
      <c r="E355" s="3137"/>
    </row>
    <row r="356" spans="1:5" s="1967" customFormat="1">
      <c r="A356" s="3137"/>
      <c r="C356" s="3138"/>
      <c r="E356" s="3137"/>
    </row>
    <row r="357" spans="1:5" s="1967" customFormat="1">
      <c r="A357" s="3137"/>
      <c r="C357" s="3138"/>
      <c r="E357" s="3137"/>
    </row>
    <row r="358" spans="1:5" s="1967" customFormat="1">
      <c r="A358" s="3137"/>
      <c r="C358" s="3138"/>
      <c r="E358" s="3137"/>
    </row>
    <row r="359" spans="1:5" s="1967" customFormat="1">
      <c r="A359" s="3137"/>
      <c r="C359" s="3138"/>
      <c r="E359" s="3137"/>
    </row>
    <row r="360" spans="1:5" s="1967" customFormat="1">
      <c r="A360" s="3137"/>
      <c r="C360" s="3138"/>
      <c r="E360" s="3137"/>
    </row>
    <row r="361" spans="1:5" s="1967" customFormat="1">
      <c r="A361" s="3137"/>
      <c r="C361" s="3138"/>
      <c r="E361" s="3137"/>
    </row>
    <row r="362" spans="1:5" s="1967" customFormat="1">
      <c r="A362" s="3137"/>
      <c r="C362" s="3138"/>
      <c r="E362" s="3137"/>
    </row>
    <row r="363" spans="1:5" s="1967" customFormat="1">
      <c r="A363" s="3137"/>
      <c r="C363" s="3138"/>
      <c r="E363" s="3137"/>
    </row>
    <row r="364" spans="1:5" s="1967" customFormat="1">
      <c r="A364" s="3137"/>
      <c r="C364" s="3138"/>
      <c r="E364" s="3137"/>
    </row>
    <row r="365" spans="1:5" s="1967" customFormat="1">
      <c r="A365" s="3137"/>
      <c r="C365" s="3138"/>
      <c r="E365" s="3137"/>
    </row>
    <row r="366" spans="1:5" s="1967" customFormat="1">
      <c r="A366" s="3137"/>
      <c r="C366" s="3138"/>
      <c r="E366" s="3137"/>
    </row>
    <row r="367" spans="1:5" s="1967" customFormat="1">
      <c r="A367" s="3137"/>
      <c r="C367" s="3138"/>
      <c r="E367" s="3137"/>
    </row>
    <row r="368" spans="1:5" s="1967" customFormat="1">
      <c r="A368" s="3137"/>
      <c r="C368" s="3138"/>
      <c r="E368" s="3137"/>
    </row>
    <row r="369" spans="1:5" s="1967" customFormat="1">
      <c r="A369" s="3137"/>
      <c r="C369" s="3138"/>
      <c r="E369" s="3137"/>
    </row>
    <row r="370" spans="1:5" s="1967" customFormat="1">
      <c r="A370" s="3137"/>
      <c r="C370" s="3138"/>
      <c r="E370" s="3137"/>
    </row>
    <row r="371" spans="1:5" s="1967" customFormat="1">
      <c r="A371" s="3137"/>
      <c r="C371" s="3138"/>
      <c r="E371" s="3137"/>
    </row>
    <row r="372" spans="1:5" s="1967" customFormat="1">
      <c r="A372" s="3137"/>
      <c r="C372" s="3138"/>
      <c r="E372" s="3137"/>
    </row>
    <row r="373" spans="1:5" s="1967" customFormat="1">
      <c r="A373" s="3137"/>
      <c r="C373" s="3138"/>
      <c r="E373" s="3137"/>
    </row>
    <row r="374" spans="1:5" s="1967" customFormat="1">
      <c r="A374" s="3137"/>
      <c r="C374" s="3138"/>
      <c r="E374" s="3137"/>
    </row>
    <row r="375" spans="1:5" s="1967" customFormat="1">
      <c r="A375" s="3137"/>
      <c r="C375" s="3138"/>
      <c r="E375" s="3137"/>
    </row>
    <row r="376" spans="1:5" s="1967" customFormat="1">
      <c r="A376" s="3137"/>
      <c r="C376" s="3138"/>
      <c r="E376" s="3137"/>
    </row>
    <row r="377" spans="1:5" s="1967" customFormat="1">
      <c r="A377" s="3137"/>
      <c r="C377" s="3138"/>
      <c r="E377" s="3137"/>
    </row>
    <row r="378" spans="1:5" s="1967" customFormat="1">
      <c r="A378" s="3137"/>
      <c r="C378" s="3138"/>
      <c r="E378" s="3137"/>
    </row>
    <row r="379" spans="1:5" s="1967" customFormat="1">
      <c r="A379" s="3137"/>
      <c r="C379" s="3138"/>
      <c r="E379" s="3137"/>
    </row>
    <row r="380" spans="1:5" s="1967" customFormat="1">
      <c r="A380" s="3137"/>
      <c r="C380" s="3138"/>
      <c r="E380" s="3137"/>
    </row>
    <row r="381" spans="1:5" s="1967" customFormat="1">
      <c r="A381" s="3137"/>
      <c r="C381" s="3138"/>
      <c r="E381" s="3137"/>
    </row>
    <row r="382" spans="1:5" s="1967" customFormat="1">
      <c r="A382" s="3137"/>
      <c r="C382" s="3138"/>
      <c r="E382" s="3137"/>
    </row>
    <row r="383" spans="1:5" s="1967" customFormat="1">
      <c r="A383" s="3137"/>
      <c r="C383" s="3138"/>
      <c r="E383" s="3137"/>
    </row>
    <row r="384" spans="1:5" s="1967" customFormat="1">
      <c r="A384" s="3137"/>
      <c r="C384" s="3138"/>
      <c r="E384" s="3137"/>
    </row>
    <row r="385" spans="1:5" s="1967" customFormat="1">
      <c r="A385" s="3137"/>
      <c r="C385" s="3138"/>
      <c r="E385" s="3137"/>
    </row>
    <row r="386" spans="1:5" s="1967" customFormat="1">
      <c r="A386" s="3137"/>
      <c r="C386" s="3138"/>
      <c r="E386" s="3137"/>
    </row>
    <row r="387" spans="1:5" s="1967" customFormat="1">
      <c r="A387" s="3137"/>
      <c r="C387" s="3138"/>
      <c r="E387" s="3137"/>
    </row>
    <row r="388" spans="1:5" s="1967" customFormat="1">
      <c r="A388" s="3137"/>
      <c r="C388" s="3138"/>
      <c r="E388" s="3137"/>
    </row>
    <row r="389" spans="1:5" s="1967" customFormat="1">
      <c r="A389" s="3137"/>
      <c r="C389" s="3138"/>
      <c r="E389" s="3137"/>
    </row>
    <row r="390" spans="1:5" s="1967" customFormat="1">
      <c r="A390" s="3137"/>
      <c r="C390" s="3138"/>
      <c r="E390" s="3137"/>
    </row>
    <row r="391" spans="1:5" s="1967" customFormat="1">
      <c r="A391" s="3137"/>
      <c r="C391" s="3138"/>
      <c r="E391" s="3137"/>
    </row>
    <row r="392" spans="1:5" s="1967" customFormat="1">
      <c r="A392" s="3137"/>
      <c r="C392" s="3138"/>
      <c r="E392" s="3137"/>
    </row>
    <row r="393" spans="1:5" s="1967" customFormat="1">
      <c r="A393" s="3137"/>
      <c r="C393" s="3138"/>
      <c r="E393" s="3137"/>
    </row>
    <row r="394" spans="1:5" s="1967" customFormat="1">
      <c r="A394" s="3137"/>
      <c r="C394" s="3138"/>
      <c r="E394" s="3137"/>
    </row>
    <row r="395" spans="1:5" s="1967" customFormat="1">
      <c r="A395" s="3137"/>
      <c r="C395" s="3138"/>
      <c r="E395" s="3137"/>
    </row>
    <row r="396" spans="1:5" s="1967" customFormat="1">
      <c r="A396" s="3137"/>
      <c r="C396" s="3138"/>
      <c r="E396" s="3137"/>
    </row>
    <row r="397" spans="1:5" s="1967" customFormat="1">
      <c r="A397" s="3137"/>
      <c r="C397" s="3138"/>
      <c r="E397" s="3137"/>
    </row>
    <row r="398" spans="1:5" s="1967" customFormat="1">
      <c r="A398" s="3137"/>
      <c r="C398" s="3138"/>
      <c r="E398" s="3137"/>
    </row>
    <row r="399" spans="1:5" s="1967" customFormat="1">
      <c r="A399" s="3137"/>
      <c r="C399" s="3138"/>
      <c r="E399" s="3137"/>
    </row>
    <row r="400" spans="1:5" s="1967" customFormat="1">
      <c r="A400" s="3137"/>
      <c r="C400" s="3138"/>
      <c r="E400" s="3137"/>
    </row>
    <row r="401" spans="1:5" s="1967" customFormat="1">
      <c r="A401" s="3137"/>
      <c r="C401" s="3138"/>
      <c r="E401" s="3137"/>
    </row>
    <row r="402" spans="1:5" s="1967" customFormat="1">
      <c r="A402" s="3137"/>
      <c r="C402" s="3138"/>
      <c r="E402" s="3137"/>
    </row>
    <row r="403" spans="1:5" s="1967" customFormat="1">
      <c r="A403" s="3137"/>
      <c r="C403" s="3138"/>
      <c r="E403" s="3137"/>
    </row>
    <row r="404" spans="1:5" s="1967" customFormat="1">
      <c r="A404" s="3137"/>
      <c r="C404" s="3138"/>
      <c r="E404" s="3137"/>
    </row>
    <row r="405" spans="1:5" s="1967" customFormat="1">
      <c r="A405" s="3137"/>
      <c r="C405" s="3138"/>
      <c r="E405" s="3137"/>
    </row>
    <row r="406" spans="1:5" s="1967" customFormat="1">
      <c r="A406" s="3137"/>
      <c r="C406" s="3138"/>
      <c r="E406" s="3137"/>
    </row>
    <row r="407" spans="1:5" s="1967" customFormat="1">
      <c r="A407" s="3137"/>
      <c r="C407" s="3138"/>
      <c r="E407" s="3137"/>
    </row>
    <row r="408" spans="1:5" s="1967" customFormat="1">
      <c r="A408" s="3137"/>
      <c r="C408" s="3138"/>
      <c r="E408" s="3137"/>
    </row>
    <row r="409" spans="1:5" s="1967" customFormat="1">
      <c r="A409" s="3137"/>
      <c r="C409" s="3138"/>
      <c r="E409" s="3137"/>
    </row>
    <row r="410" spans="1:5" s="1967" customFormat="1">
      <c r="A410" s="3137"/>
      <c r="C410" s="3138"/>
      <c r="E410" s="3137"/>
    </row>
    <row r="411" spans="1:5" s="1967" customFormat="1">
      <c r="A411" s="3137"/>
      <c r="C411" s="3138"/>
      <c r="E411" s="3137"/>
    </row>
    <row r="412" spans="1:5" s="1967" customFormat="1">
      <c r="A412" s="3137"/>
      <c r="C412" s="3138"/>
      <c r="E412" s="3137"/>
    </row>
    <row r="413" spans="1:5" s="1967" customFormat="1">
      <c r="A413" s="3137"/>
      <c r="C413" s="3138"/>
      <c r="E413" s="3137"/>
    </row>
    <row r="414" spans="1:5" s="1967" customFormat="1">
      <c r="A414" s="3137"/>
      <c r="C414" s="3138"/>
      <c r="E414" s="3137"/>
    </row>
    <row r="415" spans="1:5" s="1967" customFormat="1">
      <c r="A415" s="3137"/>
      <c r="C415" s="3138"/>
      <c r="E415" s="3137"/>
    </row>
    <row r="416" spans="1:5" s="1967" customFormat="1">
      <c r="A416" s="3137"/>
      <c r="C416" s="3138"/>
      <c r="E416" s="3137"/>
    </row>
    <row r="417" spans="1:5" s="1967" customFormat="1">
      <c r="A417" s="3137"/>
      <c r="C417" s="3138"/>
      <c r="E417" s="3137"/>
    </row>
    <row r="418" spans="1:5" s="1967" customFormat="1">
      <c r="A418" s="3137"/>
      <c r="C418" s="3138"/>
      <c r="E418" s="3137"/>
    </row>
    <row r="419" spans="1:5" s="1967" customFormat="1">
      <c r="A419" s="3137"/>
      <c r="C419" s="3138"/>
      <c r="E419" s="3137"/>
    </row>
    <row r="420" spans="1:5" s="1967" customFormat="1">
      <c r="A420" s="3137"/>
      <c r="C420" s="3138"/>
      <c r="E420" s="3137"/>
    </row>
    <row r="421" spans="1:5" s="1967" customFormat="1">
      <c r="A421" s="3137"/>
      <c r="C421" s="3138"/>
      <c r="E421" s="3137"/>
    </row>
    <row r="422" spans="1:5" s="1967" customFormat="1">
      <c r="A422" s="3137"/>
      <c r="C422" s="3138"/>
      <c r="E422" s="3137"/>
    </row>
    <row r="423" spans="1:5" s="1967" customFormat="1">
      <c r="A423" s="3137"/>
      <c r="C423" s="3138"/>
      <c r="E423" s="3137"/>
    </row>
    <row r="424" spans="1:5" s="1967" customFormat="1">
      <c r="A424" s="3137"/>
      <c r="C424" s="3138"/>
      <c r="E424" s="3137"/>
    </row>
    <row r="425" spans="1:5" s="1967" customFormat="1">
      <c r="A425" s="3137"/>
      <c r="C425" s="3138"/>
      <c r="E425" s="3137"/>
    </row>
    <row r="426" spans="1:5" s="1967" customFormat="1">
      <c r="A426" s="3137"/>
      <c r="C426" s="3138"/>
      <c r="E426" s="3137"/>
    </row>
    <row r="427" spans="1:5" s="1967" customFormat="1">
      <c r="A427" s="3137"/>
      <c r="C427" s="3138"/>
      <c r="E427" s="3137"/>
    </row>
    <row r="428" spans="1:5" s="1967" customFormat="1">
      <c r="A428" s="3137"/>
      <c r="C428" s="3138"/>
      <c r="E428" s="3137"/>
    </row>
    <row r="429" spans="1:5" s="1967" customFormat="1">
      <c r="A429" s="3137"/>
      <c r="C429" s="3138"/>
      <c r="E429" s="3137"/>
    </row>
    <row r="430" spans="1:5" s="1967" customFormat="1">
      <c r="A430" s="3137"/>
      <c r="C430" s="3138"/>
      <c r="E430" s="3137"/>
    </row>
    <row r="431" spans="1:5" s="1967" customFormat="1">
      <c r="A431" s="3137"/>
      <c r="C431" s="3138"/>
      <c r="E431" s="3137"/>
    </row>
    <row r="432" spans="1:5" s="1967" customFormat="1">
      <c r="A432" s="3137"/>
      <c r="C432" s="3138"/>
      <c r="E432" s="3137"/>
    </row>
    <row r="433" spans="1:5" s="1967" customFormat="1">
      <c r="A433" s="3137"/>
      <c r="C433" s="3138"/>
      <c r="E433" s="3137"/>
    </row>
    <row r="434" spans="1:5" s="1967" customFormat="1">
      <c r="A434" s="3137"/>
      <c r="C434" s="3138"/>
      <c r="E434" s="3137"/>
    </row>
    <row r="435" spans="1:5" s="1967" customFormat="1">
      <c r="A435" s="3137"/>
      <c r="C435" s="3138"/>
      <c r="E435" s="3137"/>
    </row>
    <row r="436" spans="1:5" s="1967" customFormat="1">
      <c r="A436" s="3137"/>
      <c r="C436" s="3138"/>
      <c r="E436" s="3137"/>
    </row>
    <row r="437" spans="1:5" s="1967" customFormat="1">
      <c r="A437" s="3137"/>
      <c r="C437" s="3138"/>
      <c r="E437" s="3137"/>
    </row>
    <row r="438" spans="1:5" s="1967" customFormat="1">
      <c r="A438" s="3137"/>
      <c r="C438" s="3138"/>
      <c r="E438" s="3137"/>
    </row>
    <row r="439" spans="1:5" s="1967" customFormat="1">
      <c r="A439" s="3137"/>
      <c r="C439" s="3138"/>
      <c r="E439" s="3137"/>
    </row>
    <row r="440" spans="1:5" s="1967" customFormat="1">
      <c r="A440" s="3137"/>
      <c r="C440" s="3138"/>
      <c r="E440" s="3137"/>
    </row>
    <row r="441" spans="1:5" s="1967" customFormat="1">
      <c r="A441" s="3137"/>
      <c r="C441" s="3138"/>
      <c r="E441" s="3137"/>
    </row>
    <row r="442" spans="1:5" s="1967" customFormat="1">
      <c r="A442" s="3137"/>
      <c r="C442" s="3138"/>
      <c r="E442" s="3137"/>
    </row>
    <row r="443" spans="1:5" s="1967" customFormat="1">
      <c r="A443" s="3137"/>
      <c r="C443" s="3138"/>
      <c r="E443" s="3137"/>
    </row>
    <row r="444" spans="1:5" s="1967" customFormat="1">
      <c r="A444" s="3137"/>
      <c r="C444" s="3138"/>
      <c r="E444" s="3137"/>
    </row>
    <row r="445" spans="1:5" s="1967" customFormat="1">
      <c r="A445" s="3137"/>
      <c r="C445" s="3138"/>
      <c r="E445" s="3137"/>
    </row>
    <row r="446" spans="1:5" s="1967" customFormat="1">
      <c r="A446" s="3137"/>
      <c r="C446" s="3138"/>
      <c r="E446" s="3137"/>
    </row>
    <row r="447" spans="1:5" s="1967" customFormat="1">
      <c r="A447" s="3137"/>
      <c r="C447" s="3138"/>
      <c r="E447" s="3137"/>
    </row>
    <row r="448" spans="1:5" s="1967" customFormat="1">
      <c r="A448" s="3137"/>
      <c r="C448" s="3138"/>
      <c r="E448" s="3137"/>
    </row>
    <row r="449" spans="1:5" s="1967" customFormat="1">
      <c r="A449" s="3137"/>
      <c r="C449" s="3138"/>
      <c r="E449" s="3137"/>
    </row>
    <row r="450" spans="1:5" s="1967" customFormat="1">
      <c r="A450" s="3137"/>
      <c r="C450" s="3138"/>
      <c r="E450" s="3137"/>
    </row>
    <row r="451" spans="1:5" s="1967" customFormat="1">
      <c r="A451" s="3137"/>
      <c r="C451" s="3138"/>
      <c r="E451" s="3137"/>
    </row>
    <row r="452" spans="1:5" s="1967" customFormat="1">
      <c r="A452" s="3137"/>
      <c r="C452" s="3138"/>
      <c r="E452" s="3137"/>
    </row>
    <row r="453" spans="1:5" s="1967" customFormat="1">
      <c r="A453" s="3137"/>
      <c r="C453" s="3138"/>
      <c r="E453" s="3137"/>
    </row>
    <row r="454" spans="1:5" s="1967" customFormat="1">
      <c r="A454" s="3137"/>
      <c r="C454" s="3138"/>
      <c r="E454" s="3137"/>
    </row>
    <row r="455" spans="1:5" s="1967" customFormat="1">
      <c r="A455" s="3137"/>
      <c r="C455" s="3138"/>
      <c r="E455" s="3137"/>
    </row>
    <row r="456" spans="1:5" s="1967" customFormat="1">
      <c r="A456" s="3137"/>
      <c r="C456" s="3138"/>
      <c r="E456" s="3137"/>
    </row>
    <row r="457" spans="1:5" s="1967" customFormat="1">
      <c r="A457" s="3137"/>
      <c r="C457" s="3138"/>
      <c r="E457" s="3137"/>
    </row>
    <row r="458" spans="1:5" s="1967" customFormat="1">
      <c r="A458" s="3137"/>
      <c r="C458" s="3138"/>
      <c r="E458" s="3137"/>
    </row>
    <row r="459" spans="1:5" s="1967" customFormat="1">
      <c r="A459" s="3137"/>
      <c r="C459" s="3138"/>
      <c r="E459" s="3137"/>
    </row>
    <row r="460" spans="1:5" s="1967" customFormat="1">
      <c r="A460" s="3137"/>
      <c r="C460" s="3138"/>
      <c r="E460" s="3137"/>
    </row>
    <row r="461" spans="1:5" s="1967" customFormat="1">
      <c r="A461" s="3137"/>
      <c r="C461" s="3138"/>
      <c r="E461" s="3137"/>
    </row>
    <row r="462" spans="1:5" s="1967" customFormat="1">
      <c r="A462" s="3137"/>
      <c r="C462" s="3138"/>
      <c r="E462" s="3137"/>
    </row>
    <row r="463" spans="1:5" s="1967" customFormat="1">
      <c r="A463" s="3137"/>
      <c r="C463" s="3138"/>
      <c r="E463" s="3137"/>
    </row>
    <row r="464" spans="1:5" s="1967" customFormat="1">
      <c r="A464" s="3137"/>
      <c r="C464" s="3138"/>
      <c r="E464" s="3137"/>
    </row>
    <row r="465" spans="1:5" s="1967" customFormat="1">
      <c r="A465" s="3137"/>
      <c r="C465" s="3138"/>
      <c r="E465" s="3137"/>
    </row>
    <row r="466" spans="1:5" s="1967" customFormat="1">
      <c r="A466" s="3137"/>
      <c r="C466" s="3138"/>
      <c r="E466" s="3137"/>
    </row>
    <row r="467" spans="1:5" s="1967" customFormat="1">
      <c r="A467" s="3137"/>
      <c r="C467" s="3138"/>
      <c r="E467" s="3137"/>
    </row>
    <row r="468" spans="1:5" s="1967" customFormat="1">
      <c r="A468" s="3137"/>
      <c r="C468" s="3138"/>
      <c r="E468" s="3137"/>
    </row>
    <row r="469" spans="1:5" s="1967" customFormat="1">
      <c r="A469" s="3137"/>
      <c r="C469" s="3138"/>
      <c r="E469" s="3137"/>
    </row>
    <row r="470" spans="1:5" s="1967" customFormat="1">
      <c r="A470" s="3137"/>
      <c r="C470" s="3138"/>
      <c r="E470" s="3137"/>
    </row>
    <row r="471" spans="1:5" s="1967" customFormat="1">
      <c r="A471" s="3137"/>
      <c r="C471" s="3138"/>
      <c r="E471" s="3137"/>
    </row>
    <row r="472" spans="1:5" s="1967" customFormat="1">
      <c r="A472" s="3137"/>
      <c r="C472" s="3138"/>
      <c r="E472" s="3137"/>
    </row>
    <row r="473" spans="1:5" s="1967" customFormat="1">
      <c r="A473" s="3137"/>
      <c r="C473" s="3138"/>
      <c r="E473" s="3137"/>
    </row>
    <row r="474" spans="1:5" s="1967" customFormat="1">
      <c r="A474" s="3137"/>
      <c r="C474" s="3138"/>
      <c r="E474" s="3137"/>
    </row>
    <row r="475" spans="1:5" s="1967" customFormat="1">
      <c r="A475" s="3137"/>
      <c r="C475" s="3138"/>
      <c r="E475" s="3137"/>
    </row>
    <row r="476" spans="1:5" s="1967" customFormat="1">
      <c r="A476" s="3137"/>
      <c r="C476" s="3138"/>
      <c r="E476" s="3137"/>
    </row>
    <row r="477" spans="1:5" s="1967" customFormat="1">
      <c r="A477" s="3137"/>
      <c r="C477" s="3138"/>
      <c r="E477" s="3137"/>
    </row>
    <row r="478" spans="1:5" s="1967" customFormat="1">
      <c r="A478" s="3137"/>
      <c r="C478" s="3138"/>
      <c r="E478" s="3137"/>
    </row>
    <row r="479" spans="1:5" s="1967" customFormat="1">
      <c r="A479" s="3137"/>
      <c r="C479" s="3138"/>
      <c r="E479" s="3137"/>
    </row>
    <row r="480" spans="1:5" s="1967" customFormat="1">
      <c r="A480" s="3137"/>
      <c r="C480" s="3138"/>
      <c r="E480" s="3137"/>
    </row>
    <row r="481" spans="1:5" s="1967" customFormat="1">
      <c r="A481" s="3137"/>
      <c r="C481" s="3138"/>
      <c r="E481" s="3137"/>
    </row>
    <row r="482" spans="1:5" s="1967" customFormat="1">
      <c r="A482" s="3137"/>
      <c r="C482" s="3138"/>
      <c r="E482" s="3137"/>
    </row>
    <row r="483" spans="1:5" s="1967" customFormat="1">
      <c r="A483" s="3137"/>
      <c r="C483" s="3138"/>
      <c r="E483" s="3137"/>
    </row>
    <row r="484" spans="1:5" s="1967" customFormat="1">
      <c r="A484" s="3137"/>
      <c r="C484" s="3138"/>
      <c r="E484" s="3137"/>
    </row>
    <row r="485" spans="1:5" s="1967" customFormat="1">
      <c r="A485" s="3137"/>
      <c r="C485" s="3138"/>
      <c r="E485" s="3137"/>
    </row>
    <row r="486" spans="1:5" s="1967" customFormat="1">
      <c r="A486" s="3137"/>
      <c r="C486" s="3138"/>
      <c r="E486" s="3137"/>
    </row>
    <row r="487" spans="1:5" s="1967" customFormat="1">
      <c r="A487" s="3137"/>
      <c r="C487" s="3138"/>
      <c r="E487" s="3137"/>
    </row>
    <row r="488" spans="1:5" s="1967" customFormat="1">
      <c r="A488" s="3137"/>
      <c r="C488" s="3138"/>
      <c r="E488" s="3137"/>
    </row>
    <row r="489" spans="1:5" s="1967" customFormat="1">
      <c r="A489" s="3137"/>
      <c r="C489" s="3138"/>
      <c r="E489" s="3137"/>
    </row>
    <row r="490" spans="1:5" s="196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43" t="str">
        <f>项目基本情况!B1</f>
        <v>北京市北京经济技术开发区亦庄新城0510街区YZ00-0510-0017地块R2二类居住用地出让国有建设用地使用权抵押价格预评估</v>
      </c>
      <c r="C37" s="3443"/>
      <c r="D37" s="3443"/>
      <c r="E37" s="3443"/>
      <c r="F37" s="3443"/>
      <c r="G37" s="3443"/>
      <c r="H37" s="3443"/>
      <c r="I37" s="3443"/>
    </row>
    <row r="38" spans="1:9">
      <c r="A38" s="1556"/>
      <c r="B38" s="1556"/>
    </row>
    <row r="39" spans="1:9">
      <c r="A39" s="1554" t="s">
        <v>1877</v>
      </c>
      <c r="B39" s="1554" t="s">
        <v>2020</v>
      </c>
    </row>
    <row r="40" spans="1:9">
      <c r="A40" s="1554"/>
      <c r="B40" s="1554" t="str">
        <f>项目基本情况!B5</f>
        <v>北京兴意房地产开发有限公司</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崔锴、郑燚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6" customWidth="1"/>
    <col min="2" max="2" width="25.75" style="1966" customWidth="1"/>
    <col min="3" max="3" width="11.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3" t="s">
        <v>1664</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2551</v>
      </c>
      <c r="B6" s="427"/>
      <c r="C6" s="1524">
        <f>SUM(C10:K10)</f>
        <v>0</v>
      </c>
      <c r="D6" s="1961"/>
      <c r="E6" s="1961"/>
      <c r="F6" s="1961"/>
      <c r="G6" s="1961"/>
      <c r="H6" s="1961"/>
      <c r="I6" s="1961"/>
      <c r="J6" s="1961"/>
      <c r="K6" s="1962"/>
      <c r="L6" s="3129"/>
      <c r="M6" s="3129"/>
      <c r="N6" s="3129"/>
      <c r="O6" s="3129"/>
      <c r="P6" s="3129"/>
      <c r="Q6" s="3129"/>
      <c r="R6" s="3129"/>
      <c r="S6" s="3129"/>
      <c r="T6" s="3129"/>
      <c r="U6" s="3129"/>
      <c r="V6" s="3129"/>
      <c r="W6" s="3129"/>
      <c r="X6" s="3129"/>
      <c r="Y6" s="3129"/>
      <c r="Z6" s="3129"/>
    </row>
    <row r="7" spans="1:41" s="1965" customFormat="1" ht="15">
      <c r="A7" s="428" t="s">
        <v>464</v>
      </c>
      <c r="B7" s="429" t="s">
        <v>465</v>
      </c>
      <c r="C7" s="3247"/>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1825</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1827</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7" customFormat="1" ht="13.5" customHeight="1">
      <c r="A12" s="428" t="s">
        <v>464</v>
      </c>
      <c r="B12" s="437" t="s">
        <v>465</v>
      </c>
      <c r="C12" s="438" t="s">
        <v>469</v>
      </c>
      <c r="D12" s="439" t="s">
        <v>470</v>
      </c>
      <c r="E12" s="439" t="s">
        <v>471</v>
      </c>
      <c r="F12" s="439" t="s">
        <v>472</v>
      </c>
      <c r="G12" s="437"/>
      <c r="H12" s="440"/>
      <c r="I12" s="440"/>
      <c r="J12" s="440"/>
      <c r="K12" s="441"/>
      <c r="L12" s="3130"/>
      <c r="M12" s="3130"/>
      <c r="N12" s="3130"/>
      <c r="O12" s="3130"/>
      <c r="P12" s="3130"/>
      <c r="Q12" s="3130"/>
      <c r="R12" s="3130"/>
      <c r="S12" s="3130"/>
      <c r="T12" s="3130"/>
      <c r="U12" s="3130"/>
      <c r="V12" s="3130"/>
      <c r="W12" s="3130"/>
      <c r="X12" s="3130"/>
      <c r="Y12" s="3130"/>
      <c r="Z12" s="3130"/>
    </row>
    <row r="13" spans="1:41" s="1968" customFormat="1" ht="13.5" customHeight="1">
      <c r="A13" s="1534" t="s">
        <v>1828</v>
      </c>
      <c r="B13" s="442" t="s">
        <v>473</v>
      </c>
      <c r="C13" s="443">
        <f ca="1">IF(B1="",'数据-取费表'!M16,INDIRECT("'数据-取费表'!M"&amp;$K$1)+INDIRECT("'数据-取费表'!t"&amp;$K$1))</f>
        <v>25976</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1829</v>
      </c>
      <c r="B14" s="442" t="s">
        <v>474</v>
      </c>
      <c r="C14" s="53">
        <f ca="1">ROUND(C13*F14,0)</f>
        <v>779</v>
      </c>
      <c r="D14" s="444"/>
      <c r="E14" s="363"/>
      <c r="F14" s="446">
        <f>'数据-取费表'!B33</f>
        <v>0.03</v>
      </c>
      <c r="G14" s="437" t="s">
        <v>496</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1830</v>
      </c>
      <c r="B15" s="442" t="s">
        <v>476</v>
      </c>
      <c r="C15" s="53">
        <f ca="1">ROUND(IF(B1="",SUMIF('数据-取费表'!C:C,"住宅",'数据-取费表'!M:M)*F15,IF(INDIRECT("'数据-取费表'!c"&amp;$K$1)="住宅",INDIRECT("'数据-取费表'!M"&amp;$K$1)*F15,0)),0)</f>
        <v>990</v>
      </c>
      <c r="D15" s="444"/>
      <c r="E15" s="363"/>
      <c r="F15" s="446">
        <f>'数据-取费表'!B34</f>
        <v>0.05</v>
      </c>
      <c r="G15" s="437" t="s">
        <v>496</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1831</v>
      </c>
      <c r="B16" s="442" t="s">
        <v>478</v>
      </c>
      <c r="C16" s="53">
        <f ca="1">ROUND(D16*E16/10000,0)</f>
        <v>1258</v>
      </c>
      <c r="D16" s="444">
        <f ca="1">IF(B1="",'数据-汇总表'!E3,INDIRECT("'数据-取费表'!K"&amp;$K$1)+INDIRECT("'数据-取费表'!S"&amp;$K$1))</f>
        <v>62884.97</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1832</v>
      </c>
      <c r="B17" s="442" t="s">
        <v>479</v>
      </c>
      <c r="C17" s="447">
        <f ca="1">ROUND(C13*F17,0)</f>
        <v>390</v>
      </c>
      <c r="D17" s="448"/>
      <c r="E17" s="447"/>
      <c r="F17" s="449">
        <f>'数据-取费表'!B36</f>
        <v>1.4999999999999999E-2</v>
      </c>
      <c r="G17" s="437" t="s">
        <v>496</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1833</v>
      </c>
      <c r="B18" s="452" t="s">
        <v>481</v>
      </c>
      <c r="C18" s="453">
        <f ca="1">SUM(C13:C17)</f>
        <v>29393</v>
      </c>
      <c r="D18" s="454"/>
      <c r="E18" s="455"/>
      <c r="F18" s="455"/>
      <c r="G18" s="1260" t="s">
        <v>2400</v>
      </c>
      <c r="H18" s="440"/>
      <c r="I18" s="440"/>
      <c r="J18" s="440"/>
      <c r="K18" s="441"/>
      <c r="L18" s="3132"/>
      <c r="M18" s="3132"/>
      <c r="N18" s="3132"/>
      <c r="O18" s="3132"/>
      <c r="P18" s="3132"/>
      <c r="Q18" s="3132"/>
      <c r="R18" s="3132"/>
      <c r="S18" s="3132"/>
      <c r="T18" s="3132"/>
      <c r="U18" s="3132"/>
      <c r="V18" s="3132"/>
      <c r="W18" s="3132"/>
      <c r="X18" s="3132"/>
      <c r="Y18" s="3132"/>
      <c r="Z18" s="3132"/>
    </row>
    <row r="19" spans="1:26" s="1971" customFormat="1" ht="13.5" customHeight="1">
      <c r="A19" s="1535" t="s">
        <v>1834</v>
      </c>
      <c r="B19" s="452" t="s">
        <v>487</v>
      </c>
      <c r="C19" s="453">
        <f ca="1">ROUND(C18*F19,0)</f>
        <v>588</v>
      </c>
      <c r="D19" s="454"/>
      <c r="E19" s="455"/>
      <c r="F19" s="459">
        <f>'数据-取费表'!B37</f>
        <v>0.02</v>
      </c>
      <c r="G19" s="437" t="s">
        <v>497</v>
      </c>
      <c r="H19" s="440"/>
      <c r="I19" s="440"/>
      <c r="J19" s="440"/>
      <c r="K19" s="441"/>
      <c r="L19" s="3134"/>
      <c r="M19" s="3134"/>
      <c r="N19" s="3134"/>
      <c r="O19" s="3132"/>
      <c r="P19" s="3132"/>
      <c r="Q19" s="3132"/>
      <c r="R19" s="3132"/>
      <c r="S19" s="3132"/>
      <c r="T19" s="3132"/>
      <c r="U19" s="3132"/>
      <c r="V19" s="3132"/>
      <c r="W19" s="3132"/>
      <c r="X19" s="3132"/>
      <c r="Y19" s="3132"/>
      <c r="Z19" s="3132"/>
    </row>
    <row r="20" spans="1:26" s="1973" customFormat="1" ht="13.5" customHeight="1">
      <c r="A20" s="1535" t="s">
        <v>1835</v>
      </c>
      <c r="B20" s="454" t="s">
        <v>488</v>
      </c>
      <c r="C20" s="463">
        <f ca="1">ROUND(IF('数据-取费表'!B22&lt;=1,(C18+C19)*F20*'数据-取费表'!B20/2,(C18+C19)*(POWER((1+F20),'数据-取费表'!B20/2)-1)),0)</f>
        <v>1259</v>
      </c>
      <c r="D20" s="455">
        <f ca="1">ROUND(((1+F20)^'数据-取费表'!B20)-1,4)</f>
        <v>8.5800000000000001E-2</v>
      </c>
      <c r="E20" s="455"/>
      <c r="F20" s="464">
        <f ca="1">'数据-取费表'!B40</f>
        <v>4.2000000000000003E-2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0" t="s">
        <v>2417</v>
      </c>
      <c r="M20" s="3141"/>
      <c r="N20" s="3141"/>
      <c r="O20" s="3141"/>
      <c r="P20" s="3141"/>
      <c r="Q20" s="3134"/>
      <c r="R20" s="3134"/>
      <c r="S20" s="3134"/>
      <c r="T20" s="3134"/>
      <c r="U20" s="3134"/>
      <c r="V20" s="3134"/>
      <c r="W20" s="3134"/>
      <c r="X20" s="3134"/>
      <c r="Y20" s="3134"/>
      <c r="Z20" s="3134"/>
    </row>
    <row r="21" spans="1:26" s="1972" customFormat="1" ht="13.5" customHeight="1">
      <c r="A21" s="1535" t="s">
        <v>2919</v>
      </c>
      <c r="B21" s="2680" t="s">
        <v>2728</v>
      </c>
      <c r="C21" s="471">
        <f ca="1">ROUND((C18+C19)*F21,0)</f>
        <v>4797</v>
      </c>
      <c r="D21" s="3219"/>
      <c r="E21" s="455"/>
      <c r="F21" s="472">
        <f ca="1">IF(B1="",'数据-取费表'!Q16,INDIRECT("'数据-取费表'!q"&amp;$K$1))</f>
        <v>0.16</v>
      </c>
      <c r="G21" s="437"/>
      <c r="H21" s="440"/>
      <c r="I21" s="440"/>
      <c r="J21" s="440"/>
      <c r="K21" s="441"/>
      <c r="L21" s="3133"/>
      <c r="M21" s="3133"/>
      <c r="N21" s="3133"/>
      <c r="O21" s="3133"/>
      <c r="P21" s="3133"/>
      <c r="Q21" s="3133"/>
      <c r="R21" s="3133"/>
      <c r="S21" s="3133"/>
      <c r="T21" s="3133"/>
      <c r="U21" s="3133"/>
      <c r="V21" s="3133"/>
      <c r="W21" s="3133"/>
      <c r="X21" s="3133"/>
      <c r="Y21" s="3133"/>
      <c r="Z21" s="3133"/>
    </row>
    <row r="22" spans="1:26" s="1973" customFormat="1" ht="13.5" customHeight="1">
      <c r="A22" s="1535" t="s">
        <v>1839</v>
      </c>
      <c r="B22" s="469" t="s">
        <v>498</v>
      </c>
      <c r="C22" s="476"/>
      <c r="D22" s="476"/>
      <c r="E22" s="477"/>
      <c r="F22" s="3221">
        <f ca="1">IF(B1="",'数据-取费表'!N16,INDIRECT("'数据-取费表'!N"&amp;$K$1))</f>
        <v>0</v>
      </c>
      <c r="G22" s="437"/>
      <c r="H22" s="440"/>
      <c r="I22" s="440"/>
      <c r="J22" s="440"/>
      <c r="K22" s="441"/>
      <c r="L22" s="3134"/>
      <c r="M22" s="3134"/>
      <c r="N22" s="3134"/>
      <c r="O22" s="3134"/>
      <c r="P22" s="3134"/>
      <c r="Q22" s="3134"/>
      <c r="R22" s="3134"/>
      <c r="S22" s="3134"/>
      <c r="T22" s="3134"/>
      <c r="U22" s="3134"/>
      <c r="V22" s="3134"/>
      <c r="W22" s="3134"/>
      <c r="X22" s="3134"/>
      <c r="Y22" s="3134"/>
      <c r="Z22" s="3134"/>
    </row>
    <row r="23" spans="1:26" s="1973" customFormat="1" ht="13.5" customHeight="1" thickBot="1">
      <c r="A23" s="3222" t="s">
        <v>1840</v>
      </c>
      <c r="B23" s="3223" t="s">
        <v>2920</v>
      </c>
      <c r="C23" s="3224">
        <f ca="1">ROUND((C18+C19+C20+C21)*F22,0)</f>
        <v>0</v>
      </c>
      <c r="D23" s="3225"/>
      <c r="E23" s="3226"/>
      <c r="F23" s="478"/>
      <c r="G23" s="429"/>
      <c r="H23" s="3227"/>
      <c r="I23" s="3227"/>
      <c r="J23" s="3227"/>
      <c r="K23" s="3228"/>
      <c r="L23" s="3134"/>
      <c r="M23" s="3134"/>
      <c r="N23" s="3134"/>
      <c r="O23" s="3134"/>
      <c r="P23" s="3134"/>
      <c r="Q23" s="3134"/>
      <c r="R23" s="3134"/>
      <c r="S23" s="3134"/>
      <c r="T23" s="3134"/>
      <c r="U23" s="3134"/>
      <c r="V23" s="3134"/>
      <c r="W23" s="3134"/>
      <c r="X23" s="3134"/>
      <c r="Y23" s="3134"/>
      <c r="Z23" s="3134"/>
    </row>
    <row r="24" spans="1:26" s="1973" customFormat="1" ht="13.5" customHeight="1" thickBot="1">
      <c r="A24" s="3657" t="s">
        <v>1845</v>
      </c>
      <c r="B24" s="3658"/>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3" customFormat="1" ht="13.5" customHeight="1" thickBot="1">
      <c r="A25" s="3657" t="s">
        <v>2917</v>
      </c>
      <c r="B25" s="3658"/>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8" customFormat="1" ht="13.5" customHeight="1" thickBot="1">
      <c r="A26" s="3657" t="s">
        <v>2918</v>
      </c>
      <c r="B26" s="3658"/>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59" t="s">
        <v>2916</v>
      </c>
      <c r="B27" s="3660"/>
      <c r="C27" s="3237">
        <f ca="1">(C6-C23-C24-C25)/((1+F26)*(1+D20+F21))</f>
        <v>0</v>
      </c>
      <c r="D27" s="3238"/>
      <c r="E27" s="3238"/>
      <c r="F27" s="3238"/>
      <c r="G27" s="3239" t="s">
        <v>2848</v>
      </c>
      <c r="H27" s="3238"/>
      <c r="I27" s="3238"/>
      <c r="J27" s="3238"/>
      <c r="K27" s="3240"/>
    </row>
    <row r="28" spans="1:26" s="1967" customFormat="1">
      <c r="A28" s="3137"/>
      <c r="C28" s="3138"/>
      <c r="E28" s="3137"/>
    </row>
    <row r="29" spans="1:26" s="1967" customFormat="1" ht="12.75" customHeight="1">
      <c r="A29" s="3137"/>
      <c r="C29" s="3138"/>
      <c r="E29" s="3137"/>
    </row>
    <row r="30" spans="1:26" s="1967" customFormat="1">
      <c r="A30" s="3137"/>
      <c r="C30" s="3138"/>
      <c r="E30" s="3137"/>
    </row>
    <row r="31" spans="1:26" s="1967" customFormat="1">
      <c r="A31" s="3137"/>
      <c r="C31" s="3138"/>
      <c r="E31" s="3137"/>
    </row>
    <row r="32" spans="1:26" s="1967" customFormat="1">
      <c r="A32" s="3137"/>
      <c r="C32" s="3138"/>
      <c r="E32" s="3137"/>
    </row>
    <row r="33" spans="1:5" s="1967" customFormat="1">
      <c r="A33" s="3137"/>
      <c r="C33" s="3138"/>
      <c r="E33" s="3137"/>
    </row>
    <row r="34" spans="1:5" s="1967" customFormat="1">
      <c r="A34" s="3137"/>
      <c r="C34" s="3138"/>
      <c r="E34" s="3137"/>
    </row>
    <row r="35" spans="1:5" s="1967" customFormat="1">
      <c r="A35" s="3137"/>
      <c r="C35" s="3138"/>
      <c r="E35" s="3137"/>
    </row>
    <row r="36" spans="1:5" s="1967" customFormat="1">
      <c r="A36" s="3137"/>
      <c r="C36" s="3138"/>
      <c r="E36" s="3137"/>
    </row>
    <row r="37" spans="1:5" s="1967" customFormat="1">
      <c r="A37" s="3137"/>
      <c r="C37" s="3138"/>
      <c r="E37" s="3137"/>
    </row>
    <row r="38" spans="1:5" s="1967" customFormat="1">
      <c r="A38" s="3137"/>
      <c r="C38" s="3138"/>
      <c r="E38" s="3137"/>
    </row>
    <row r="39" spans="1:5" s="1967" customFormat="1">
      <c r="A39" s="3137"/>
      <c r="C39" s="3138"/>
      <c r="E39" s="3137"/>
    </row>
    <row r="40" spans="1:5" s="1967" customFormat="1">
      <c r="A40" s="3137"/>
      <c r="C40" s="3138"/>
      <c r="E40" s="3137"/>
    </row>
    <row r="41" spans="1:5" s="1967" customFormat="1">
      <c r="A41" s="3137"/>
      <c r="C41" s="3138"/>
      <c r="E41" s="3137"/>
    </row>
    <row r="42" spans="1:5" s="1967" customFormat="1">
      <c r="A42" s="3137"/>
      <c r="C42" s="3138"/>
      <c r="E42" s="3137"/>
    </row>
    <row r="43" spans="1:5" s="1967" customFormat="1">
      <c r="A43" s="3137"/>
      <c r="C43" s="3138"/>
      <c r="E43" s="3137"/>
    </row>
    <row r="44" spans="1:5" s="1967" customFormat="1">
      <c r="A44" s="3137"/>
      <c r="C44" s="3138"/>
      <c r="E44" s="3137"/>
    </row>
    <row r="45" spans="1:5" s="1967" customFormat="1">
      <c r="A45" s="3137"/>
      <c r="C45" s="3138"/>
      <c r="E45" s="3137"/>
    </row>
    <row r="46" spans="1:5" s="1967" customFormat="1">
      <c r="A46" s="3137"/>
      <c r="C46" s="3138"/>
      <c r="E46" s="3137"/>
    </row>
    <row r="47" spans="1:5" s="1967" customFormat="1">
      <c r="A47" s="3137"/>
      <c r="C47" s="3138"/>
      <c r="E47" s="3137"/>
    </row>
    <row r="48" spans="1:5"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485" t="e">
        <f>F63</f>
        <v>#DIV/0!</v>
      </c>
      <c r="C2" s="3154"/>
      <c r="D2" s="3154"/>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c r="A3" s="1304" t="s">
        <v>1665</v>
      </c>
      <c r="B3" s="487" t="e">
        <f>ROUND(B2*10000/'数据-汇总表'!E3,0)</f>
        <v>#DIV/0!</v>
      </c>
      <c r="C3" s="3153"/>
      <c r="D3" s="3153"/>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1914"/>
      <c r="AC3" s="1914"/>
    </row>
    <row r="4" spans="1:29" s="1262" customFormat="1" ht="28.5" customHeight="1">
      <c r="A4" s="488" t="s">
        <v>503</v>
      </c>
      <c r="B4" s="421" t="e">
        <f>IF(B43="单位面积地价",C45,ROUND(B2*10000/'数据-汇总表'!D3,0))</f>
        <v>#DIV/0!</v>
      </c>
      <c r="C4" s="3153"/>
      <c r="D4" s="3153"/>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29" s="1262" customFormat="1" ht="28.5" customHeight="1" thickBot="1">
      <c r="A5" s="423"/>
      <c r="B5" s="424" t="e">
        <f>ROUND(B2/('数据-汇总表'!D3/666.67),0)</f>
        <v>#DIV/0!</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3145"/>
      <c r="AC5" s="1914"/>
    </row>
    <row r="6" spans="1:29" ht="15">
      <c r="A6" s="489" t="s">
        <v>504</v>
      </c>
      <c r="B6" s="490"/>
      <c r="C6" s="3638" t="s">
        <v>505</v>
      </c>
      <c r="D6" s="3639"/>
      <c r="E6" s="3667" t="s">
        <v>506</v>
      </c>
      <c r="F6" s="3668"/>
      <c r="G6" s="3638" t="s">
        <v>507</v>
      </c>
      <c r="H6" s="3639"/>
      <c r="I6" s="3638" t="s">
        <v>508</v>
      </c>
      <c r="J6" s="3639"/>
      <c r="K6" s="491" t="s">
        <v>509</v>
      </c>
      <c r="L6" s="1985"/>
      <c r="M6" s="1986"/>
      <c r="N6" s="1986"/>
      <c r="O6" s="1986"/>
      <c r="P6" s="3640" t="s">
        <v>510</v>
      </c>
      <c r="Q6" s="3641"/>
      <c r="R6" s="3626" t="s">
        <v>506</v>
      </c>
      <c r="S6" s="3627"/>
      <c r="T6" s="3626" t="s">
        <v>507</v>
      </c>
      <c r="U6" s="3627"/>
      <c r="V6" s="3646" t="s">
        <v>508</v>
      </c>
      <c r="W6" s="3646"/>
      <c r="X6" s="1474"/>
      <c r="Y6" s="3626" t="s">
        <v>510</v>
      </c>
      <c r="Z6" s="3627"/>
      <c r="AA6" s="3621" t="s">
        <v>506</v>
      </c>
      <c r="AB6" s="3622" t="s">
        <v>507</v>
      </c>
      <c r="AC6" s="3621" t="s">
        <v>508</v>
      </c>
    </row>
    <row r="7" spans="1:29" ht="15">
      <c r="A7" s="492"/>
      <c r="B7" s="493"/>
      <c r="C7" s="3649" t="s">
        <v>2808</v>
      </c>
      <c r="D7" s="3650"/>
      <c r="E7" s="3669" t="s">
        <v>2809</v>
      </c>
      <c r="F7" s="3670"/>
      <c r="G7" s="3649" t="s">
        <v>2810</v>
      </c>
      <c r="H7" s="3650"/>
      <c r="I7" s="3649" t="s">
        <v>2811</v>
      </c>
      <c r="J7" s="3650"/>
      <c r="K7" s="491"/>
      <c r="L7" s="1985"/>
      <c r="M7" s="1986"/>
      <c r="N7" s="1986"/>
      <c r="O7" s="1986"/>
      <c r="P7" s="3642"/>
      <c r="Q7" s="3643"/>
      <c r="R7" s="3628"/>
      <c r="S7" s="3629"/>
      <c r="T7" s="3628"/>
      <c r="U7" s="3629"/>
      <c r="V7" s="3646"/>
      <c r="W7" s="3646"/>
      <c r="X7" s="1474"/>
      <c r="Y7" s="3628"/>
      <c r="Z7" s="3629"/>
      <c r="AA7" s="3622"/>
      <c r="AB7" s="3622"/>
      <c r="AC7" s="3622"/>
    </row>
    <row r="8" spans="1:29" ht="15.75" thickBot="1">
      <c r="A8" s="494"/>
      <c r="B8" s="495"/>
      <c r="C8" s="3647" t="s">
        <v>2812</v>
      </c>
      <c r="D8" s="3648"/>
      <c r="E8" s="3671" t="s">
        <v>2812</v>
      </c>
      <c r="F8" s="3672"/>
      <c r="G8" s="3647" t="s">
        <v>2812</v>
      </c>
      <c r="H8" s="3648"/>
      <c r="I8" s="3647" t="s">
        <v>2812</v>
      </c>
      <c r="J8" s="3648"/>
      <c r="K8" s="491" t="s">
        <v>511</v>
      </c>
      <c r="L8" s="1985"/>
      <c r="M8" s="1986"/>
      <c r="N8" s="1986"/>
      <c r="O8" s="1986"/>
      <c r="P8" s="3644"/>
      <c r="Q8" s="3645"/>
      <c r="R8" s="3628"/>
      <c r="S8" s="3629"/>
      <c r="T8" s="3630"/>
      <c r="U8" s="3631"/>
      <c r="V8" s="3646"/>
      <c r="W8" s="3646"/>
      <c r="X8" s="1474"/>
      <c r="Y8" s="3630"/>
      <c r="Z8" s="3631"/>
      <c r="AA8" s="3623"/>
      <c r="AB8" s="3623"/>
      <c r="AC8" s="3623"/>
    </row>
    <row r="9" spans="1:29" s="1183" customFormat="1" ht="15.75" thickBot="1">
      <c r="A9" s="2567"/>
      <c r="B9" s="2574" t="s">
        <v>512</v>
      </c>
      <c r="C9" s="496">
        <f>'数据-取费表'!B2</f>
        <v>44649</v>
      </c>
      <c r="D9" s="497">
        <v>100</v>
      </c>
      <c r="E9" s="498"/>
      <c r="F9" s="499">
        <f>SUMIF(67:67,YEAR(E9)&amp;"-"&amp;INT((MONTH(E9)+2)/3),68:68)</f>
        <v>0</v>
      </c>
      <c r="G9" s="500"/>
      <c r="H9" s="497">
        <f>SUMIF(67:67,YEAR(G9)&amp;"-"&amp;INT((MONTH(G9)+2)/3),68:68)</f>
        <v>0</v>
      </c>
      <c r="I9" s="500"/>
      <c r="J9" s="497">
        <f>SUMIF(67:67,YEAR(I9)&amp;"-"&amp;INT((MONTH(I9)+2)/3),68:68)</f>
        <v>0</v>
      </c>
      <c r="K9" s="501"/>
      <c r="L9" s="1987"/>
      <c r="M9" s="1988"/>
      <c r="N9" s="1988"/>
      <c r="O9" s="1988"/>
      <c r="P9" s="3624" t="s">
        <v>513</v>
      </c>
      <c r="Q9" s="3633"/>
      <c r="R9" s="1475" t="s">
        <v>8</v>
      </c>
      <c r="S9" s="1476">
        <f t="shared" ref="S9:S17" si="0">F9</f>
        <v>0</v>
      </c>
      <c r="T9" s="1475" t="s">
        <v>8</v>
      </c>
      <c r="U9" s="1476">
        <f t="shared" ref="U9:U17" si="1">H9</f>
        <v>0</v>
      </c>
      <c r="V9" s="1475" t="s">
        <v>8</v>
      </c>
      <c r="W9" s="1476">
        <f t="shared" ref="W9:W17" si="2">J9</f>
        <v>0</v>
      </c>
      <c r="X9" s="1477"/>
      <c r="Y9" s="3624" t="s">
        <v>513</v>
      </c>
      <c r="Z9" s="3625"/>
      <c r="AA9" s="1478" t="e">
        <f>D9/F9</f>
        <v>#DIV/0!</v>
      </c>
      <c r="AB9" s="1478" t="e">
        <f>D9/H9</f>
        <v>#DIV/0!</v>
      </c>
      <c r="AC9" s="1478" t="e">
        <f>D9/J9</f>
        <v>#DIV/0!</v>
      </c>
    </row>
    <row r="10" spans="1:29" s="1183"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7"/>
      <c r="M10" s="1988"/>
      <c r="N10" s="1988"/>
      <c r="O10" s="1988"/>
      <c r="P10" s="3624" t="s">
        <v>516</v>
      </c>
      <c r="Q10" s="3625"/>
      <c r="R10" s="1475" t="s">
        <v>8</v>
      </c>
      <c r="S10" s="1476">
        <f t="shared" si="0"/>
        <v>0</v>
      </c>
      <c r="T10" s="1475" t="s">
        <v>8</v>
      </c>
      <c r="U10" s="1476">
        <f t="shared" si="1"/>
        <v>0</v>
      </c>
      <c r="V10" s="1475" t="s">
        <v>8</v>
      </c>
      <c r="W10" s="1476">
        <f t="shared" si="2"/>
        <v>0</v>
      </c>
      <c r="X10" s="1477"/>
      <c r="Y10" s="3624" t="s">
        <v>516</v>
      </c>
      <c r="Z10" s="3625"/>
      <c r="AA10" s="1478" t="e">
        <f t="shared" ref="AA10:AA42" si="3">D10/F10</f>
        <v>#DIV/0!</v>
      </c>
      <c r="AB10" s="1478" t="e">
        <f t="shared" ref="AB10:AB42" si="4">D10/H10</f>
        <v>#DIV/0!</v>
      </c>
      <c r="AC10" s="1478" t="e">
        <f t="shared" ref="AC10:AC42" si="5">D10/J10</f>
        <v>#DIV/0!</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7"/>
      <c r="M11" s="1988"/>
      <c r="N11" s="1988"/>
      <c r="O11" s="1989"/>
      <c r="P11" s="3632" t="s">
        <v>518</v>
      </c>
      <c r="Q11" s="1114" t="str">
        <f t="shared" ref="Q11:Q17" si="6">B11</f>
        <v>用途</v>
      </c>
      <c r="R11" s="1475" t="s">
        <v>8</v>
      </c>
      <c r="S11" s="1476">
        <f t="shared" si="0"/>
        <v>100</v>
      </c>
      <c r="T11" s="1475" t="s">
        <v>8</v>
      </c>
      <c r="U11" s="1476">
        <f t="shared" si="1"/>
        <v>100</v>
      </c>
      <c r="V11" s="1475" t="s">
        <v>8</v>
      </c>
      <c r="W11" s="1476">
        <f t="shared" si="2"/>
        <v>100</v>
      </c>
      <c r="X11" s="1477"/>
      <c r="Y11" s="3583" t="s">
        <v>519</v>
      </c>
      <c r="Z11" s="1113" t="str">
        <f t="shared" ref="Z11:Z17" si="7">Q11</f>
        <v>用途</v>
      </c>
      <c r="AA11" s="1478">
        <f t="shared" si="3"/>
        <v>1</v>
      </c>
      <c r="AB11" s="1478">
        <f t="shared" si="4"/>
        <v>1</v>
      </c>
      <c r="AC11" s="1478">
        <f t="shared" si="5"/>
        <v>1</v>
      </c>
    </row>
    <row r="12" spans="1:29" s="1264" customFormat="1" ht="27">
      <c r="A12" s="2570"/>
      <c r="B12" s="2575" t="s">
        <v>2656</v>
      </c>
      <c r="C12" s="505"/>
      <c r="D12" s="253">
        <v>100</v>
      </c>
      <c r="E12" s="505"/>
      <c r="F12" s="253">
        <f>ROUND(100/'数据-取费表'!G16,0)</f>
        <v>100</v>
      </c>
      <c r="G12" s="505"/>
      <c r="H12" s="253">
        <f>ROUND(100/'数据-取费表'!G16,0)</f>
        <v>100</v>
      </c>
      <c r="I12" s="505"/>
      <c r="J12" s="253">
        <f>ROUND(100/'数据-取费表'!G16,0)</f>
        <v>100</v>
      </c>
      <c r="K12" s="508"/>
      <c r="L12" s="1990"/>
      <c r="M12" s="2029"/>
      <c r="N12" s="2029"/>
      <c r="O12" s="1991"/>
      <c r="P12" s="3632"/>
      <c r="Q12" s="1114" t="str">
        <f t="shared" si="6"/>
        <v>土地使用年限（年）</v>
      </c>
      <c r="R12" s="1475" t="s">
        <v>8</v>
      </c>
      <c r="S12" s="1476">
        <f t="shared" si="0"/>
        <v>100</v>
      </c>
      <c r="T12" s="1475" t="s">
        <v>8</v>
      </c>
      <c r="U12" s="1476">
        <f t="shared" si="1"/>
        <v>100</v>
      </c>
      <c r="V12" s="1475" t="s">
        <v>8</v>
      </c>
      <c r="W12" s="1476">
        <f t="shared" si="2"/>
        <v>100</v>
      </c>
      <c r="X12" s="1477"/>
      <c r="Y12" s="3583"/>
      <c r="Z12" s="1113" t="str">
        <f t="shared" si="7"/>
        <v>土地使用年限（年）</v>
      </c>
      <c r="AA12" s="1478">
        <f t="shared" si="3"/>
        <v>1</v>
      </c>
      <c r="AB12" s="1478">
        <f t="shared" si="4"/>
        <v>1</v>
      </c>
      <c r="AC12" s="1478">
        <f t="shared" si="5"/>
        <v>1</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2"/>
      <c r="M13" s="1986"/>
      <c r="N13" s="1986"/>
      <c r="O13" s="1993"/>
      <c r="P13" s="3632"/>
      <c r="Q13" s="1114" t="str">
        <f t="shared" si="6"/>
        <v>容积率</v>
      </c>
      <c r="R13" s="1475" t="s">
        <v>8</v>
      </c>
      <c r="S13" s="1476" t="e">
        <f t="shared" si="0"/>
        <v>#N/A</v>
      </c>
      <c r="T13" s="1475" t="s">
        <v>8</v>
      </c>
      <c r="U13" s="1476" t="e">
        <f t="shared" si="1"/>
        <v>#N/A</v>
      </c>
      <c r="V13" s="1475" t="s">
        <v>8</v>
      </c>
      <c r="W13" s="1476" t="e">
        <f t="shared" si="2"/>
        <v>#N/A</v>
      </c>
      <c r="X13" s="1477"/>
      <c r="Y13" s="3583"/>
      <c r="Z13" s="1113" t="str">
        <f t="shared" si="7"/>
        <v>容积率</v>
      </c>
      <c r="AA13" s="1478" t="e">
        <f t="shared" si="3"/>
        <v>#N/A</v>
      </c>
      <c r="AB13" s="1478" t="e">
        <f t="shared" si="4"/>
        <v>#N/A</v>
      </c>
      <c r="AC13" s="1478" t="e">
        <f t="shared" si="5"/>
        <v>#N/A</v>
      </c>
    </row>
    <row r="14" spans="1:29" s="1183"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7"/>
      <c r="M14" s="1988"/>
      <c r="N14" s="1988"/>
      <c r="O14" s="1989"/>
      <c r="P14" s="3632"/>
      <c r="Q14" s="1114">
        <f t="shared" si="6"/>
        <v>111</v>
      </c>
      <c r="R14" s="1475" t="s">
        <v>8</v>
      </c>
      <c r="S14" s="1476">
        <f t="shared" si="0"/>
        <v>100</v>
      </c>
      <c r="T14" s="1475" t="s">
        <v>8</v>
      </c>
      <c r="U14" s="1476">
        <f t="shared" si="1"/>
        <v>100</v>
      </c>
      <c r="V14" s="1475" t="s">
        <v>8</v>
      </c>
      <c r="W14" s="1476">
        <f t="shared" si="2"/>
        <v>100</v>
      </c>
      <c r="X14" s="1477"/>
      <c r="Y14" s="3583"/>
      <c r="Z14" s="1113">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4"/>
      <c r="M15" s="1986"/>
      <c r="N15" s="1986"/>
      <c r="O15" s="1993"/>
      <c r="P15" s="3632"/>
      <c r="Q15" s="1114">
        <f t="shared" si="6"/>
        <v>111</v>
      </c>
      <c r="R15" s="1475" t="s">
        <v>8</v>
      </c>
      <c r="S15" s="1476">
        <f t="shared" si="0"/>
        <v>100</v>
      </c>
      <c r="T15" s="1475" t="s">
        <v>8</v>
      </c>
      <c r="U15" s="1476">
        <f t="shared" si="1"/>
        <v>100</v>
      </c>
      <c r="V15" s="1475" t="s">
        <v>8</v>
      </c>
      <c r="W15" s="1476">
        <f t="shared" si="2"/>
        <v>100</v>
      </c>
      <c r="X15" s="1477"/>
      <c r="Y15" s="3583"/>
      <c r="Z15" s="1113">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4"/>
      <c r="M16" s="1986"/>
      <c r="N16" s="1986"/>
      <c r="O16" s="1993"/>
      <c r="P16" s="3632"/>
      <c r="Q16" s="1114">
        <f t="shared" si="6"/>
        <v>111</v>
      </c>
      <c r="R16" s="1475" t="s">
        <v>8</v>
      </c>
      <c r="S16" s="1476">
        <f t="shared" si="0"/>
        <v>100</v>
      </c>
      <c r="T16" s="1475" t="s">
        <v>8</v>
      </c>
      <c r="U16" s="1476">
        <f t="shared" si="1"/>
        <v>100</v>
      </c>
      <c r="V16" s="1475" t="s">
        <v>8</v>
      </c>
      <c r="W16" s="1476">
        <f t="shared" si="2"/>
        <v>100</v>
      </c>
      <c r="X16" s="1477"/>
      <c r="Y16" s="3583"/>
      <c r="Z16" s="1113">
        <f t="shared" si="7"/>
        <v>111</v>
      </c>
      <c r="AA16" s="1478">
        <f t="shared" si="3"/>
        <v>1</v>
      </c>
      <c r="AB16" s="1478">
        <f t="shared" si="4"/>
        <v>1</v>
      </c>
      <c r="AC16" s="1478">
        <f t="shared" si="5"/>
        <v>1</v>
      </c>
    </row>
    <row r="17" spans="1:29" ht="57">
      <c r="A17" s="2565" t="s">
        <v>2653</v>
      </c>
      <c r="B17" s="164" t="s">
        <v>581</v>
      </c>
      <c r="C17" s="890"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4"/>
      <c r="M17" s="1986"/>
      <c r="N17" s="1986"/>
      <c r="O17" s="1993"/>
      <c r="P17" s="3634" t="s">
        <v>523</v>
      </c>
      <c r="Q17" s="1479" t="str">
        <f t="shared" si="6"/>
        <v>产业集聚程度</v>
      </c>
      <c r="R17" s="1480" t="s">
        <v>8</v>
      </c>
      <c r="S17" s="1481">
        <f t="shared" si="0"/>
        <v>100</v>
      </c>
      <c r="T17" s="1480" t="s">
        <v>8</v>
      </c>
      <c r="U17" s="1481">
        <f t="shared" si="1"/>
        <v>100</v>
      </c>
      <c r="V17" s="1480" t="s">
        <v>8</v>
      </c>
      <c r="W17" s="1481">
        <f t="shared" si="2"/>
        <v>100</v>
      </c>
      <c r="X17" s="1474"/>
      <c r="Y17" s="3634"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4"/>
      <c r="M18" s="1986"/>
      <c r="N18" s="1986"/>
      <c r="O18" s="1993"/>
      <c r="P18" s="3635"/>
      <c r="Q18" s="1479"/>
      <c r="R18" s="1480"/>
      <c r="S18" s="1481"/>
      <c r="T18" s="1480"/>
      <c r="U18" s="1481"/>
      <c r="V18" s="1480"/>
      <c r="W18" s="1481"/>
      <c r="X18" s="1474"/>
      <c r="Y18" s="3635"/>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4"/>
      <c r="M19" s="1986"/>
      <c r="N19" s="1986"/>
      <c r="O19" s="1993"/>
      <c r="P19" s="3635"/>
      <c r="Q19" s="1479" t="str">
        <f>B19</f>
        <v>交通便捷度</v>
      </c>
      <c r="R19" s="1480" t="s">
        <v>8</v>
      </c>
      <c r="S19" s="1481">
        <f>F19</f>
        <v>100</v>
      </c>
      <c r="T19" s="1480" t="s">
        <v>8</v>
      </c>
      <c r="U19" s="1481">
        <f>H19</f>
        <v>100</v>
      </c>
      <c r="V19" s="1480" t="s">
        <v>8</v>
      </c>
      <c r="W19" s="1481">
        <f>J19</f>
        <v>100</v>
      </c>
      <c r="X19" s="1474"/>
      <c r="Y19" s="3635"/>
      <c r="Z19" s="1482" t="str">
        <f>Q19</f>
        <v>交通便捷度</v>
      </c>
      <c r="AA19" s="1483">
        <f t="shared" si="3"/>
        <v>1</v>
      </c>
      <c r="AB19" s="1483">
        <f t="shared" si="4"/>
        <v>1</v>
      </c>
      <c r="AC19" s="1483">
        <f t="shared" si="5"/>
        <v>1</v>
      </c>
    </row>
    <row r="20" spans="1:29" ht="15">
      <c r="A20" s="509"/>
      <c r="B20" s="891"/>
      <c r="C20" s="553"/>
      <c r="D20" s="532"/>
      <c r="E20" s="533"/>
      <c r="F20" s="532"/>
      <c r="G20" s="533"/>
      <c r="H20" s="532"/>
      <c r="I20" s="535"/>
      <c r="J20" s="532"/>
      <c r="K20" s="508"/>
      <c r="L20" s="1994"/>
      <c r="M20" s="1986"/>
      <c r="N20" s="1986"/>
      <c r="O20" s="1993"/>
      <c r="P20" s="3635"/>
      <c r="Q20" s="1479"/>
      <c r="R20" s="1480"/>
      <c r="S20" s="1481"/>
      <c r="T20" s="1480"/>
      <c r="U20" s="1481"/>
      <c r="V20" s="1480"/>
      <c r="W20" s="1481"/>
      <c r="X20" s="1474"/>
      <c r="Y20" s="3635"/>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5"/>
      <c r="L21" s="1994"/>
      <c r="M21" s="1986"/>
      <c r="N21" s="1986"/>
      <c r="O21" s="1993"/>
      <c r="P21" s="3635"/>
      <c r="Q21" s="1479" t="str">
        <f t="shared" ref="Q21:Q35" si="8">B21</f>
        <v>区域土地利用方向</v>
      </c>
      <c r="R21" s="1480" t="s">
        <v>8</v>
      </c>
      <c r="S21" s="1481">
        <f>F21</f>
        <v>100</v>
      </c>
      <c r="T21" s="1480" t="s">
        <v>8</v>
      </c>
      <c r="U21" s="1481">
        <f>H21</f>
        <v>100</v>
      </c>
      <c r="V21" s="1480" t="s">
        <v>8</v>
      </c>
      <c r="W21" s="1481">
        <f>J21</f>
        <v>100</v>
      </c>
      <c r="X21" s="1474"/>
      <c r="Y21" s="3635"/>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3"/>
      <c r="L22" s="1994"/>
      <c r="M22" s="1986"/>
      <c r="N22" s="1986"/>
      <c r="O22" s="1993"/>
      <c r="P22" s="3635"/>
      <c r="Q22" s="1479"/>
      <c r="R22" s="1480"/>
      <c r="S22" s="1481"/>
      <c r="T22" s="1480"/>
      <c r="U22" s="1481"/>
      <c r="V22" s="1480"/>
      <c r="W22" s="1481"/>
      <c r="X22" s="1474"/>
      <c r="Y22" s="3635"/>
      <c r="Z22" s="1482"/>
      <c r="AA22" s="1483"/>
      <c r="AB22" s="1483"/>
      <c r="AC22" s="1483"/>
    </row>
    <row r="23" spans="1:29" ht="71.25">
      <c r="A23" s="492"/>
      <c r="B23" s="891"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4"/>
      <c r="M23" s="1986"/>
      <c r="N23" s="1986"/>
      <c r="O23" s="1993"/>
      <c r="P23" s="3635"/>
      <c r="Q23" s="1479" t="str">
        <f t="shared" si="8"/>
        <v>环境状况</v>
      </c>
      <c r="R23" s="1480" t="s">
        <v>8</v>
      </c>
      <c r="S23" s="1481">
        <f>F23</f>
        <v>100</v>
      </c>
      <c r="T23" s="1480" t="s">
        <v>8</v>
      </c>
      <c r="U23" s="1481">
        <f>H23</f>
        <v>100</v>
      </c>
      <c r="V23" s="1480" t="s">
        <v>8</v>
      </c>
      <c r="W23" s="1481">
        <f>J23</f>
        <v>100</v>
      </c>
      <c r="X23" s="1474"/>
      <c r="Y23" s="3635"/>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4"/>
      <c r="M24" s="1986"/>
      <c r="N24" s="1986"/>
      <c r="O24" s="1993"/>
      <c r="P24" s="3635"/>
      <c r="Q24" s="1479"/>
      <c r="R24" s="1480"/>
      <c r="S24" s="1481"/>
      <c r="T24" s="1480"/>
      <c r="U24" s="1481"/>
      <c r="V24" s="1480"/>
      <c r="W24" s="1481"/>
      <c r="X24" s="1474"/>
      <c r="Y24" s="3635"/>
      <c r="Z24" s="1482"/>
      <c r="AA24" s="1483">
        <v>1</v>
      </c>
      <c r="AB24" s="1483">
        <v>1</v>
      </c>
      <c r="AC24" s="1483">
        <v>1</v>
      </c>
    </row>
    <row r="25" spans="1:29" s="1183" customFormat="1" ht="42.75">
      <c r="A25" s="554"/>
      <c r="B25" s="2375"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988"/>
      <c r="N25" s="1988"/>
      <c r="O25" s="1989"/>
      <c r="P25" s="3635"/>
      <c r="Q25" s="1114" t="str">
        <f t="shared" si="8"/>
        <v>公共配套设施</v>
      </c>
      <c r="R25" s="1475" t="s">
        <v>8</v>
      </c>
      <c r="S25" s="1476">
        <f>F25</f>
        <v>100</v>
      </c>
      <c r="T25" s="1475" t="s">
        <v>8</v>
      </c>
      <c r="U25" s="1476">
        <f>H25</f>
        <v>100</v>
      </c>
      <c r="V25" s="1475" t="s">
        <v>8</v>
      </c>
      <c r="W25" s="1476">
        <f>J25</f>
        <v>100</v>
      </c>
      <c r="X25" s="1477"/>
      <c r="Y25" s="3635"/>
      <c r="Z25" s="1113" t="str">
        <f>Q25</f>
        <v>公共配套设施</v>
      </c>
      <c r="AA25" s="1483">
        <f>D25/F25</f>
        <v>1</v>
      </c>
      <c r="AB25" s="1483">
        <f>D25/H25</f>
        <v>1</v>
      </c>
      <c r="AC25" s="1483">
        <f>D25/J25</f>
        <v>1</v>
      </c>
    </row>
    <row r="26" spans="1:29" s="1183" customFormat="1" ht="15">
      <c r="A26" s="554"/>
      <c r="B26" s="572"/>
      <c r="C26" s="2374"/>
      <c r="D26" s="532"/>
      <c r="E26" s="531"/>
      <c r="F26" s="532"/>
      <c r="G26" s="531"/>
      <c r="H26" s="532"/>
      <c r="I26" s="553"/>
      <c r="J26" s="532"/>
      <c r="K26" s="508"/>
      <c r="L26" s="1987"/>
      <c r="M26" s="1988"/>
      <c r="N26" s="1988"/>
      <c r="O26" s="1989"/>
      <c r="P26" s="3635"/>
      <c r="Q26" s="1114"/>
      <c r="R26" s="1475"/>
      <c r="S26" s="1476"/>
      <c r="T26" s="1475"/>
      <c r="U26" s="1476"/>
      <c r="V26" s="1475"/>
      <c r="W26" s="1476"/>
      <c r="X26" s="1477"/>
      <c r="Y26" s="3635"/>
      <c r="Z26" s="1113"/>
      <c r="AA26" s="1478">
        <v>1</v>
      </c>
      <c r="AB26" s="1478">
        <v>1</v>
      </c>
      <c r="AC26" s="1478">
        <v>1</v>
      </c>
    </row>
    <row r="27" spans="1:29" s="1183" customFormat="1" ht="28.5">
      <c r="A27" s="554"/>
      <c r="B27" s="2375"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988"/>
      <c r="N27" s="1988"/>
      <c r="O27" s="1989"/>
      <c r="P27" s="3635"/>
      <c r="Q27" s="2366" t="str">
        <f t="shared" ref="Q27" si="9">B27</f>
        <v>基础设施水平</v>
      </c>
      <c r="R27" s="1475" t="s">
        <v>8</v>
      </c>
      <c r="S27" s="1476">
        <f>F27</f>
        <v>100</v>
      </c>
      <c r="T27" s="1475" t="s">
        <v>8</v>
      </c>
      <c r="U27" s="1476">
        <f>H27</f>
        <v>100</v>
      </c>
      <c r="V27" s="1475" t="s">
        <v>8</v>
      </c>
      <c r="W27" s="1476">
        <f>J27</f>
        <v>100</v>
      </c>
      <c r="X27" s="1477"/>
      <c r="Y27" s="3635"/>
      <c r="Z27" s="2365" t="str">
        <f>Q27</f>
        <v>基础设施水平</v>
      </c>
      <c r="AA27" s="1483">
        <f>D27/F27</f>
        <v>1</v>
      </c>
      <c r="AB27" s="1483">
        <f>D27/H27</f>
        <v>1</v>
      </c>
      <c r="AC27" s="1483">
        <f>D27/J27</f>
        <v>1</v>
      </c>
    </row>
    <row r="28" spans="1:29" s="1183" customFormat="1" ht="15">
      <c r="A28" s="554"/>
      <c r="B28" s="572"/>
      <c r="C28" s="2374"/>
      <c r="D28" s="532"/>
      <c r="E28" s="556"/>
      <c r="F28" s="532"/>
      <c r="G28" s="556"/>
      <c r="H28" s="532"/>
      <c r="I28" s="556"/>
      <c r="J28" s="532"/>
      <c r="K28" s="508"/>
      <c r="L28" s="1987"/>
      <c r="M28" s="1988"/>
      <c r="N28" s="1988"/>
      <c r="O28" s="1989"/>
      <c r="P28" s="3635"/>
      <c r="Q28" s="2366"/>
      <c r="R28" s="1475"/>
      <c r="S28" s="1476"/>
      <c r="T28" s="1475"/>
      <c r="U28" s="1476"/>
      <c r="V28" s="1475"/>
      <c r="W28" s="1476"/>
      <c r="X28" s="1477"/>
      <c r="Y28" s="3635"/>
      <c r="Z28" s="2365"/>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4"/>
      <c r="M29" s="1986"/>
      <c r="N29" s="1986"/>
      <c r="O29" s="1993"/>
      <c r="P29" s="3635"/>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35"/>
      <c r="Z29" s="1482" t="str">
        <f t="shared" ref="Z29:Z42" si="13">Q29</f>
        <v>临街状况</v>
      </c>
      <c r="AA29" s="1483">
        <f t="shared" si="3"/>
        <v>1</v>
      </c>
      <c r="AB29" s="1483">
        <f t="shared" si="4"/>
        <v>1</v>
      </c>
      <c r="AC29" s="1483">
        <f t="shared" si="5"/>
        <v>1</v>
      </c>
    </row>
    <row r="30" spans="1:29" ht="27">
      <c r="A30" s="509"/>
      <c r="B30" s="891"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4"/>
      <c r="M30" s="1986"/>
      <c r="N30" s="1986"/>
      <c r="O30" s="1993"/>
      <c r="P30" s="3635"/>
      <c r="Q30" s="1479" t="str">
        <f t="shared" si="8"/>
        <v>毗邻道路的类型与等级</v>
      </c>
      <c r="R30" s="1480" t="s">
        <v>8</v>
      </c>
      <c r="S30" s="1481">
        <f t="shared" si="10"/>
        <v>100</v>
      </c>
      <c r="T30" s="1480" t="s">
        <v>8</v>
      </c>
      <c r="U30" s="1481">
        <f t="shared" si="11"/>
        <v>100</v>
      </c>
      <c r="V30" s="1480" t="s">
        <v>8</v>
      </c>
      <c r="W30" s="1481">
        <f t="shared" si="12"/>
        <v>100</v>
      </c>
      <c r="X30" s="1474"/>
      <c r="Y30" s="3635"/>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4"/>
      <c r="M31" s="1986"/>
      <c r="N31" s="1986"/>
      <c r="O31" s="1993"/>
      <c r="P31" s="3635"/>
      <c r="Q31" s="1479"/>
      <c r="R31" s="1480"/>
      <c r="S31" s="1481"/>
      <c r="T31" s="1480"/>
      <c r="U31" s="1481"/>
      <c r="V31" s="1480"/>
      <c r="W31" s="1481"/>
      <c r="X31" s="1474"/>
      <c r="Y31" s="3635"/>
      <c r="Z31" s="1482"/>
      <c r="AA31" s="1483">
        <v>1</v>
      </c>
      <c r="AB31" s="1483">
        <v>1</v>
      </c>
      <c r="AC31" s="1483">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4"/>
      <c r="M32" s="1986"/>
      <c r="N32" s="1986"/>
      <c r="O32" s="1993"/>
      <c r="P32" s="3635"/>
      <c r="Q32" s="1479" t="str">
        <f t="shared" si="8"/>
        <v>土地级别</v>
      </c>
      <c r="R32" s="1480" t="s">
        <v>8</v>
      </c>
      <c r="S32" s="1481">
        <f t="shared" si="10"/>
        <v>100</v>
      </c>
      <c r="T32" s="1480" t="s">
        <v>8</v>
      </c>
      <c r="U32" s="1481">
        <f t="shared" si="11"/>
        <v>100</v>
      </c>
      <c r="V32" s="1480" t="s">
        <v>8</v>
      </c>
      <c r="W32" s="1481">
        <f t="shared" si="12"/>
        <v>100</v>
      </c>
      <c r="X32" s="1474"/>
      <c r="Y32" s="3635"/>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4"/>
      <c r="M33" s="1986"/>
      <c r="N33" s="1986"/>
      <c r="O33" s="1993"/>
      <c r="P33" s="3635"/>
      <c r="Q33" s="1479">
        <f t="shared" si="8"/>
        <v>111</v>
      </c>
      <c r="R33" s="1480" t="s">
        <v>8</v>
      </c>
      <c r="S33" s="1481">
        <f t="shared" si="10"/>
        <v>100</v>
      </c>
      <c r="T33" s="1480" t="s">
        <v>8</v>
      </c>
      <c r="U33" s="1481">
        <f t="shared" si="11"/>
        <v>100</v>
      </c>
      <c r="V33" s="1480" t="s">
        <v>8</v>
      </c>
      <c r="W33" s="1481">
        <f t="shared" si="12"/>
        <v>100</v>
      </c>
      <c r="X33" s="1474"/>
      <c r="Y33" s="3635"/>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4"/>
      <c r="M34" s="1986"/>
      <c r="N34" s="1986"/>
      <c r="O34" s="1993"/>
      <c r="P34" s="3636" t="s">
        <v>533</v>
      </c>
      <c r="Q34" s="1479">
        <f t="shared" si="8"/>
        <v>111</v>
      </c>
      <c r="R34" s="1480" t="s">
        <v>8</v>
      </c>
      <c r="S34" s="1481">
        <f t="shared" si="10"/>
        <v>100</v>
      </c>
      <c r="T34" s="1480" t="s">
        <v>8</v>
      </c>
      <c r="U34" s="1481">
        <f t="shared" si="11"/>
        <v>100</v>
      </c>
      <c r="V34" s="1480" t="s">
        <v>8</v>
      </c>
      <c r="W34" s="1481">
        <f t="shared" si="12"/>
        <v>100</v>
      </c>
      <c r="X34" s="1474"/>
      <c r="Y34" s="3637" t="s">
        <v>533</v>
      </c>
      <c r="Z34" s="1482">
        <f t="shared" si="13"/>
        <v>111</v>
      </c>
      <c r="AA34" s="1483">
        <f t="shared" si="3"/>
        <v>1</v>
      </c>
      <c r="AB34" s="1483">
        <f t="shared" si="4"/>
        <v>1</v>
      </c>
      <c r="AC34" s="1483">
        <f t="shared" si="5"/>
        <v>1</v>
      </c>
    </row>
    <row r="35" spans="1:29" s="1265" customFormat="1" ht="15.75"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2"/>
      <c r="M35" s="2022"/>
      <c r="N35" s="2022"/>
      <c r="O35" s="1995"/>
      <c r="P35" s="3637"/>
      <c r="Q35" s="1479">
        <f t="shared" si="8"/>
        <v>111</v>
      </c>
      <c r="R35" s="1484" t="s">
        <v>8</v>
      </c>
      <c r="S35" s="1485">
        <f t="shared" si="10"/>
        <v>100</v>
      </c>
      <c r="T35" s="1484" t="s">
        <v>8</v>
      </c>
      <c r="U35" s="1485">
        <f t="shared" si="11"/>
        <v>100</v>
      </c>
      <c r="V35" s="1484" t="s">
        <v>8</v>
      </c>
      <c r="W35" s="1485">
        <f t="shared" si="12"/>
        <v>100</v>
      </c>
      <c r="X35" s="1486"/>
      <c r="Y35" s="3637"/>
      <c r="Z35" s="1487">
        <f t="shared" si="13"/>
        <v>111</v>
      </c>
      <c r="AA35" s="1483">
        <f t="shared" si="3"/>
        <v>1</v>
      </c>
      <c r="AB35" s="1483">
        <f t="shared" si="4"/>
        <v>1</v>
      </c>
      <c r="AC35" s="1483">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4"/>
      <c r="M36" s="1986"/>
      <c r="N36" s="1986"/>
      <c r="O36" s="1993"/>
      <c r="P36" s="3637"/>
      <c r="Q36" s="1479" t="str">
        <f>B36</f>
        <v>宗地面积</v>
      </c>
      <c r="R36" s="1480" t="s">
        <v>8</v>
      </c>
      <c r="S36" s="1481" t="e">
        <f t="shared" si="10"/>
        <v>#N/A</v>
      </c>
      <c r="T36" s="1480" t="s">
        <v>8</v>
      </c>
      <c r="U36" s="1481" t="e">
        <f t="shared" si="11"/>
        <v>#N/A</v>
      </c>
      <c r="V36" s="1480" t="s">
        <v>8</v>
      </c>
      <c r="W36" s="1481" t="e">
        <f t="shared" si="12"/>
        <v>#N/A</v>
      </c>
      <c r="X36" s="1474"/>
      <c r="Y36" s="3637"/>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4"/>
      <c r="M37" s="1986"/>
      <c r="N37" s="1986"/>
      <c r="O37" s="1993"/>
      <c r="P37" s="3637"/>
      <c r="Q37" s="1479" t="str">
        <f t="shared" ref="Q37:Q42" si="14">B37</f>
        <v>宗地形状</v>
      </c>
      <c r="R37" s="1480" t="s">
        <v>8</v>
      </c>
      <c r="S37" s="1481">
        <f t="shared" si="10"/>
        <v>100</v>
      </c>
      <c r="T37" s="1480" t="s">
        <v>8</v>
      </c>
      <c r="U37" s="1481">
        <f t="shared" si="11"/>
        <v>100</v>
      </c>
      <c r="V37" s="1480" t="s">
        <v>8</v>
      </c>
      <c r="W37" s="1481">
        <f t="shared" si="12"/>
        <v>100</v>
      </c>
      <c r="X37" s="1474"/>
      <c r="Y37" s="3637"/>
      <c r="Z37" s="1482" t="str">
        <f t="shared" si="13"/>
        <v>宗地形状</v>
      </c>
      <c r="AA37" s="1483">
        <f t="shared" si="3"/>
        <v>1</v>
      </c>
      <c r="AB37" s="1483">
        <f t="shared" si="4"/>
        <v>1</v>
      </c>
      <c r="AC37" s="1483">
        <f t="shared" si="5"/>
        <v>1</v>
      </c>
    </row>
    <row r="38" spans="1:29" s="1183" customFormat="1" ht="15">
      <c r="A38" s="577"/>
      <c r="B38" s="1780"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7"/>
      <c r="M38" s="1988"/>
      <c r="N38" s="1988"/>
      <c r="O38" s="1989"/>
      <c r="P38" s="3637"/>
      <c r="Q38" s="1479" t="str">
        <f t="shared" si="14"/>
        <v>宗地开发程度</v>
      </c>
      <c r="R38" s="1475" t="s">
        <v>8</v>
      </c>
      <c r="S38" s="1476">
        <f t="shared" si="10"/>
        <v>100</v>
      </c>
      <c r="T38" s="1475" t="s">
        <v>8</v>
      </c>
      <c r="U38" s="1476">
        <f t="shared" si="11"/>
        <v>100</v>
      </c>
      <c r="V38" s="1475" t="s">
        <v>8</v>
      </c>
      <c r="W38" s="1476">
        <f t="shared" si="12"/>
        <v>100</v>
      </c>
      <c r="X38" s="1477"/>
      <c r="Y38" s="3637"/>
      <c r="Z38" s="1113"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37" t="s">
        <v>584</v>
      </c>
      <c r="Q39" s="1479" t="str">
        <f t="shared" si="14"/>
        <v>工程地质条件</v>
      </c>
      <c r="R39" s="1480" t="s">
        <v>8</v>
      </c>
      <c r="S39" s="1481">
        <f t="shared" si="10"/>
        <v>100</v>
      </c>
      <c r="T39" s="1480" t="s">
        <v>8</v>
      </c>
      <c r="U39" s="1481">
        <f t="shared" si="11"/>
        <v>100</v>
      </c>
      <c r="V39" s="1480" t="s">
        <v>8</v>
      </c>
      <c r="W39" s="1481">
        <f t="shared" si="12"/>
        <v>100</v>
      </c>
      <c r="X39" s="1474"/>
      <c r="Y39" s="3637"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4"/>
      <c r="M40" s="1986"/>
      <c r="N40" s="1986"/>
      <c r="O40" s="1993"/>
      <c r="P40" s="3637"/>
      <c r="Q40" s="1479">
        <f t="shared" si="14"/>
        <v>111</v>
      </c>
      <c r="R40" s="1480" t="s">
        <v>8</v>
      </c>
      <c r="S40" s="1481">
        <f t="shared" si="10"/>
        <v>100</v>
      </c>
      <c r="T40" s="1480" t="s">
        <v>8</v>
      </c>
      <c r="U40" s="1481">
        <f t="shared" si="11"/>
        <v>100</v>
      </c>
      <c r="V40" s="1480" t="s">
        <v>8</v>
      </c>
      <c r="W40" s="1481">
        <f t="shared" si="12"/>
        <v>100</v>
      </c>
      <c r="X40" s="1474"/>
      <c r="Y40" s="3637"/>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4"/>
      <c r="M41" s="1986"/>
      <c r="N41" s="1986"/>
      <c r="O41" s="1993"/>
      <c r="P41" s="3637"/>
      <c r="Q41" s="1479">
        <f t="shared" si="14"/>
        <v>111</v>
      </c>
      <c r="R41" s="1480" t="s">
        <v>8</v>
      </c>
      <c r="S41" s="1481">
        <f t="shared" si="10"/>
        <v>100</v>
      </c>
      <c r="T41" s="1480" t="s">
        <v>8</v>
      </c>
      <c r="U41" s="1481">
        <f t="shared" si="11"/>
        <v>100</v>
      </c>
      <c r="V41" s="1480" t="s">
        <v>8</v>
      </c>
      <c r="W41" s="1481">
        <f t="shared" si="12"/>
        <v>100</v>
      </c>
      <c r="X41" s="1474"/>
      <c r="Y41" s="3637"/>
      <c r="Z41" s="1482">
        <f t="shared" si="13"/>
        <v>111</v>
      </c>
      <c r="AA41" s="1483">
        <f t="shared" si="3"/>
        <v>1</v>
      </c>
      <c r="AB41" s="1483">
        <f t="shared" si="4"/>
        <v>1</v>
      </c>
      <c r="AC41" s="1483">
        <f t="shared" si="5"/>
        <v>1</v>
      </c>
    </row>
    <row r="42" spans="1:29" s="1265"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2"/>
      <c r="M42" s="2022"/>
      <c r="N42" s="2022"/>
      <c r="O42" s="1995"/>
      <c r="P42" s="3637"/>
      <c r="Q42" s="1479">
        <f t="shared" si="14"/>
        <v>111</v>
      </c>
      <c r="R42" s="1484" t="s">
        <v>8</v>
      </c>
      <c r="S42" s="1485">
        <f t="shared" si="10"/>
        <v>100</v>
      </c>
      <c r="T42" s="1484" t="s">
        <v>8</v>
      </c>
      <c r="U42" s="1485">
        <f t="shared" si="11"/>
        <v>100</v>
      </c>
      <c r="V42" s="1484" t="s">
        <v>8</v>
      </c>
      <c r="W42" s="1485">
        <f t="shared" si="12"/>
        <v>100</v>
      </c>
      <c r="X42" s="1486"/>
      <c r="Y42" s="3637"/>
      <c r="Z42" s="1487">
        <f t="shared" si="13"/>
        <v>111</v>
      </c>
      <c r="AA42" s="1483">
        <f t="shared" si="3"/>
        <v>1</v>
      </c>
      <c r="AB42" s="1483">
        <f t="shared" si="4"/>
        <v>1</v>
      </c>
      <c r="AC42" s="1483">
        <f t="shared" si="5"/>
        <v>1</v>
      </c>
    </row>
    <row r="43" spans="1:29" ht="15">
      <c r="A43" s="584" t="s">
        <v>539</v>
      </c>
      <c r="B43" s="585" t="s">
        <v>2813</v>
      </c>
      <c r="C43" s="586" t="s">
        <v>1</v>
      </c>
      <c r="D43" s="587"/>
      <c r="E43" s="588"/>
      <c r="F43" s="589"/>
      <c r="G43" s="590"/>
      <c r="H43" s="591"/>
      <c r="I43" s="588"/>
      <c r="J43" s="591"/>
      <c r="K43" s="1266"/>
      <c r="L43" s="1996"/>
      <c r="M43" s="1986"/>
      <c r="N43" s="1986"/>
      <c r="O43" s="1997"/>
      <c r="P43" s="3632" t="str">
        <f>A43</f>
        <v>成交单价</v>
      </c>
      <c r="Q43" s="3632"/>
      <c r="R43" s="3646">
        <f>E43</f>
        <v>0</v>
      </c>
      <c r="S43" s="3646"/>
      <c r="T43" s="3646">
        <f>G43</f>
        <v>0</v>
      </c>
      <c r="U43" s="3646"/>
      <c r="V43" s="3646">
        <f>I43</f>
        <v>0</v>
      </c>
      <c r="W43" s="3646"/>
      <c r="X43" s="1469"/>
      <c r="Y43" s="1488"/>
      <c r="Z43" s="1469"/>
      <c r="AA43" s="1469"/>
      <c r="AB43" s="1469"/>
      <c r="AC43" s="1469"/>
    </row>
    <row r="44" spans="1:29" ht="15.75" thickBot="1">
      <c r="A44" s="592" t="s">
        <v>2592</v>
      </c>
      <c r="B44" s="593"/>
      <c r="C44" s="594" t="e">
        <f>R45</f>
        <v>#DIV/0!</v>
      </c>
      <c r="D44" s="2948" t="s">
        <v>2881</v>
      </c>
      <c r="E44" s="594" t="e">
        <f>R44</f>
        <v>#DIV/0!</v>
      </c>
      <c r="F44" s="2949"/>
      <c r="G44" s="595" t="e">
        <f>T44</f>
        <v>#DIV/0!</v>
      </c>
      <c r="H44" s="2949"/>
      <c r="I44" s="594" t="e">
        <f>V44</f>
        <v>#DIV/0!</v>
      </c>
      <c r="J44" s="2949"/>
      <c r="K44" s="2950">
        <f>F44+H44+J44</f>
        <v>0</v>
      </c>
      <c r="L44" s="1996"/>
      <c r="M44" s="1986"/>
      <c r="N44" s="1986"/>
      <c r="O44" s="1997"/>
      <c r="P44" s="3632" t="str">
        <f>A44</f>
        <v>比较价格（元/平方米）</v>
      </c>
      <c r="Q44" s="3632"/>
      <c r="R44" s="3656" t="e">
        <f>ROUND(PRODUCT(R43,AA9:AA42),0)</f>
        <v>#DIV/0!</v>
      </c>
      <c r="S44" s="3656"/>
      <c r="T44" s="3656" t="e">
        <f>ROUND(PRODUCT(T43,AB9:AB42),0)</f>
        <v>#DIV/0!</v>
      </c>
      <c r="U44" s="3656"/>
      <c r="V44" s="3656" t="e">
        <f>ROUND(PRODUCT(V43,AC9:AC42),0)</f>
        <v>#DIV/0!</v>
      </c>
      <c r="W44" s="3656"/>
      <c r="X44" s="1469"/>
      <c r="Y44" s="1469"/>
      <c r="Z44" s="1469"/>
      <c r="AA44" s="1469"/>
      <c r="AB44" s="1469"/>
      <c r="AC44" s="1469"/>
    </row>
    <row r="45" spans="1:29" ht="15.75" thickBot="1">
      <c r="A45" s="596" t="s">
        <v>2814</v>
      </c>
      <c r="B45" s="597"/>
      <c r="C45" s="598" t="e">
        <f>R45</f>
        <v>#DIV/0!</v>
      </c>
      <c r="D45" s="598"/>
      <c r="E45" s="598"/>
      <c r="F45" s="598"/>
      <c r="G45" s="598"/>
      <c r="H45" s="598"/>
      <c r="I45" s="598"/>
      <c r="J45" s="598"/>
      <c r="K45" s="1267"/>
      <c r="L45" s="1996"/>
      <c r="M45" s="1986"/>
      <c r="N45" s="1986"/>
      <c r="O45" s="1997"/>
      <c r="P45" s="3653" t="str">
        <f>A45</f>
        <v>估价对象XX用房的比较价格（楼面单价，元/平方米）</v>
      </c>
      <c r="Q45" s="3654"/>
      <c r="R45" s="3666" t="e">
        <f>ROUND(IF(D44="简单平均",AVERAGE(R44:W44),R44*F44+T44*H44+V44*J44),0)</f>
        <v>#DIV/0!</v>
      </c>
      <c r="S45" s="3666"/>
      <c r="T45" s="3666"/>
      <c r="U45" s="3666"/>
      <c r="V45" s="3666"/>
      <c r="W45" s="3666"/>
      <c r="X45" s="1469"/>
      <c r="Y45" s="1469"/>
      <c r="Z45" s="1469"/>
      <c r="AA45" s="1469"/>
      <c r="AB45" s="1469"/>
      <c r="AC45" s="1469"/>
    </row>
    <row r="46" spans="1:29">
      <c r="A46" s="3146"/>
      <c r="B46" s="3146"/>
      <c r="C46" s="3146"/>
      <c r="D46" s="3146"/>
      <c r="E46" s="3146"/>
      <c r="F46" s="3146"/>
      <c r="G46" s="3148"/>
      <c r="H46" s="3146"/>
      <c r="I46" s="3146"/>
      <c r="J46" s="3146"/>
      <c r="K46" s="3149"/>
      <c r="L46" s="2001"/>
      <c r="M46" s="1986"/>
      <c r="N46" s="1986"/>
      <c r="O46" s="1997"/>
      <c r="P46" s="1997"/>
      <c r="Q46" s="1997"/>
      <c r="R46" s="1997"/>
      <c r="S46" s="1997"/>
      <c r="T46" s="1997"/>
      <c r="U46" s="1997"/>
      <c r="V46" s="1997"/>
      <c r="W46" s="1997"/>
      <c r="X46" s="1997"/>
      <c r="Y46" s="1997"/>
      <c r="Z46" s="1997"/>
      <c r="AA46" s="1997"/>
      <c r="AB46" s="1997"/>
      <c r="AC46" s="1997"/>
    </row>
    <row r="47" spans="1:29">
      <c r="A47" s="3146"/>
      <c r="B47" s="3146"/>
      <c r="C47" s="3146"/>
      <c r="D47" s="3146"/>
      <c r="E47" s="3146"/>
      <c r="F47" s="3146"/>
      <c r="G47" s="3146"/>
      <c r="H47" s="3146"/>
      <c r="I47" s="3146"/>
      <c r="J47" s="3146"/>
      <c r="K47" s="314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46"/>
      <c r="B48" s="3146"/>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46"/>
      <c r="B49" s="3146"/>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9"/>
      <c r="L49" s="2001"/>
      <c r="M49" s="1997"/>
      <c r="N49" s="1997"/>
      <c r="O49" s="1997"/>
      <c r="P49" s="1997"/>
      <c r="Q49" s="1997"/>
      <c r="R49" s="1997"/>
      <c r="S49" s="1997"/>
      <c r="T49" s="1997"/>
      <c r="U49" s="1997"/>
      <c r="V49" s="1997"/>
      <c r="W49" s="1997"/>
      <c r="X49" s="1997"/>
      <c r="Y49" s="1997"/>
      <c r="Z49" s="1997"/>
      <c r="AA49" s="1997"/>
      <c r="AB49" s="1997"/>
      <c r="AC49" s="1997"/>
    </row>
    <row r="50" spans="1:29" s="1270" customFormat="1" ht="13.5" customHeight="1">
      <c r="A50" s="3147"/>
      <c r="B50" s="3147"/>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0"/>
      <c r="L50" s="2004"/>
      <c r="M50" s="1998"/>
      <c r="N50" s="1998"/>
      <c r="O50" s="1998"/>
      <c r="P50" s="1998"/>
      <c r="Q50" s="1998"/>
      <c r="R50" s="1998"/>
      <c r="S50" s="1998"/>
      <c r="T50" s="1998"/>
      <c r="U50" s="1998"/>
      <c r="V50" s="1998"/>
      <c r="W50" s="1998"/>
      <c r="X50" s="1998"/>
      <c r="Y50" s="1998"/>
      <c r="Z50" s="1998"/>
      <c r="AA50" s="1998"/>
      <c r="AB50" s="1998"/>
      <c r="AC50" s="1998"/>
    </row>
    <row r="51" spans="1:29" s="1270" customFormat="1" ht="15" thickBot="1">
      <c r="A51" s="3147"/>
      <c r="B51" s="3158"/>
      <c r="C51" s="2002"/>
      <c r="D51" s="1998"/>
      <c r="E51" s="1998"/>
      <c r="F51" s="1998"/>
      <c r="G51" s="1998"/>
      <c r="H51" s="1998"/>
      <c r="I51" s="1998"/>
      <c r="J51" s="1998"/>
      <c r="K51" s="3150"/>
      <c r="L51" s="2004"/>
      <c r="M51" s="1998"/>
      <c r="N51" s="1998"/>
      <c r="O51" s="1998"/>
      <c r="P51" s="1998"/>
      <c r="Q51" s="1998"/>
      <c r="R51" s="1998"/>
      <c r="S51" s="1998"/>
      <c r="T51" s="1998"/>
      <c r="U51" s="1998"/>
      <c r="V51" s="1998"/>
      <c r="W51" s="1998"/>
      <c r="X51" s="1998"/>
      <c r="Y51" s="1998"/>
      <c r="Z51" s="1998"/>
      <c r="AA51" s="1998"/>
      <c r="AB51" s="1998"/>
      <c r="AC51" s="1998"/>
    </row>
    <row r="52" spans="1:29" ht="27">
      <c r="A52" s="604" t="s">
        <v>543</v>
      </c>
      <c r="B52" s="605" t="s">
        <v>544</v>
      </c>
      <c r="C52" s="1470" t="s">
        <v>1704</v>
      </c>
      <c r="D52" s="2077" t="s">
        <v>2265</v>
      </c>
      <c r="E52" s="606" t="s">
        <v>545</v>
      </c>
      <c r="F52" s="1836" t="s">
        <v>546</v>
      </c>
      <c r="G52" s="3661" t="s">
        <v>2257</v>
      </c>
      <c r="H52" s="3662"/>
      <c r="I52" s="1837" t="s">
        <v>1919</v>
      </c>
      <c r="J52" s="1466">
        <f>项目基本情况!F41</f>
        <v>0</v>
      </c>
      <c r="K52" s="2005" t="s">
        <v>1703</v>
      </c>
      <c r="L52" s="2001"/>
      <c r="M52" s="1997"/>
      <c r="N52" s="1997"/>
      <c r="O52" s="1997"/>
      <c r="P52" s="1997"/>
      <c r="Q52" s="1997"/>
      <c r="R52" s="1997"/>
      <c r="S52" s="1997"/>
      <c r="T52" s="1997"/>
      <c r="U52" s="1997"/>
      <c r="V52" s="1997"/>
      <c r="W52" s="1997"/>
      <c r="X52" s="1997"/>
      <c r="Y52" s="1997"/>
      <c r="Z52" s="1997"/>
      <c r="AA52" s="1997"/>
      <c r="AB52" s="1997"/>
      <c r="AC52" s="1997"/>
    </row>
    <row r="53" spans="1:29" s="1271" customFormat="1" ht="12.75">
      <c r="A53" s="608" t="s">
        <v>547</v>
      </c>
      <c r="B53" s="609" t="e">
        <f>C45</f>
        <v>#DIV/0!</v>
      </c>
      <c r="C53" s="610">
        <v>1</v>
      </c>
      <c r="D53" s="2078">
        <v>1</v>
      </c>
      <c r="E53" s="610">
        <f>'数据-汇总表'!E8+'数据-汇总表'!E9</f>
        <v>44088.19</v>
      </c>
      <c r="F53" s="1835" t="e">
        <f t="shared" ref="F53:F62" si="15">ROUND(B53*E53/10000,0)</f>
        <v>#DIV/0!</v>
      </c>
      <c r="G53" s="3663"/>
      <c r="H53" s="3664"/>
      <c r="I53" s="1838">
        <v>1</v>
      </c>
      <c r="J53" s="1467">
        <v>1</v>
      </c>
      <c r="K53" s="3151"/>
      <c r="L53" s="2006"/>
      <c r="M53" s="2006"/>
      <c r="N53" s="2006"/>
      <c r="O53" s="2006"/>
      <c r="P53" s="2006"/>
      <c r="Q53" s="2006"/>
      <c r="R53" s="2006"/>
      <c r="S53" s="2006"/>
      <c r="T53" s="2006"/>
      <c r="U53" s="2006"/>
      <c r="V53" s="2006"/>
      <c r="W53" s="2006"/>
      <c r="X53" s="2006"/>
      <c r="Y53" s="2006"/>
      <c r="Z53" s="2006"/>
      <c r="AA53" s="2006"/>
      <c r="AB53" s="2006"/>
      <c r="AC53" s="2006"/>
    </row>
    <row r="54" spans="1:29" s="1271" customFormat="1" ht="12.75">
      <c r="A54" s="612" t="s">
        <v>548</v>
      </c>
      <c r="B54" s="613" t="e">
        <f>ROUND($C$45*C54*D54,0)</f>
        <v>#DIV/0!</v>
      </c>
      <c r="C54" s="372">
        <f t="shared" ref="C54:C62" si="16">IF($C$52="北京市系数",I54,J54)</f>
        <v>0.6</v>
      </c>
      <c r="D54" s="2079">
        <v>0.25</v>
      </c>
      <c r="E54" s="614"/>
      <c r="F54" s="1835" t="e">
        <f t="shared" si="15"/>
        <v>#DIV/0!</v>
      </c>
      <c r="G54" s="3665" t="s">
        <v>2258</v>
      </c>
      <c r="H54" s="1839" t="str">
        <f>项目基本情况!B43</f>
        <v>八级</v>
      </c>
      <c r="I54" s="1838">
        <f>SUMIF(修正!$A$45:$A$56,H54,修正!B45:B56)</f>
        <v>0.6</v>
      </c>
      <c r="J54" s="1468"/>
      <c r="K54" s="3151"/>
      <c r="L54" s="2006"/>
      <c r="M54" s="2006"/>
      <c r="N54" s="2006"/>
      <c r="O54" s="2006"/>
      <c r="P54" s="2006"/>
      <c r="Q54" s="2006"/>
      <c r="R54" s="2006"/>
      <c r="S54" s="2006"/>
      <c r="T54" s="2006"/>
      <c r="U54" s="2006"/>
      <c r="V54" s="2006"/>
      <c r="W54" s="2006"/>
      <c r="X54" s="2006"/>
      <c r="Y54" s="2006"/>
      <c r="Z54" s="2006"/>
      <c r="AA54" s="2006"/>
      <c r="AB54" s="2006"/>
      <c r="AC54" s="2006"/>
    </row>
    <row r="55" spans="1:29" s="1271" customFormat="1" ht="12.75">
      <c r="A55" s="612" t="s">
        <v>549</v>
      </c>
      <c r="B55" s="613" t="e">
        <f t="shared" ref="B55:B62" si="17">ROUND($C$45*C55*D55,0)</f>
        <v>#DIV/0!</v>
      </c>
      <c r="C55" s="372">
        <f t="shared" si="16"/>
        <v>0.3</v>
      </c>
      <c r="D55" s="2079">
        <v>0.25</v>
      </c>
      <c r="E55" s="614"/>
      <c r="F55" s="1835" t="e">
        <f t="shared" si="15"/>
        <v>#DIV/0!</v>
      </c>
      <c r="G55" s="3665"/>
      <c r="H55" s="1840" t="str">
        <f>项目基本情况!B43</f>
        <v>八级</v>
      </c>
      <c r="I55" s="1838">
        <f>SUMIF(修正!$A$45:$A$56,H55,修正!C45:C56)</f>
        <v>0.3</v>
      </c>
      <c r="J55" s="1468"/>
      <c r="K55" s="3151"/>
      <c r="L55" s="2006"/>
      <c r="M55" s="2006"/>
      <c r="N55" s="2006"/>
      <c r="O55" s="2006"/>
      <c r="P55" s="2006"/>
      <c r="Q55" s="2006"/>
      <c r="R55" s="2006"/>
      <c r="S55" s="2006"/>
      <c r="T55" s="2006"/>
      <c r="U55" s="2006"/>
      <c r="V55" s="2006"/>
      <c r="W55" s="2006"/>
      <c r="X55" s="2006"/>
      <c r="Y55" s="2006"/>
      <c r="Z55" s="2006"/>
      <c r="AA55" s="2006"/>
      <c r="AB55" s="2006"/>
      <c r="AC55" s="2006"/>
    </row>
    <row r="56" spans="1:29" s="1271" customFormat="1" ht="12.75">
      <c r="A56" s="612" t="s">
        <v>550</v>
      </c>
      <c r="B56" s="613" t="e">
        <f t="shared" si="17"/>
        <v>#DIV/0!</v>
      </c>
      <c r="C56" s="372">
        <f t="shared" si="16"/>
        <v>0.2</v>
      </c>
      <c r="D56" s="2079">
        <v>0.25</v>
      </c>
      <c r="E56" s="614"/>
      <c r="F56" s="1835" t="e">
        <f t="shared" si="15"/>
        <v>#DIV/0!</v>
      </c>
      <c r="G56" s="3665"/>
      <c r="H56" s="1840" t="str">
        <f>项目基本情况!B43</f>
        <v>八级</v>
      </c>
      <c r="I56" s="1838">
        <f>SUMIF(修正!$A$45:$A$56,H56,修正!D45:D56)</f>
        <v>0.2</v>
      </c>
      <c r="J56" s="1468"/>
      <c r="K56" s="3151"/>
      <c r="L56" s="2006"/>
      <c r="M56" s="2006"/>
      <c r="N56" s="2006"/>
      <c r="O56" s="2006"/>
      <c r="P56" s="2006"/>
      <c r="Q56" s="2006"/>
      <c r="R56" s="2006"/>
      <c r="S56" s="2006"/>
      <c r="T56" s="2006"/>
      <c r="U56" s="2006"/>
      <c r="V56" s="2006"/>
      <c r="W56" s="2006"/>
      <c r="X56" s="2006"/>
      <c r="Y56" s="2006"/>
      <c r="Z56" s="2006"/>
      <c r="AA56" s="2006"/>
      <c r="AB56" s="2006"/>
      <c r="AC56" s="2006"/>
    </row>
    <row r="57" spans="1:29" s="1271" customFormat="1" ht="12.75">
      <c r="A57" s="612" t="s">
        <v>551</v>
      </c>
      <c r="B57" s="613" t="e">
        <f t="shared" si="17"/>
        <v>#DIV/0!</v>
      </c>
      <c r="C57" s="372">
        <f t="shared" si="16"/>
        <v>0.2</v>
      </c>
      <c r="D57" s="2079">
        <v>0.25</v>
      </c>
      <c r="E57" s="614"/>
      <c r="F57" s="1835" t="e">
        <f t="shared" si="15"/>
        <v>#DIV/0!</v>
      </c>
      <c r="G57" s="3665"/>
      <c r="H57" s="1840" t="str">
        <f>项目基本情况!B43</f>
        <v>八级</v>
      </c>
      <c r="I57" s="1838">
        <f>SUMIF(修正!$A$45:$A$56,H57,修正!E45:E56)</f>
        <v>0.2</v>
      </c>
      <c r="J57" s="1468"/>
      <c r="K57" s="3151"/>
      <c r="L57" s="2006"/>
      <c r="M57" s="2006"/>
      <c r="N57" s="2006"/>
      <c r="O57" s="2006"/>
      <c r="P57" s="2006"/>
      <c r="Q57" s="2006"/>
      <c r="R57" s="2006"/>
      <c r="S57" s="2006"/>
      <c r="T57" s="2006"/>
      <c r="U57" s="2006"/>
      <c r="V57" s="2006"/>
      <c r="W57" s="2006"/>
      <c r="X57" s="2006"/>
      <c r="Y57" s="2006"/>
      <c r="Z57" s="2006"/>
      <c r="AA57" s="2006"/>
      <c r="AB57" s="2006"/>
      <c r="AC57" s="2006"/>
    </row>
    <row r="58" spans="1:29" s="1271" customFormat="1" ht="12.75">
      <c r="A58" s="2181" t="s">
        <v>2300</v>
      </c>
      <c r="B58" s="613" t="e">
        <f t="shared" si="17"/>
        <v>#DIV/0!</v>
      </c>
      <c r="C58" s="372">
        <f t="shared" si="16"/>
        <v>0.2</v>
      </c>
      <c r="D58" s="2079">
        <v>0.25</v>
      </c>
      <c r="E58" s="616">
        <f>'数据-汇总表'!E11</f>
        <v>50</v>
      </c>
      <c r="F58" s="1835" t="e">
        <f t="shared" si="15"/>
        <v>#DIV/0!</v>
      </c>
      <c r="G58" s="1841" t="s">
        <v>2259</v>
      </c>
      <c r="H58" s="1840" t="str">
        <f>项目基本情况!C43</f>
        <v>八级</v>
      </c>
      <c r="I58" s="1838">
        <f>SUMIF(修正!$A$45:$A$56,H58,修正!F45:F56)</f>
        <v>0.2</v>
      </c>
      <c r="J58" s="1468"/>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552</v>
      </c>
      <c r="B59" s="613" t="e">
        <f t="shared" si="17"/>
        <v>#DIV/0!</v>
      </c>
      <c r="C59" s="372">
        <f t="shared" si="16"/>
        <v>0.2</v>
      </c>
      <c r="D59" s="2079">
        <v>0.25</v>
      </c>
      <c r="E59" s="616">
        <f>'数据-汇总表'!E12</f>
        <v>3005.41</v>
      </c>
      <c r="F59" s="1835" t="e">
        <f t="shared" si="15"/>
        <v>#DIV/0!</v>
      </c>
      <c r="G59" s="1831" t="s">
        <v>1657</v>
      </c>
      <c r="H59" s="1839" t="str">
        <f>IF(G59="商业",项目基本情况!B43,IF(G59="办公",项目基本情况!C43,IF(G59="住宅",项目基本情况!D43,项目基本情况!E43)))</f>
        <v>八级</v>
      </c>
      <c r="I59" s="1838">
        <f>SUMIF(修正!$A$45:$A$56,H59,修正!G45:G56)</f>
        <v>0.2</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553</v>
      </c>
      <c r="B60" s="613" t="e">
        <f t="shared" si="17"/>
        <v>#DIV/0!</v>
      </c>
      <c r="C60" s="372">
        <f t="shared" si="16"/>
        <v>0.15</v>
      </c>
      <c r="D60" s="2079">
        <v>0.25</v>
      </c>
      <c r="E60" s="616">
        <f>'数据-汇总表'!E13</f>
        <v>11890.43</v>
      </c>
      <c r="F60" s="1835" t="e">
        <f t="shared" si="15"/>
        <v>#DIV/0!</v>
      </c>
      <c r="G60" s="1831" t="s">
        <v>903</v>
      </c>
      <c r="H60" s="1839" t="str">
        <f>IF(G60="商业",项目基本情况!B43,IF(G60="办公",项目基本情况!C43,IF(G60="住宅",项目基本情况!D43,项目基本情况!E43)))</f>
        <v>八级</v>
      </c>
      <c r="I60" s="1838">
        <f>SUMIF(修正!$A$45:$A$56,H60,修正!H45:H56)</f>
        <v>0.15</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554</v>
      </c>
      <c r="B61" s="613" t="e">
        <f t="shared" si="17"/>
        <v>#DIV/0!</v>
      </c>
      <c r="C61" s="372">
        <f t="shared" si="16"/>
        <v>0.15</v>
      </c>
      <c r="D61" s="2079">
        <v>0.25</v>
      </c>
      <c r="E61" s="616">
        <f>'数据-汇总表'!E14</f>
        <v>0</v>
      </c>
      <c r="F61" s="1835" t="e">
        <f t="shared" si="15"/>
        <v>#DIV/0!</v>
      </c>
      <c r="G61" s="1841" t="s">
        <v>2258</v>
      </c>
      <c r="H61" s="1840" t="str">
        <f>项目基本情况!B43</f>
        <v>八级</v>
      </c>
      <c r="I61" s="1838">
        <f>SUMIF(修正!$A$45:$A$56,H61,修正!H45:H56)</f>
        <v>0.15</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3.5" thickBot="1">
      <c r="A62" s="612" t="s">
        <v>555</v>
      </c>
      <c r="B62" s="613" t="e">
        <f t="shared" si="17"/>
        <v>#DIV/0!</v>
      </c>
      <c r="C62" s="372">
        <f t="shared" si="16"/>
        <v>0.15</v>
      </c>
      <c r="D62" s="2079">
        <v>0.25</v>
      </c>
      <c r="E62" s="616">
        <f>'数据-汇总表'!E15</f>
        <v>0</v>
      </c>
      <c r="F62" s="1835" t="e">
        <f t="shared" si="15"/>
        <v>#DIV/0!</v>
      </c>
      <c r="G62" s="1842" t="s">
        <v>2259</v>
      </c>
      <c r="H62" s="1843" t="str">
        <f>项目基本情况!C43</f>
        <v>八级</v>
      </c>
      <c r="I62" s="1838">
        <f>SUMIF(修正!$A$45:$A$56,H62,修正!H45:H56)</f>
        <v>0.15</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3.5" thickBot="1">
      <c r="A63" s="617" t="s">
        <v>556</v>
      </c>
      <c r="B63" s="618" t="s">
        <v>17</v>
      </c>
      <c r="C63" s="618" t="s">
        <v>18</v>
      </c>
      <c r="D63" s="618" t="s">
        <v>2266</v>
      </c>
      <c r="E63" s="618">
        <f>IF(B43="楼面地价",SUM(E53:E62),'数据-汇总表'!D3)</f>
        <v>20797.28</v>
      </c>
      <c r="F63" s="619" t="e">
        <f>IF(B43="楼面地价",SUM(F53:F62),ROUND(C45*E63/10000,0))</f>
        <v>#DIV/0!</v>
      </c>
      <c r="G63" s="2007"/>
      <c r="H63" s="2007"/>
      <c r="I63" s="2007"/>
      <c r="J63" s="2007"/>
      <c r="K63" s="315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55" t="str">
        <f>YEAR(C9)&amp;"-"&amp;MONTH(C9)&amp;"-1"</f>
        <v>2022-3-1</v>
      </c>
      <c r="D65" s="2454">
        <f>EDATE(C65,-3)</f>
        <v>44531</v>
      </c>
      <c r="E65" s="2454">
        <f t="shared" ref="E65:N65" si="18">EDATE(D65,-3)</f>
        <v>44440</v>
      </c>
      <c r="F65" s="2454">
        <f t="shared" si="18"/>
        <v>44348</v>
      </c>
      <c r="G65" s="2454">
        <f t="shared" si="18"/>
        <v>44256</v>
      </c>
      <c r="H65" s="2454">
        <f t="shared" si="18"/>
        <v>44166</v>
      </c>
      <c r="I65" s="2454">
        <f t="shared" si="18"/>
        <v>44075</v>
      </c>
      <c r="J65" s="2454">
        <f t="shared" si="18"/>
        <v>43983</v>
      </c>
      <c r="K65" s="2454">
        <f t="shared" si="18"/>
        <v>43891</v>
      </c>
      <c r="L65" s="2454">
        <f t="shared" si="18"/>
        <v>43800</v>
      </c>
      <c r="M65" s="2454">
        <f t="shared" si="18"/>
        <v>43709</v>
      </c>
      <c r="N65" s="2454">
        <f t="shared" si="18"/>
        <v>43617</v>
      </c>
      <c r="O65" s="1997"/>
      <c r="P65" s="1997"/>
      <c r="Q65" s="1997"/>
      <c r="R65" s="1997"/>
      <c r="S65" s="1997"/>
      <c r="T65" s="1997"/>
      <c r="U65" s="1997"/>
      <c r="V65" s="1997"/>
      <c r="W65" s="1997"/>
      <c r="X65" s="1997"/>
      <c r="Y65" s="1997"/>
      <c r="Z65" s="1997"/>
      <c r="AA65" s="1997"/>
      <c r="AB65" s="1997"/>
      <c r="AC65" s="1997"/>
    </row>
    <row r="66" spans="1:29" ht="21.75" thickBot="1">
      <c r="A66" s="1491" t="s">
        <v>557</v>
      </c>
      <c r="B66" s="1469"/>
      <c r="C66" s="1490"/>
      <c r="D66" s="1490"/>
      <c r="E66" s="1490"/>
      <c r="F66" s="1492"/>
      <c r="G66" s="1492"/>
      <c r="H66" s="1490"/>
      <c r="I66" s="1490"/>
      <c r="J66" s="1490"/>
      <c r="K66" s="1493"/>
      <c r="L66" s="1489"/>
      <c r="M66" s="1490"/>
      <c r="N66" s="1490"/>
      <c r="O66" s="2008"/>
      <c r="P66" s="2008"/>
      <c r="Q66" s="2009"/>
      <c r="R66" s="1997"/>
      <c r="S66" s="1997"/>
      <c r="T66" s="1997"/>
      <c r="U66" s="1997"/>
      <c r="V66" s="1997"/>
      <c r="W66" s="1997"/>
      <c r="X66" s="1997"/>
      <c r="Y66" s="1997"/>
      <c r="Z66" s="1997"/>
      <c r="AA66" s="1997"/>
      <c r="AB66" s="1997"/>
      <c r="AC66" s="1997"/>
    </row>
    <row r="67" spans="1:29" s="1272" customFormat="1" ht="15">
      <c r="A67" s="2359" t="s">
        <v>2433</v>
      </c>
      <c r="B67" s="621"/>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0"/>
      <c r="P67" s="2011"/>
      <c r="Q67" s="2012"/>
      <c r="R67" s="2012"/>
      <c r="S67" s="2012"/>
      <c r="T67" s="2012"/>
      <c r="U67" s="2012"/>
      <c r="V67" s="2012"/>
      <c r="W67" s="2012"/>
      <c r="X67" s="2012"/>
      <c r="Y67" s="2012"/>
      <c r="Z67" s="2012"/>
      <c r="AA67" s="2012"/>
      <c r="AB67" s="2012"/>
      <c r="AC67" s="2012"/>
    </row>
    <row r="68" spans="1:29" s="1183" customFormat="1" ht="27.75" customHeight="1">
      <c r="A68" s="2453" t="s">
        <v>2548</v>
      </c>
      <c r="B68" s="472" t="str">
        <f>"北京市平均增长率"&amp;TEXT(基准地价!P24,"0.00%")</f>
        <v>北京市平均增长率1.20%</v>
      </c>
      <c r="C68" s="863">
        <v>100</v>
      </c>
      <c r="D68" s="705"/>
      <c r="E68" s="705"/>
      <c r="F68" s="705"/>
      <c r="G68" s="705"/>
      <c r="H68" s="705"/>
      <c r="I68" s="705"/>
      <c r="J68" s="705"/>
      <c r="K68" s="705"/>
      <c r="L68" s="705"/>
      <c r="M68" s="2449"/>
      <c r="N68" s="2450"/>
      <c r="O68" s="2013"/>
      <c r="P68" s="2009"/>
      <c r="Q68" s="1875"/>
      <c r="R68" s="1875"/>
      <c r="S68" s="1875"/>
      <c r="T68" s="1875"/>
      <c r="U68" s="1875"/>
      <c r="V68" s="1875"/>
      <c r="W68" s="1875"/>
      <c r="X68" s="1875"/>
      <c r="Y68" s="1875"/>
      <c r="Z68" s="1875"/>
      <c r="AA68" s="1875"/>
      <c r="AB68" s="1875"/>
      <c r="AC68" s="1875"/>
    </row>
    <row r="69" spans="1:29" s="1183" customFormat="1" ht="15.75" thickBot="1">
      <c r="A69" s="628" t="s">
        <v>558</v>
      </c>
      <c r="B69" s="629"/>
      <c r="C69" s="2447"/>
      <c r="D69" s="2448"/>
      <c r="E69" s="2448"/>
      <c r="F69" s="2448"/>
      <c r="G69" s="2448"/>
      <c r="H69" s="2448"/>
      <c r="I69" s="2448"/>
      <c r="J69" s="2448"/>
      <c r="K69" s="2448"/>
      <c r="L69" s="2448"/>
      <c r="M69" s="2448"/>
      <c r="N69" s="2448"/>
      <c r="O69" s="2013"/>
      <c r="P69" s="2009"/>
      <c r="Q69" s="2009"/>
      <c r="R69" s="1875"/>
      <c r="S69" s="1875"/>
      <c r="T69" s="1875"/>
      <c r="U69" s="1875"/>
      <c r="V69" s="1875"/>
      <c r="W69" s="1875"/>
      <c r="X69" s="1875"/>
      <c r="Y69" s="1875"/>
      <c r="Z69" s="1875"/>
      <c r="AA69" s="1875"/>
      <c r="AB69" s="1875"/>
      <c r="AC69" s="1875"/>
    </row>
    <row r="70" spans="1:29" s="1183" customFormat="1" ht="15">
      <c r="A70" s="634" t="s">
        <v>514</v>
      </c>
      <c r="B70" s="623"/>
      <c r="C70" s="635" t="s">
        <v>559</v>
      </c>
      <c r="D70" s="636"/>
      <c r="E70" s="636"/>
      <c r="F70" s="636"/>
      <c r="G70" s="636"/>
      <c r="H70" s="636"/>
      <c r="I70" s="636"/>
      <c r="J70" s="636"/>
      <c r="K70" s="636"/>
      <c r="L70" s="637"/>
      <c r="M70" s="638"/>
      <c r="N70" s="3160"/>
      <c r="O70" s="2013"/>
      <c r="P70" s="2014"/>
      <c r="Q70" s="2009"/>
      <c r="R70" s="1875"/>
      <c r="S70" s="1875"/>
      <c r="T70" s="1875"/>
      <c r="U70" s="1875"/>
      <c r="V70" s="1875"/>
      <c r="W70" s="1875"/>
      <c r="X70" s="1875"/>
      <c r="Y70" s="1875"/>
      <c r="Z70" s="1875"/>
      <c r="AA70" s="1875"/>
      <c r="AB70" s="1875"/>
      <c r="AC70" s="1875"/>
    </row>
    <row r="71" spans="1:29" s="1183" customFormat="1" ht="15.75" thickBot="1">
      <c r="A71" s="634"/>
      <c r="B71" s="623"/>
      <c r="C71" s="624">
        <v>100</v>
      </c>
      <c r="D71" s="625"/>
      <c r="E71" s="625"/>
      <c r="F71" s="625"/>
      <c r="G71" s="625"/>
      <c r="H71" s="625"/>
      <c r="I71" s="625"/>
      <c r="J71" s="625"/>
      <c r="K71" s="625"/>
      <c r="L71" s="625"/>
      <c r="M71" s="627"/>
      <c r="N71" s="3160"/>
      <c r="O71" s="2013"/>
      <c r="P71" s="2009"/>
      <c r="Q71" s="2009"/>
      <c r="R71" s="1875"/>
      <c r="S71" s="1875"/>
      <c r="T71" s="1875"/>
      <c r="U71" s="1875"/>
      <c r="V71" s="1875"/>
      <c r="W71" s="1875"/>
      <c r="X71" s="1875"/>
      <c r="Y71" s="1875"/>
      <c r="Z71" s="1875"/>
      <c r="AA71" s="1875"/>
      <c r="AB71" s="1875"/>
      <c r="AC71" s="1875"/>
    </row>
    <row r="72" spans="1:29">
      <c r="A72" s="639" t="s">
        <v>560</v>
      </c>
      <c r="B72" s="640" t="s">
        <v>517</v>
      </c>
      <c r="C72" s="575"/>
      <c r="D72" s="575"/>
      <c r="E72" s="575"/>
      <c r="F72" s="575"/>
      <c r="G72" s="575"/>
      <c r="H72" s="575"/>
      <c r="I72" s="575"/>
      <c r="J72" s="575"/>
      <c r="K72" s="641"/>
      <c r="L72" s="642"/>
      <c r="M72" s="643"/>
      <c r="N72" s="3161"/>
      <c r="O72" s="2015"/>
      <c r="P72" s="2016"/>
      <c r="Q72" s="2009"/>
      <c r="R72" s="1997"/>
      <c r="S72" s="1997"/>
      <c r="T72" s="1997"/>
      <c r="U72" s="1997"/>
      <c r="V72" s="1997"/>
      <c r="W72" s="1997"/>
      <c r="X72" s="1997"/>
      <c r="Y72" s="1997"/>
      <c r="Z72" s="1997"/>
      <c r="AA72" s="1997"/>
      <c r="AB72" s="1997"/>
      <c r="AC72" s="1997"/>
    </row>
    <row r="73" spans="1:29" ht="15.75" thickBot="1">
      <c r="A73" s="644"/>
      <c r="B73" s="645"/>
      <c r="C73" s="646"/>
      <c r="D73" s="646"/>
      <c r="E73" s="646"/>
      <c r="F73" s="646"/>
      <c r="G73" s="646"/>
      <c r="H73" s="646"/>
      <c r="I73" s="646"/>
      <c r="J73" s="646"/>
      <c r="K73" s="646"/>
      <c r="L73" s="646"/>
      <c r="M73" s="647"/>
      <c r="N73" s="3162"/>
      <c r="O73" s="2017"/>
      <c r="P73" s="2016"/>
      <c r="Q73" s="2009"/>
      <c r="R73" s="1997"/>
      <c r="S73" s="1997"/>
      <c r="T73" s="1997"/>
      <c r="U73" s="1997"/>
      <c r="V73" s="1997"/>
      <c r="W73" s="1997"/>
      <c r="X73" s="1997"/>
      <c r="Y73" s="1997"/>
      <c r="Z73" s="1997"/>
      <c r="AA73" s="1997"/>
      <c r="AB73" s="1997"/>
      <c r="AC73" s="1997"/>
    </row>
    <row r="74" spans="1:29" ht="27.75" thickTop="1">
      <c r="A74" s="644"/>
      <c r="B74" s="648" t="s">
        <v>520</v>
      </c>
      <c r="C74" s="649"/>
      <c r="D74" s="649"/>
      <c r="E74" s="649"/>
      <c r="F74" s="649"/>
      <c r="G74" s="649"/>
      <c r="H74" s="649"/>
      <c r="I74" s="649"/>
      <c r="J74" s="649"/>
      <c r="K74" s="650"/>
      <c r="L74" s="651"/>
      <c r="M74" s="652"/>
      <c r="N74" s="3161"/>
      <c r="O74" s="2015"/>
      <c r="P74" s="2016"/>
      <c r="Q74" s="2009"/>
      <c r="R74" s="1997"/>
      <c r="S74" s="1997"/>
      <c r="T74" s="1997"/>
      <c r="U74" s="1997"/>
      <c r="V74" s="1997"/>
      <c r="W74" s="1997"/>
      <c r="X74" s="1997"/>
      <c r="Y74" s="1997"/>
      <c r="Z74" s="1997"/>
      <c r="AA74" s="1997"/>
      <c r="AB74" s="1997"/>
      <c r="AC74" s="1997"/>
    </row>
    <row r="75" spans="1:29" ht="15.75" thickBot="1">
      <c r="A75" s="644"/>
      <c r="B75" s="653"/>
      <c r="C75" s="654"/>
      <c r="D75" s="654"/>
      <c r="E75" s="654"/>
      <c r="F75" s="654"/>
      <c r="G75" s="654"/>
      <c r="H75" s="654"/>
      <c r="I75" s="654"/>
      <c r="J75" s="654"/>
      <c r="K75" s="654"/>
      <c r="L75" s="654"/>
      <c r="M75" s="655"/>
      <c r="N75" s="3162"/>
      <c r="O75" s="2017"/>
      <c r="P75" s="2016"/>
      <c r="Q75" s="2009"/>
      <c r="R75" s="1997"/>
      <c r="S75" s="1997"/>
      <c r="T75" s="1997"/>
      <c r="U75" s="1997"/>
      <c r="V75" s="1997"/>
      <c r="W75" s="1997"/>
      <c r="X75" s="1997"/>
      <c r="Y75" s="1997"/>
      <c r="Z75" s="1997"/>
      <c r="AA75" s="1997"/>
      <c r="AB75" s="1997"/>
      <c r="AC75" s="1997"/>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2"/>
      <c r="O76" s="2017"/>
      <c r="P76" s="2016"/>
      <c r="Q76" s="2009"/>
      <c r="R76" s="1997"/>
      <c r="S76" s="1997"/>
      <c r="T76" s="1997"/>
      <c r="U76" s="1997"/>
      <c r="V76" s="1997"/>
      <c r="W76" s="1997"/>
      <c r="X76" s="1997"/>
      <c r="Y76" s="1997"/>
      <c r="Z76" s="1997"/>
      <c r="AA76" s="1997"/>
      <c r="AB76" s="1997"/>
      <c r="AC76" s="1997"/>
    </row>
    <row r="77" spans="1:29" ht="15">
      <c r="A77" s="644"/>
      <c r="B77" s="658"/>
      <c r="C77" s="518"/>
      <c r="D77" s="518"/>
      <c r="E77" s="518"/>
      <c r="F77" s="518"/>
      <c r="G77" s="518"/>
      <c r="H77" s="518"/>
      <c r="I77" s="518"/>
      <c r="J77" s="518"/>
      <c r="K77" s="659"/>
      <c r="L77" s="660"/>
      <c r="M77" s="661"/>
      <c r="N77" s="3161"/>
      <c r="O77" s="2015"/>
      <c r="P77" s="2016"/>
      <c r="Q77" s="2009"/>
      <c r="R77" s="1997"/>
      <c r="S77" s="1997"/>
      <c r="T77" s="1997"/>
      <c r="U77" s="1997"/>
      <c r="V77" s="1997"/>
      <c r="W77" s="1997"/>
      <c r="X77" s="1997"/>
      <c r="Y77" s="1997"/>
      <c r="Z77" s="1997"/>
      <c r="AA77" s="1997"/>
      <c r="AB77" s="1997"/>
      <c r="AC77" s="1997"/>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2"/>
      <c r="O78" s="2017"/>
      <c r="P78" s="2016"/>
      <c r="Q78" s="2009"/>
      <c r="R78" s="1997"/>
      <c r="S78" s="1997"/>
      <c r="T78" s="1997"/>
      <c r="U78" s="1997"/>
      <c r="V78" s="1997"/>
      <c r="W78" s="1997"/>
      <c r="X78" s="1997"/>
      <c r="Y78" s="1997"/>
      <c r="Z78" s="1997"/>
      <c r="AA78" s="1997"/>
      <c r="AB78" s="1997"/>
      <c r="AC78" s="1997"/>
    </row>
    <row r="79" spans="1:29" s="1265" customFormat="1" ht="15.75" thickTop="1">
      <c r="A79" s="662"/>
      <c r="B79" s="648">
        <f>B14</f>
        <v>111</v>
      </c>
      <c r="C79" s="663"/>
      <c r="D79" s="663"/>
      <c r="E79" s="663"/>
      <c r="F79" s="663"/>
      <c r="G79" s="663"/>
      <c r="H79" s="664"/>
      <c r="I79" s="664"/>
      <c r="J79" s="664"/>
      <c r="K79" s="664"/>
      <c r="L79" s="665"/>
      <c r="M79" s="666"/>
      <c r="N79" s="3163"/>
      <c r="O79" s="2018"/>
      <c r="P79" s="2019"/>
      <c r="Q79" s="2020"/>
      <c r="R79" s="2021"/>
      <c r="S79" s="2021"/>
      <c r="T79" s="2021"/>
      <c r="U79" s="2021"/>
      <c r="V79" s="2021"/>
      <c r="W79" s="2021"/>
      <c r="X79" s="2021"/>
      <c r="Y79" s="2021"/>
      <c r="Z79" s="2021"/>
      <c r="AA79" s="2021"/>
      <c r="AB79" s="2021"/>
      <c r="AC79" s="2021"/>
    </row>
    <row r="80" spans="1:29" s="1265" customFormat="1" ht="15.75" thickBot="1">
      <c r="A80" s="662"/>
      <c r="B80" s="653"/>
      <c r="C80" s="667"/>
      <c r="D80" s="646"/>
      <c r="E80" s="646"/>
      <c r="F80" s="646"/>
      <c r="G80" s="646"/>
      <c r="H80" s="646"/>
      <c r="I80" s="646"/>
      <c r="J80" s="646"/>
      <c r="K80" s="646"/>
      <c r="L80" s="646"/>
      <c r="M80" s="647"/>
      <c r="N80" s="3162"/>
      <c r="O80" s="2017"/>
      <c r="P80" s="2019"/>
      <c r="Q80" s="2020"/>
      <c r="R80" s="2021"/>
      <c r="S80" s="2021"/>
      <c r="T80" s="2021"/>
      <c r="U80" s="2021"/>
      <c r="V80" s="2021"/>
      <c r="W80" s="2021"/>
      <c r="X80" s="2021"/>
      <c r="Y80" s="2021"/>
      <c r="Z80" s="2021"/>
      <c r="AA80" s="2021"/>
      <c r="AB80" s="2021"/>
      <c r="AC80" s="2021"/>
    </row>
    <row r="81" spans="1:29" s="1265" customFormat="1" ht="15.75" thickTop="1">
      <c r="A81" s="662"/>
      <c r="B81" s="648">
        <f>B15</f>
        <v>111</v>
      </c>
      <c r="C81" s="663"/>
      <c r="D81" s="663"/>
      <c r="E81" s="663"/>
      <c r="F81" s="663"/>
      <c r="G81" s="663"/>
      <c r="H81" s="664"/>
      <c r="I81" s="664"/>
      <c r="J81" s="664"/>
      <c r="K81" s="664"/>
      <c r="L81" s="665"/>
      <c r="M81" s="666"/>
      <c r="N81" s="3163"/>
      <c r="O81" s="2018"/>
      <c r="P81" s="2022"/>
      <c r="Q81" s="2023"/>
      <c r="R81" s="2021"/>
      <c r="S81" s="2021"/>
      <c r="T81" s="2021"/>
      <c r="U81" s="2021"/>
      <c r="V81" s="2021"/>
      <c r="W81" s="2021"/>
      <c r="X81" s="2021"/>
      <c r="Y81" s="2021"/>
      <c r="Z81" s="2021"/>
      <c r="AA81" s="2021"/>
      <c r="AB81" s="2021"/>
      <c r="AC81" s="2021"/>
    </row>
    <row r="82" spans="1:29" s="1265" customFormat="1" ht="15.75" thickBot="1">
      <c r="A82" s="662"/>
      <c r="B82" s="653"/>
      <c r="C82" s="667"/>
      <c r="D82" s="667"/>
      <c r="E82" s="667"/>
      <c r="F82" s="667"/>
      <c r="G82" s="667"/>
      <c r="H82" s="668"/>
      <c r="I82" s="668"/>
      <c r="J82" s="668"/>
      <c r="K82" s="668"/>
      <c r="L82" s="668"/>
      <c r="M82" s="669"/>
      <c r="N82" s="3163"/>
      <c r="O82" s="2018"/>
      <c r="P82" s="2019"/>
      <c r="Q82" s="2020"/>
      <c r="R82" s="2021"/>
      <c r="S82" s="2021"/>
      <c r="T82" s="2021"/>
      <c r="U82" s="2021"/>
      <c r="V82" s="2021"/>
      <c r="W82" s="2021"/>
      <c r="X82" s="2021"/>
      <c r="Y82" s="2021"/>
      <c r="Z82" s="2021"/>
      <c r="AA82" s="2021"/>
      <c r="AB82" s="2021"/>
      <c r="AC82" s="2021"/>
    </row>
    <row r="83" spans="1:29" s="1265" customFormat="1" ht="15.75" thickTop="1">
      <c r="A83" s="662"/>
      <c r="B83" s="656">
        <f>B16</f>
        <v>111</v>
      </c>
      <c r="C83" s="636"/>
      <c r="D83" s="636"/>
      <c r="E83" s="636"/>
      <c r="F83" s="636"/>
      <c r="G83" s="636"/>
      <c r="H83" s="670"/>
      <c r="I83" s="670"/>
      <c r="J83" s="670"/>
      <c r="K83" s="670"/>
      <c r="L83" s="671"/>
      <c r="M83" s="672"/>
      <c r="N83" s="3163"/>
      <c r="O83" s="2018"/>
      <c r="P83" s="2024"/>
      <c r="Q83" s="2020"/>
      <c r="R83" s="2021"/>
      <c r="S83" s="2021"/>
      <c r="T83" s="2021"/>
      <c r="U83" s="2021"/>
      <c r="V83" s="2021"/>
      <c r="W83" s="2021"/>
      <c r="X83" s="2021"/>
      <c r="Y83" s="2021"/>
      <c r="Z83" s="2021"/>
      <c r="AA83" s="2021"/>
      <c r="AB83" s="2021"/>
      <c r="AC83" s="2021"/>
    </row>
    <row r="84" spans="1:29" s="1265" customFormat="1" ht="15.75" thickBot="1">
      <c r="A84" s="673"/>
      <c r="B84" s="674"/>
      <c r="C84" s="675"/>
      <c r="D84" s="675"/>
      <c r="E84" s="675"/>
      <c r="F84" s="675"/>
      <c r="G84" s="675"/>
      <c r="H84" s="676"/>
      <c r="I84" s="676"/>
      <c r="J84" s="676"/>
      <c r="K84" s="676"/>
      <c r="L84" s="676"/>
      <c r="M84" s="677"/>
      <c r="N84" s="3163"/>
      <c r="O84" s="2018"/>
      <c r="P84" s="2019"/>
      <c r="Q84" s="2020"/>
      <c r="R84" s="2021"/>
      <c r="S84" s="2021"/>
      <c r="T84" s="2021"/>
      <c r="U84" s="2021"/>
      <c r="V84" s="2021"/>
      <c r="W84" s="2021"/>
      <c r="X84" s="2021"/>
      <c r="Y84" s="2021"/>
      <c r="Z84" s="2021"/>
      <c r="AA84" s="2021"/>
      <c r="AB84" s="2021"/>
      <c r="AC84" s="2021"/>
    </row>
    <row r="85" spans="1:29">
      <c r="A85" s="639" t="s">
        <v>522</v>
      </c>
      <c r="B85" s="640" t="s">
        <v>585</v>
      </c>
      <c r="C85" s="678" t="s">
        <v>562</v>
      </c>
      <c r="D85" s="678" t="s">
        <v>563</v>
      </c>
      <c r="E85" s="678" t="s">
        <v>564</v>
      </c>
      <c r="F85" s="678" t="s">
        <v>565</v>
      </c>
      <c r="G85" s="678" t="s">
        <v>566</v>
      </c>
      <c r="H85" s="679"/>
      <c r="I85" s="679"/>
      <c r="J85" s="679"/>
      <c r="K85" s="680"/>
      <c r="L85" s="681"/>
      <c r="M85" s="682"/>
      <c r="N85" s="3161"/>
      <c r="O85" s="2015"/>
      <c r="P85" s="2025"/>
      <c r="Q85" s="2009"/>
      <c r="R85" s="1997"/>
      <c r="S85" s="1997"/>
      <c r="T85" s="1997"/>
      <c r="U85" s="1997"/>
      <c r="V85" s="1997"/>
      <c r="W85" s="1997"/>
      <c r="X85" s="1997"/>
      <c r="Y85" s="1997"/>
      <c r="Z85" s="1997"/>
      <c r="AA85" s="1997"/>
      <c r="AB85" s="1997"/>
      <c r="AC85" s="1997"/>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2"/>
      <c r="O86" s="2017"/>
      <c r="P86" s="2016"/>
      <c r="Q86" s="2009"/>
      <c r="R86" s="1997"/>
      <c r="S86" s="1997"/>
      <c r="T86" s="1997"/>
      <c r="U86" s="1997"/>
      <c r="V86" s="1997"/>
      <c r="W86" s="1997"/>
      <c r="X86" s="1997"/>
      <c r="Y86" s="1997"/>
      <c r="Z86" s="1997"/>
      <c r="AA86" s="1997"/>
      <c r="AB86" s="1997"/>
      <c r="AC86" s="1997"/>
    </row>
    <row r="87" spans="1:29" ht="15.75" thickTop="1">
      <c r="A87" s="644"/>
      <c r="B87" s="648" t="s">
        <v>569</v>
      </c>
      <c r="C87" s="683" t="s">
        <v>562</v>
      </c>
      <c r="D87" s="683" t="s">
        <v>563</v>
      </c>
      <c r="E87" s="683" t="s">
        <v>564</v>
      </c>
      <c r="F87" s="683" t="s">
        <v>565</v>
      </c>
      <c r="G87" s="683" t="s">
        <v>566</v>
      </c>
      <c r="H87" s="649"/>
      <c r="I87" s="649"/>
      <c r="J87" s="649"/>
      <c r="K87" s="650"/>
      <c r="L87" s="651"/>
      <c r="M87" s="652"/>
      <c r="N87" s="3161"/>
      <c r="O87" s="2015"/>
      <c r="P87" s="2016"/>
      <c r="Q87" s="2009"/>
      <c r="R87" s="1997"/>
      <c r="S87" s="1997"/>
      <c r="T87" s="1997"/>
      <c r="U87" s="1997"/>
      <c r="V87" s="1997"/>
      <c r="W87" s="1997"/>
      <c r="X87" s="1997"/>
      <c r="Y87" s="1997"/>
      <c r="Z87" s="1997"/>
      <c r="AA87" s="1997"/>
      <c r="AB87" s="1997"/>
      <c r="AC87" s="1997"/>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2"/>
      <c r="O88" s="2017"/>
      <c r="P88" s="2016"/>
      <c r="Q88" s="2009"/>
      <c r="R88" s="1997"/>
      <c r="S88" s="1997"/>
      <c r="T88" s="1997"/>
      <c r="U88" s="1997"/>
      <c r="V88" s="1997"/>
      <c r="W88" s="1997"/>
      <c r="X88" s="1997"/>
      <c r="Y88" s="1997"/>
      <c r="Z88" s="1997"/>
      <c r="AA88" s="1997"/>
      <c r="AB88" s="1997"/>
      <c r="AC88" s="1997"/>
    </row>
    <row r="89" spans="1:29" s="1183" customFormat="1" ht="27.75" thickTop="1">
      <c r="A89" s="684"/>
      <c r="B89" s="648" t="s">
        <v>570</v>
      </c>
      <c r="C89" s="683" t="s">
        <v>562</v>
      </c>
      <c r="D89" s="683" t="s">
        <v>563</v>
      </c>
      <c r="E89" s="683" t="s">
        <v>564</v>
      </c>
      <c r="F89" s="683" t="s">
        <v>565</v>
      </c>
      <c r="G89" s="683" t="s">
        <v>566</v>
      </c>
      <c r="H89" s="683"/>
      <c r="I89" s="683"/>
      <c r="J89" s="683"/>
      <c r="K89" s="683"/>
      <c r="L89" s="685"/>
      <c r="M89" s="686"/>
      <c r="N89" s="3160"/>
      <c r="O89" s="2013"/>
      <c r="P89" s="2016"/>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C90-$K21</f>
        <v>100</v>
      </c>
      <c r="E90" s="654">
        <f>D90-$K21</f>
        <v>100</v>
      </c>
      <c r="F90" s="654">
        <f>E90-$K21</f>
        <v>100</v>
      </c>
      <c r="G90" s="654">
        <f>F90-$K21</f>
        <v>100</v>
      </c>
      <c r="H90" s="654"/>
      <c r="I90" s="654"/>
      <c r="J90" s="654"/>
      <c r="K90" s="654"/>
      <c r="L90" s="654"/>
      <c r="M90" s="655"/>
      <c r="N90" s="3162"/>
      <c r="O90" s="2017"/>
      <c r="P90" s="2016"/>
      <c r="Q90" s="2009"/>
      <c r="R90" s="1875"/>
      <c r="S90" s="1875"/>
      <c r="T90" s="1875"/>
      <c r="U90" s="1875"/>
      <c r="V90" s="1875"/>
      <c r="W90" s="1875"/>
      <c r="X90" s="1875"/>
      <c r="Y90" s="1875"/>
      <c r="Z90" s="1875"/>
      <c r="AA90" s="1875"/>
      <c r="AB90" s="1875"/>
      <c r="AC90" s="1875"/>
    </row>
    <row r="91" spans="1:29" s="1183" customFormat="1" ht="27.75" thickTop="1">
      <c r="A91" s="684"/>
      <c r="B91" s="648" t="s">
        <v>571</v>
      </c>
      <c r="C91" s="678" t="s">
        <v>562</v>
      </c>
      <c r="D91" s="678" t="s">
        <v>563</v>
      </c>
      <c r="E91" s="678" t="s">
        <v>564</v>
      </c>
      <c r="F91" s="678" t="s">
        <v>565</v>
      </c>
      <c r="G91" s="678" t="s">
        <v>566</v>
      </c>
      <c r="H91" s="683"/>
      <c r="I91" s="683"/>
      <c r="J91" s="683"/>
      <c r="K91" s="683"/>
      <c r="L91" s="683"/>
      <c r="M91" s="686"/>
      <c r="N91" s="3160"/>
      <c r="O91" s="2013"/>
      <c r="P91" s="2016"/>
      <c r="Q91" s="2009"/>
      <c r="R91" s="1875"/>
      <c r="S91" s="1875"/>
      <c r="T91" s="1875"/>
      <c r="U91" s="1875"/>
      <c r="V91" s="1875"/>
      <c r="W91" s="1875"/>
      <c r="X91" s="1875"/>
      <c r="Y91" s="1875"/>
      <c r="Z91" s="1875"/>
      <c r="AA91" s="1875"/>
      <c r="AB91" s="1875"/>
      <c r="AC91" s="1875"/>
    </row>
    <row r="92" spans="1:29" s="1183" customFormat="1" ht="15.75" thickBot="1">
      <c r="A92" s="684"/>
      <c r="B92" s="653"/>
      <c r="C92" s="654">
        <v>100</v>
      </c>
      <c r="D92" s="654">
        <f>C92-$K23</f>
        <v>100</v>
      </c>
      <c r="E92" s="654">
        <f>D92-$K23</f>
        <v>100</v>
      </c>
      <c r="F92" s="654">
        <f>E92-$K23</f>
        <v>100</v>
      </c>
      <c r="G92" s="654">
        <f>F92-$K23</f>
        <v>100</v>
      </c>
      <c r="H92" s="654"/>
      <c r="I92" s="654"/>
      <c r="J92" s="654"/>
      <c r="K92" s="654"/>
      <c r="L92" s="654"/>
      <c r="M92" s="655"/>
      <c r="N92" s="3162"/>
      <c r="O92" s="2017"/>
      <c r="P92" s="2016"/>
      <c r="Q92" s="2009"/>
      <c r="R92" s="1875"/>
      <c r="S92" s="1875"/>
      <c r="T92" s="1875"/>
      <c r="U92" s="1875"/>
      <c r="V92" s="1875"/>
      <c r="W92" s="1875"/>
      <c r="X92" s="1875"/>
      <c r="Y92" s="1875"/>
      <c r="Z92" s="1875"/>
      <c r="AA92" s="1875"/>
      <c r="AB92" s="1875"/>
      <c r="AC92" s="1875"/>
    </row>
    <row r="93" spans="1:29" s="1265" customFormat="1" ht="15.75" thickTop="1">
      <c r="A93" s="662"/>
      <c r="B93" s="1781" t="s">
        <v>2448</v>
      </c>
      <c r="C93" s="678" t="s">
        <v>562</v>
      </c>
      <c r="D93" s="678" t="s">
        <v>563</v>
      </c>
      <c r="E93" s="678" t="s">
        <v>564</v>
      </c>
      <c r="F93" s="678" t="s">
        <v>565</v>
      </c>
      <c r="G93" s="678" t="s">
        <v>566</v>
      </c>
      <c r="H93" s="688"/>
      <c r="I93" s="688"/>
      <c r="J93" s="688"/>
      <c r="K93" s="688"/>
      <c r="L93" s="689"/>
      <c r="M93" s="690"/>
      <c r="N93" s="3163"/>
      <c r="O93" s="2018"/>
      <c r="P93" s="2019"/>
      <c r="Q93" s="2020"/>
      <c r="R93" s="2021"/>
      <c r="S93" s="2021"/>
      <c r="T93" s="2021"/>
      <c r="U93" s="2021"/>
      <c r="V93" s="2021"/>
      <c r="W93" s="2021"/>
      <c r="X93" s="2021"/>
      <c r="Y93" s="2021"/>
      <c r="Z93" s="2021"/>
      <c r="AA93" s="2021"/>
      <c r="AB93" s="2021"/>
      <c r="AC93" s="2021"/>
    </row>
    <row r="94" spans="1:29" s="1265" customFormat="1" ht="15.75" thickBot="1">
      <c r="A94" s="662"/>
      <c r="B94" s="653"/>
      <c r="C94" s="654">
        <v>100</v>
      </c>
      <c r="D94" s="654">
        <f>C94-$K25</f>
        <v>100</v>
      </c>
      <c r="E94" s="654">
        <f>D94-$K25</f>
        <v>100</v>
      </c>
      <c r="F94" s="654">
        <f>E94-$K25</f>
        <v>100</v>
      </c>
      <c r="G94" s="654">
        <f>F94-$K25</f>
        <v>100</v>
      </c>
      <c r="H94" s="691"/>
      <c r="I94" s="691"/>
      <c r="J94" s="691"/>
      <c r="K94" s="691"/>
      <c r="L94" s="691"/>
      <c r="M94" s="692"/>
      <c r="N94" s="3163"/>
      <c r="O94" s="2018"/>
      <c r="P94" s="2019"/>
      <c r="Q94" s="2020"/>
      <c r="R94" s="2021"/>
      <c r="S94" s="2021"/>
      <c r="T94" s="2021"/>
      <c r="U94" s="2021"/>
      <c r="V94" s="2021"/>
      <c r="W94" s="2021"/>
      <c r="X94" s="2021"/>
      <c r="Y94" s="2021"/>
      <c r="Z94" s="2021"/>
      <c r="AA94" s="2021"/>
      <c r="AB94" s="2021"/>
      <c r="AC94" s="2021"/>
    </row>
    <row r="95" spans="1:29" s="1265" customFormat="1" ht="15.75" thickTop="1">
      <c r="A95" s="662"/>
      <c r="B95" s="2379" t="s">
        <v>2450</v>
      </c>
      <c r="C95" s="2380" t="s">
        <v>2451</v>
      </c>
      <c r="D95" s="2380" t="s">
        <v>2452</v>
      </c>
      <c r="E95" s="2380" t="s">
        <v>2453</v>
      </c>
      <c r="F95" s="2380" t="s">
        <v>2454</v>
      </c>
      <c r="G95" s="2380" t="s">
        <v>2455</v>
      </c>
      <c r="H95" s="688"/>
      <c r="I95" s="688"/>
      <c r="J95" s="688"/>
      <c r="K95" s="688"/>
      <c r="L95" s="688"/>
      <c r="M95" s="690"/>
      <c r="N95" s="3163"/>
      <c r="O95" s="2018"/>
      <c r="P95" s="2019"/>
      <c r="Q95" s="2020"/>
      <c r="R95" s="2021"/>
      <c r="S95" s="2021"/>
      <c r="T95" s="2021"/>
      <c r="U95" s="2021"/>
      <c r="V95" s="2021"/>
      <c r="W95" s="2021"/>
      <c r="X95" s="2021"/>
      <c r="Y95" s="2021"/>
      <c r="Z95" s="2021"/>
      <c r="AA95" s="2021"/>
      <c r="AB95" s="2021"/>
      <c r="AC95" s="2021"/>
    </row>
    <row r="96" spans="1:29" s="1265" customFormat="1" ht="15.75" thickBot="1">
      <c r="A96" s="662"/>
      <c r="B96" s="656"/>
      <c r="C96" s="654">
        <v>100</v>
      </c>
      <c r="D96" s="654">
        <f>C96-$K27</f>
        <v>100</v>
      </c>
      <c r="E96" s="654">
        <f>D96-$K27</f>
        <v>100</v>
      </c>
      <c r="F96" s="654">
        <f>E96-$K27</f>
        <v>100</v>
      </c>
      <c r="G96" s="654">
        <f>F96-$K27</f>
        <v>100</v>
      </c>
      <c r="H96" s="658"/>
      <c r="I96" s="658"/>
      <c r="J96" s="658"/>
      <c r="K96" s="658"/>
      <c r="L96" s="658"/>
      <c r="M96" s="2372"/>
      <c r="N96" s="3163"/>
      <c r="O96" s="2018"/>
      <c r="P96" s="2019"/>
      <c r="Q96" s="2020"/>
      <c r="R96" s="2021"/>
      <c r="S96" s="2021"/>
      <c r="T96" s="2021"/>
      <c r="U96" s="2021"/>
      <c r="V96" s="2021"/>
      <c r="W96" s="2021"/>
      <c r="X96" s="2021"/>
      <c r="Y96" s="2021"/>
      <c r="Z96" s="2021"/>
      <c r="AA96" s="2021"/>
      <c r="AB96" s="2021"/>
      <c r="AC96" s="2021"/>
    </row>
    <row r="97" spans="1:29" ht="15.75" thickTop="1">
      <c r="A97" s="644"/>
      <c r="B97" s="648" t="str">
        <f>B29</f>
        <v>临街状况</v>
      </c>
      <c r="C97" s="649" t="s">
        <v>572</v>
      </c>
      <c r="D97" s="649" t="s">
        <v>573</v>
      </c>
      <c r="E97" s="649" t="s">
        <v>574</v>
      </c>
      <c r="F97" s="649" t="s">
        <v>575</v>
      </c>
      <c r="G97" s="649"/>
      <c r="H97" s="649"/>
      <c r="I97" s="649"/>
      <c r="J97" s="649"/>
      <c r="K97" s="650"/>
      <c r="L97" s="651"/>
      <c r="M97" s="652"/>
      <c r="N97" s="3161"/>
      <c r="O97" s="2015"/>
      <c r="P97" s="2016"/>
      <c r="Q97" s="2009"/>
      <c r="R97" s="1997"/>
      <c r="S97" s="1997"/>
      <c r="T97" s="1997"/>
      <c r="U97" s="1997"/>
      <c r="V97" s="1997"/>
      <c r="W97" s="1997"/>
      <c r="X97" s="1997"/>
      <c r="Y97" s="1997"/>
      <c r="Z97" s="1997"/>
      <c r="AA97" s="1997"/>
      <c r="AB97" s="1997"/>
      <c r="AC97" s="1997"/>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2"/>
      <c r="O98" s="2017"/>
      <c r="P98" s="2016"/>
      <c r="Q98" s="2009"/>
      <c r="R98" s="1997"/>
      <c r="S98" s="1997"/>
      <c r="T98" s="1997"/>
      <c r="U98" s="1997"/>
      <c r="V98" s="1997"/>
      <c r="W98" s="1997"/>
      <c r="X98" s="1997"/>
      <c r="Y98" s="1997"/>
      <c r="Z98" s="1997"/>
      <c r="AA98" s="1997"/>
      <c r="AB98" s="1997"/>
      <c r="AC98" s="1997"/>
    </row>
    <row r="99" spans="1:29" ht="27.75" thickTop="1">
      <c r="A99" s="644"/>
      <c r="B99" s="648" t="s">
        <v>531</v>
      </c>
      <c r="C99" s="663"/>
      <c r="D99" s="663"/>
      <c r="E99" s="663"/>
      <c r="F99" s="663"/>
      <c r="G99" s="663"/>
      <c r="H99" s="693"/>
      <c r="I99" s="693"/>
      <c r="J99" s="693"/>
      <c r="K99" s="694"/>
      <c r="L99" s="695"/>
      <c r="M99" s="696"/>
      <c r="N99" s="3161"/>
      <c r="O99" s="2015"/>
      <c r="P99" s="2016"/>
      <c r="Q99" s="2009"/>
      <c r="R99" s="1997"/>
      <c r="S99" s="1997"/>
      <c r="T99" s="1997"/>
      <c r="U99" s="1997"/>
      <c r="V99" s="1997"/>
      <c r="W99" s="1997"/>
      <c r="X99" s="1997"/>
      <c r="Y99" s="1997"/>
      <c r="Z99" s="1997"/>
      <c r="AA99" s="1997"/>
      <c r="AB99" s="1997"/>
      <c r="AC99" s="1997"/>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2"/>
      <c r="O100" s="2017"/>
      <c r="P100" s="2016"/>
      <c r="Q100" s="2009"/>
      <c r="R100" s="1997"/>
      <c r="S100" s="1997"/>
      <c r="T100" s="1997"/>
      <c r="U100" s="1997"/>
      <c r="V100" s="1997"/>
      <c r="W100" s="1997"/>
      <c r="X100" s="1997"/>
      <c r="Y100" s="1997"/>
      <c r="Z100" s="1997"/>
      <c r="AA100" s="1997"/>
      <c r="AB100" s="1997"/>
      <c r="AC100" s="1997"/>
    </row>
    <row r="101" spans="1:29" ht="15.75" thickTop="1">
      <c r="A101" s="644"/>
      <c r="B101" s="648" t="s">
        <v>532</v>
      </c>
      <c r="C101" s="693"/>
      <c r="D101" s="693"/>
      <c r="E101" s="693"/>
      <c r="F101" s="693"/>
      <c r="G101" s="693"/>
      <c r="H101" s="693"/>
      <c r="I101" s="693"/>
      <c r="J101" s="693"/>
      <c r="K101" s="694"/>
      <c r="L101" s="695"/>
      <c r="M101" s="696"/>
      <c r="N101" s="3161"/>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2"/>
      <c r="O102" s="2017"/>
      <c r="P102" s="2016"/>
      <c r="Q102" s="2009"/>
      <c r="R102" s="1997"/>
      <c r="S102" s="1997"/>
      <c r="T102" s="1997"/>
      <c r="U102" s="1997"/>
      <c r="V102" s="1997"/>
      <c r="W102" s="1997"/>
      <c r="X102" s="1997"/>
      <c r="Y102" s="1997"/>
      <c r="Z102" s="1997"/>
      <c r="AA102" s="1997"/>
      <c r="AB102" s="1997"/>
      <c r="AC102" s="1997"/>
    </row>
    <row r="103" spans="1:29" ht="15.75" thickTop="1">
      <c r="A103" s="644"/>
      <c r="B103" s="656">
        <f>B33</f>
        <v>111</v>
      </c>
      <c r="C103" s="663"/>
      <c r="D103" s="663"/>
      <c r="E103" s="663"/>
      <c r="F103" s="663"/>
      <c r="G103" s="697"/>
      <c r="H103" s="697"/>
      <c r="I103" s="697"/>
      <c r="J103" s="697"/>
      <c r="K103" s="698"/>
      <c r="L103" s="699"/>
      <c r="M103" s="700"/>
      <c r="N103" s="3161"/>
      <c r="O103" s="2015"/>
      <c r="P103" s="2016"/>
      <c r="Q103" s="2009"/>
      <c r="R103" s="1997"/>
      <c r="S103" s="1997"/>
      <c r="T103" s="1997"/>
      <c r="U103" s="1997"/>
      <c r="V103" s="1997"/>
      <c r="W103" s="1997"/>
      <c r="X103" s="1997"/>
      <c r="Y103" s="1997"/>
      <c r="Z103" s="1997"/>
      <c r="AA103" s="1997"/>
      <c r="AB103" s="1997"/>
      <c r="AC103" s="1997"/>
    </row>
    <row r="104" spans="1:29" ht="15.75" thickBot="1">
      <c r="A104" s="644"/>
      <c r="B104" s="674"/>
      <c r="C104" s="667"/>
      <c r="D104" s="646"/>
      <c r="E104" s="646"/>
      <c r="F104" s="646"/>
      <c r="G104" s="701"/>
      <c r="H104" s="701"/>
      <c r="I104" s="701"/>
      <c r="J104" s="701"/>
      <c r="K104" s="701"/>
      <c r="L104" s="701"/>
      <c r="M104" s="702"/>
      <c r="N104" s="3162"/>
      <c r="O104" s="2017"/>
      <c r="P104" s="2016"/>
      <c r="Q104" s="2009"/>
      <c r="R104" s="1997"/>
      <c r="S104" s="1997"/>
      <c r="T104" s="1997"/>
      <c r="U104" s="1997"/>
      <c r="V104" s="1997"/>
      <c r="W104" s="1997"/>
      <c r="X104" s="1997"/>
      <c r="Y104" s="1997"/>
      <c r="Z104" s="1997"/>
      <c r="AA104" s="1997"/>
      <c r="AB104" s="1997"/>
      <c r="AC104" s="1997"/>
    </row>
    <row r="105" spans="1:29" ht="15" thickTop="1">
      <c r="A105" s="564"/>
      <c r="B105" s="648">
        <f>B34</f>
        <v>111</v>
      </c>
      <c r="C105" s="663"/>
      <c r="D105" s="663"/>
      <c r="E105" s="663"/>
      <c r="F105" s="663"/>
      <c r="G105" s="693"/>
      <c r="H105" s="693"/>
      <c r="I105" s="693"/>
      <c r="J105" s="693"/>
      <c r="K105" s="694"/>
      <c r="L105" s="695"/>
      <c r="M105" s="696"/>
      <c r="N105" s="3161"/>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67"/>
      <c r="D106" s="667"/>
      <c r="E106" s="667"/>
      <c r="F106" s="667"/>
      <c r="G106" s="646"/>
      <c r="H106" s="646"/>
      <c r="I106" s="646"/>
      <c r="J106" s="646"/>
      <c r="K106" s="646"/>
      <c r="L106" s="646"/>
      <c r="M106" s="647"/>
      <c r="N106" s="3162"/>
      <c r="O106" s="2017"/>
      <c r="P106" s="2016"/>
      <c r="Q106" s="2009"/>
      <c r="R106" s="1997"/>
      <c r="S106" s="1997"/>
      <c r="T106" s="1997"/>
      <c r="U106" s="1997"/>
      <c r="V106" s="1997"/>
      <c r="W106" s="1997"/>
      <c r="X106" s="1997"/>
      <c r="Y106" s="1997"/>
      <c r="Z106" s="1997"/>
      <c r="AA106" s="1997"/>
      <c r="AB106" s="1997"/>
      <c r="AC106" s="1997"/>
    </row>
    <row r="107" spans="1:29" s="1265" customFormat="1" ht="15" thickTop="1">
      <c r="A107" s="703"/>
      <c r="B107" s="704">
        <f>B35</f>
        <v>111</v>
      </c>
      <c r="C107" s="636"/>
      <c r="D107" s="636"/>
      <c r="E107" s="636"/>
      <c r="F107" s="636"/>
      <c r="G107" s="705"/>
      <c r="H107" s="705"/>
      <c r="I107" s="705"/>
      <c r="J107" s="706"/>
      <c r="K107" s="706"/>
      <c r="L107" s="707"/>
      <c r="M107" s="708"/>
      <c r="N107" s="3163"/>
      <c r="O107" s="2018"/>
      <c r="P107" s="2019"/>
      <c r="Q107" s="2020"/>
      <c r="R107" s="2021"/>
      <c r="S107" s="2021"/>
      <c r="T107" s="2021"/>
      <c r="U107" s="2021"/>
      <c r="V107" s="2021"/>
      <c r="W107" s="2021"/>
      <c r="X107" s="2021"/>
      <c r="Y107" s="2021"/>
      <c r="Z107" s="2021"/>
      <c r="AA107" s="2021"/>
      <c r="AB107" s="2021"/>
      <c r="AC107" s="2021"/>
    </row>
    <row r="108" spans="1:29" s="1265" customFormat="1" ht="15.75" thickBot="1">
      <c r="A108" s="662"/>
      <c r="B108" s="656"/>
      <c r="C108" s="675"/>
      <c r="D108" s="675"/>
      <c r="E108" s="675"/>
      <c r="F108" s="675"/>
      <c r="G108" s="569"/>
      <c r="H108" s="569"/>
      <c r="I108" s="569"/>
      <c r="J108" s="569"/>
      <c r="K108" s="569"/>
      <c r="L108" s="569"/>
      <c r="M108" s="709"/>
      <c r="N108" s="3162"/>
      <c r="O108" s="2017"/>
      <c r="P108" s="2019"/>
      <c r="Q108" s="2020"/>
      <c r="R108" s="2021"/>
      <c r="S108" s="2021"/>
      <c r="T108" s="2021"/>
      <c r="U108" s="2021"/>
      <c r="V108" s="2021"/>
      <c r="W108" s="2021"/>
      <c r="X108" s="2021"/>
      <c r="Y108" s="2021"/>
      <c r="Z108" s="2021"/>
      <c r="AA108" s="2021"/>
      <c r="AB108" s="2021"/>
      <c r="AC108" s="2021"/>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1"/>
      <c r="O109" s="2015"/>
      <c r="P109" s="2016"/>
      <c r="Q109" s="2009"/>
      <c r="R109" s="1997"/>
      <c r="S109" s="1997"/>
      <c r="T109" s="1997"/>
      <c r="U109" s="1997"/>
      <c r="V109" s="1997"/>
      <c r="W109" s="1997"/>
      <c r="X109" s="1997"/>
      <c r="Y109" s="1997"/>
      <c r="Z109" s="1997"/>
      <c r="AA109" s="1997"/>
      <c r="AB109" s="1997"/>
      <c r="AC109" s="1997"/>
    </row>
    <row r="110" spans="1:29" ht="15">
      <c r="A110" s="644"/>
      <c r="B110" s="656"/>
      <c r="C110" s="705"/>
      <c r="D110" s="705"/>
      <c r="E110" s="705"/>
      <c r="F110" s="705"/>
      <c r="G110" s="705"/>
      <c r="H110" s="705"/>
      <c r="I110" s="705"/>
      <c r="J110" s="706"/>
      <c r="K110" s="706"/>
      <c r="L110" s="707"/>
      <c r="M110" s="708"/>
      <c r="N110" s="3161"/>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75"/>
      <c r="D111" s="701"/>
      <c r="E111" s="701"/>
      <c r="F111" s="701"/>
      <c r="G111" s="701"/>
      <c r="H111" s="701"/>
      <c r="I111" s="701"/>
      <c r="J111" s="701"/>
      <c r="K111" s="701"/>
      <c r="L111" s="701"/>
      <c r="M111" s="702"/>
      <c r="N111" s="3162"/>
      <c r="O111" s="2017"/>
      <c r="P111" s="2016"/>
      <c r="Q111" s="2009"/>
      <c r="R111" s="1997"/>
      <c r="S111" s="1997"/>
      <c r="T111" s="1997"/>
      <c r="U111" s="1997"/>
      <c r="V111" s="1997"/>
      <c r="W111" s="1997"/>
      <c r="X111" s="1997"/>
      <c r="Y111" s="1997"/>
      <c r="Z111" s="1997"/>
      <c r="AA111" s="1997"/>
      <c r="AB111" s="1997"/>
      <c r="AC111" s="1997"/>
    </row>
    <row r="112" spans="1:29" ht="15" thickTop="1">
      <c r="A112" s="710"/>
      <c r="B112" s="648" t="s">
        <v>577</v>
      </c>
      <c r="C112" s="693"/>
      <c r="D112" s="693"/>
      <c r="E112" s="693"/>
      <c r="F112" s="693"/>
      <c r="G112" s="693"/>
      <c r="H112" s="693"/>
      <c r="I112" s="693"/>
      <c r="J112" s="693"/>
      <c r="K112" s="694"/>
      <c r="L112" s="695"/>
      <c r="M112" s="696"/>
      <c r="N112" s="3161"/>
      <c r="O112" s="2015"/>
      <c r="P112" s="2016"/>
      <c r="Q112" s="2009"/>
      <c r="R112" s="1997"/>
      <c r="S112" s="1997"/>
      <c r="T112" s="1997"/>
      <c r="U112" s="1997"/>
      <c r="V112" s="1997"/>
      <c r="W112" s="1997"/>
      <c r="X112" s="1997"/>
      <c r="Y112" s="1997"/>
      <c r="Z112" s="1997"/>
      <c r="AA112" s="1997"/>
      <c r="AB112" s="1997"/>
      <c r="AC112" s="1997"/>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2"/>
      <c r="O113" s="2017"/>
      <c r="P113" s="2016"/>
      <c r="Q113" s="2009"/>
      <c r="R113" s="1997"/>
      <c r="S113" s="1997"/>
      <c r="T113" s="1997"/>
      <c r="U113" s="1997"/>
      <c r="V113" s="1997"/>
      <c r="W113" s="1997"/>
      <c r="X113" s="1997"/>
      <c r="Y113" s="1997"/>
      <c r="Z113" s="1997"/>
      <c r="AA113" s="1997"/>
      <c r="AB113" s="1997"/>
      <c r="AC113" s="1997"/>
    </row>
    <row r="114" spans="1:29" s="1265" customFormat="1" ht="15" thickTop="1">
      <c r="A114" s="703"/>
      <c r="B114" s="1781" t="s">
        <v>2394</v>
      </c>
      <c r="C114" s="1299"/>
      <c r="D114" s="1299"/>
      <c r="E114" s="1299"/>
      <c r="F114" s="1299"/>
      <c r="G114" s="1299"/>
      <c r="H114" s="693"/>
      <c r="I114" s="693"/>
      <c r="J114" s="693"/>
      <c r="K114" s="694"/>
      <c r="L114" s="695"/>
      <c r="M114" s="696"/>
      <c r="N114" s="3163"/>
      <c r="O114" s="2018"/>
      <c r="P114" s="2019"/>
      <c r="Q114" s="2020"/>
      <c r="R114" s="2021"/>
      <c r="S114" s="2021"/>
      <c r="T114" s="2021"/>
      <c r="U114" s="2021"/>
      <c r="V114" s="2021"/>
      <c r="W114" s="2021"/>
      <c r="X114" s="2021"/>
      <c r="Y114" s="2021"/>
      <c r="Z114" s="2021"/>
      <c r="AA114" s="2021"/>
      <c r="AB114" s="2021"/>
      <c r="AC114" s="2021"/>
    </row>
    <row r="115" spans="1:29" s="1265"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3"/>
      <c r="O115" s="2018"/>
      <c r="P115" s="2019"/>
      <c r="Q115" s="2020"/>
      <c r="R115" s="2021"/>
      <c r="S115" s="2021"/>
      <c r="T115" s="2021"/>
      <c r="U115" s="2021"/>
      <c r="V115" s="2021"/>
      <c r="W115" s="2021"/>
      <c r="X115" s="2021"/>
      <c r="Y115" s="2021"/>
      <c r="Z115" s="2021"/>
      <c r="AA115" s="2021"/>
      <c r="AB115" s="2021"/>
      <c r="AC115" s="2021"/>
    </row>
    <row r="116" spans="1:29" ht="15" thickTop="1">
      <c r="A116" s="710"/>
      <c r="B116" s="648" t="s">
        <v>579</v>
      </c>
      <c r="C116" s="663"/>
      <c r="D116" s="663"/>
      <c r="E116" s="693"/>
      <c r="F116" s="693"/>
      <c r="G116" s="693"/>
      <c r="H116" s="693"/>
      <c r="I116" s="693"/>
      <c r="J116" s="693"/>
      <c r="K116" s="694"/>
      <c r="L116" s="695"/>
      <c r="M116" s="696"/>
      <c r="N116" s="3161"/>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2"/>
      <c r="O117" s="2017"/>
      <c r="P117" s="2016"/>
      <c r="Q117" s="2009"/>
      <c r="R117" s="1997"/>
      <c r="S117" s="1997"/>
      <c r="T117" s="1997"/>
      <c r="U117" s="1997"/>
      <c r="V117" s="1997"/>
      <c r="W117" s="1997"/>
      <c r="X117" s="1997"/>
      <c r="Y117" s="1997"/>
      <c r="Z117" s="1997"/>
      <c r="AA117" s="1997"/>
      <c r="AB117" s="1997"/>
      <c r="AC117" s="1997"/>
    </row>
    <row r="118" spans="1:29" ht="15" thickTop="1">
      <c r="A118" s="710"/>
      <c r="B118" s="648">
        <f>B40</f>
        <v>111</v>
      </c>
      <c r="C118" s="663"/>
      <c r="D118" s="663"/>
      <c r="E118" s="663"/>
      <c r="F118" s="663"/>
      <c r="G118" s="663"/>
      <c r="H118" s="693"/>
      <c r="I118" s="693"/>
      <c r="J118" s="693"/>
      <c r="K118" s="694"/>
      <c r="L118" s="695"/>
      <c r="M118" s="696"/>
      <c r="N118" s="3161"/>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3162"/>
      <c r="O119" s="2017"/>
      <c r="P119" s="2016"/>
      <c r="Q119" s="2009"/>
      <c r="R119" s="1997"/>
      <c r="S119" s="1997"/>
      <c r="T119" s="1997"/>
      <c r="U119" s="1997"/>
      <c r="V119" s="1997"/>
      <c r="W119" s="1997"/>
      <c r="X119" s="1997"/>
      <c r="Y119" s="1997"/>
      <c r="Z119" s="1997"/>
      <c r="AA119" s="1997"/>
      <c r="AB119" s="1997"/>
      <c r="AC119" s="1997"/>
    </row>
    <row r="120" spans="1:29" ht="15" thickTop="1">
      <c r="A120" s="710"/>
      <c r="B120" s="648">
        <f>B41</f>
        <v>111</v>
      </c>
      <c r="C120" s="663"/>
      <c r="D120" s="663"/>
      <c r="E120" s="663"/>
      <c r="F120" s="663"/>
      <c r="G120" s="693"/>
      <c r="H120" s="693"/>
      <c r="I120" s="693"/>
      <c r="J120" s="693"/>
      <c r="K120" s="694"/>
      <c r="L120" s="695"/>
      <c r="M120" s="696"/>
      <c r="N120" s="3161"/>
      <c r="O120" s="2015"/>
      <c r="P120" s="2016"/>
      <c r="Q120" s="2009"/>
      <c r="R120" s="1997"/>
      <c r="S120" s="1997"/>
      <c r="T120" s="1997"/>
      <c r="U120" s="1997"/>
      <c r="V120" s="1997"/>
      <c r="W120" s="1997"/>
      <c r="X120" s="1997"/>
      <c r="Y120" s="1997"/>
      <c r="Z120" s="1997"/>
      <c r="AA120" s="1997"/>
      <c r="AB120" s="1997"/>
      <c r="AC120" s="1997"/>
    </row>
    <row r="121" spans="1:29" ht="15.75" thickBot="1">
      <c r="A121" s="644"/>
      <c r="B121" s="653"/>
      <c r="C121" s="667"/>
      <c r="D121" s="667"/>
      <c r="E121" s="667"/>
      <c r="F121" s="667"/>
      <c r="G121" s="646"/>
      <c r="H121" s="646"/>
      <c r="I121" s="646"/>
      <c r="J121" s="646"/>
      <c r="K121" s="646"/>
      <c r="L121" s="646"/>
      <c r="M121" s="647"/>
      <c r="N121" s="3162"/>
      <c r="O121" s="2017"/>
      <c r="P121" s="2016"/>
      <c r="Q121" s="2009"/>
      <c r="R121" s="1997"/>
      <c r="S121" s="1997"/>
      <c r="T121" s="1997"/>
      <c r="U121" s="1997"/>
      <c r="V121" s="1997"/>
      <c r="W121" s="1997"/>
      <c r="X121" s="1997"/>
      <c r="Y121" s="1997"/>
      <c r="Z121" s="1997"/>
      <c r="AA121" s="1997"/>
      <c r="AB121" s="1997"/>
      <c r="AC121" s="1997"/>
    </row>
    <row r="122" spans="1:29" s="1265" customFormat="1" ht="15" thickTop="1">
      <c r="A122" s="703"/>
      <c r="B122" s="648">
        <f>B42</f>
        <v>111</v>
      </c>
      <c r="C122" s="636"/>
      <c r="D122" s="636"/>
      <c r="E122" s="636"/>
      <c r="F122" s="636"/>
      <c r="G122" s="664"/>
      <c r="H122" s="664"/>
      <c r="I122" s="664"/>
      <c r="J122" s="664"/>
      <c r="K122" s="664"/>
      <c r="L122" s="665"/>
      <c r="M122" s="666"/>
      <c r="N122" s="3163"/>
      <c r="O122" s="2018"/>
      <c r="P122" s="2019"/>
      <c r="Q122" s="2020"/>
      <c r="R122" s="2021"/>
      <c r="S122" s="2021"/>
      <c r="T122" s="2021"/>
      <c r="U122" s="2021"/>
      <c r="V122" s="2021"/>
      <c r="W122" s="2021"/>
      <c r="X122" s="2021"/>
      <c r="Y122" s="2021"/>
      <c r="Z122" s="2021"/>
      <c r="AA122" s="2021"/>
      <c r="AB122" s="2021"/>
      <c r="AC122" s="2021"/>
    </row>
    <row r="123" spans="1:29" s="1265" customFormat="1" ht="15.75" thickBot="1">
      <c r="A123" s="673"/>
      <c r="B123" s="711"/>
      <c r="C123" s="675"/>
      <c r="D123" s="675"/>
      <c r="E123" s="675"/>
      <c r="F123" s="675"/>
      <c r="G123" s="701"/>
      <c r="H123" s="701"/>
      <c r="I123" s="701"/>
      <c r="J123" s="701"/>
      <c r="K123" s="701"/>
      <c r="L123" s="701"/>
      <c r="M123" s="702"/>
      <c r="N123" s="316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7"/>
      <c r="G1" s="1322"/>
      <c r="H1" s="1322"/>
      <c r="I1" s="1322"/>
      <c r="J1" s="1322"/>
      <c r="K1" s="2040"/>
      <c r="L1" s="1767" t="s">
        <v>2212</v>
      </c>
      <c r="M1" s="1768">
        <f>SUMPRODUCT((区片价!B5:B9=I2)*(区片价!C3:F3=E2)*(区片价!C5:F9))</f>
        <v>0</v>
      </c>
      <c r="N1" s="1769">
        <f>SUMPRODUCT((因素修正幅度!B5:B9=I2)*(因素修正幅度!C3:F3=E2)*(因素修正幅度!C5:F9))</f>
        <v>0</v>
      </c>
      <c r="O1" s="2040"/>
      <c r="P1" s="2040"/>
      <c r="Q1" s="2040"/>
      <c r="R1" s="2591" t="s">
        <v>2660</v>
      </c>
      <c r="S1" s="2591" t="s">
        <v>2661</v>
      </c>
      <c r="T1" s="2591" t="s">
        <v>2682</v>
      </c>
      <c r="U1" s="2591" t="s">
        <v>2683</v>
      </c>
      <c r="V1" s="2591" t="s">
        <v>2684</v>
      </c>
      <c r="W1" s="2040"/>
      <c r="X1" s="2040"/>
      <c r="Y1" s="2040"/>
      <c r="Z1" s="2040"/>
      <c r="AA1" s="2040"/>
      <c r="AB1" s="2040"/>
      <c r="AC1" s="2041"/>
    </row>
    <row r="2" spans="1:39" ht="15.75">
      <c r="A2" s="1327" t="s">
        <v>900</v>
      </c>
      <c r="B2" s="1005"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70" t="s">
        <v>2213</v>
      </c>
      <c r="M2" s="1771">
        <f>SUMPRODUCT((区片价!B10:B28=I2)*(区片价!C3:F3=E2)*(区片价!C10:F28))</f>
        <v>0</v>
      </c>
      <c r="N2" s="1772">
        <f>SUMPRODUCT((因素修正幅度!B10:B28=I2)*(因素修正幅度!C3:F3=E2)*(因素修正幅度!C10:F28))</f>
        <v>0</v>
      </c>
      <c r="O2" s="3164"/>
      <c r="P2" s="2040"/>
      <c r="Q2" s="2040"/>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0"/>
      <c r="X2" s="2040"/>
      <c r="Y2" s="2040"/>
      <c r="Z2" s="2040"/>
      <c r="AA2" s="2040"/>
      <c r="AB2" s="2040"/>
      <c r="AC2" s="2041"/>
    </row>
    <row r="3" spans="1:39" ht="15.75">
      <c r="A3" s="1332" t="s">
        <v>1667</v>
      </c>
      <c r="B3" s="1005" t="e">
        <f>ROUND(B2*10000/D1,0)</f>
        <v>#DIV/0!</v>
      </c>
      <c r="C3" s="1328" t="s">
        <v>907</v>
      </c>
      <c r="D3" s="1329" t="s">
        <v>908</v>
      </c>
      <c r="E3" s="1333"/>
      <c r="F3" s="1334"/>
      <c r="G3" s="1006">
        <f>IF(F3="宗地容积率",'数据-汇总表'!I4,IF(F3="估价对象容积率",'数据-汇总表'!I6,'数据-汇总表'!I7))</f>
        <v>0</v>
      </c>
      <c r="H3" s="1335" t="s">
        <v>909</v>
      </c>
      <c r="I3" s="1007">
        <v>8</v>
      </c>
      <c r="J3" s="1331" t="s">
        <v>910</v>
      </c>
      <c r="K3" s="3164"/>
      <c r="L3" s="1770" t="s">
        <v>2214</v>
      </c>
      <c r="M3" s="1771">
        <f>SUMPRODUCT((区片价!B29:B48=I2)*(区片价!C3:F3=E2)*(区片价!C29:F48))</f>
        <v>0</v>
      </c>
      <c r="N3" s="1772">
        <f>SUMPRODUCT((因素修正幅度!B29:B48=I2)*(因素修正幅度!C3:F3=E2)*(因素修正幅度!C29:F48))</f>
        <v>0</v>
      </c>
      <c r="O3" s="3164"/>
      <c r="P3" s="2040"/>
      <c r="Q3" s="2040"/>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0"/>
      <c r="X3" s="2040"/>
      <c r="Y3" s="2040"/>
      <c r="Z3" s="2040"/>
      <c r="AA3" s="2040"/>
      <c r="AB3" s="2040"/>
      <c r="AC3" s="2041"/>
    </row>
    <row r="4" spans="1:39" ht="28.5">
      <c r="A4" s="1776" t="s">
        <v>2253</v>
      </c>
      <c r="B4" s="2278" t="e">
        <f>ROUND(B2*10000/F1,0)</f>
        <v>#DIV/0!</v>
      </c>
      <c r="C4" s="1779" t="s">
        <v>2228</v>
      </c>
      <c r="D4" s="1779" t="e">
        <f>ROUND(B2/(F1/666.67),0)</f>
        <v>#DIV/0!</v>
      </c>
      <c r="E4" s="1779" t="s">
        <v>2229</v>
      </c>
      <c r="F4" s="1777"/>
      <c r="G4" s="1777"/>
      <c r="H4" s="1777"/>
      <c r="I4" s="1777"/>
      <c r="J4" s="1778"/>
      <c r="K4" s="3165"/>
      <c r="L4" s="1770" t="s">
        <v>2215</v>
      </c>
      <c r="M4" s="1771">
        <f>SUMPRODUCT((区片价!B49:B75=I2)*(区片价!C3:F3=E2)*(区片价!C49:F75))</f>
        <v>0</v>
      </c>
      <c r="N4" s="1772">
        <f>SUMPRODUCT((因素修正幅度!B49:B75=I2)*(因素修正幅度!C3:F3=E2)*(因素修正幅度!C49:F75))</f>
        <v>0</v>
      </c>
      <c r="O4" s="3165"/>
      <c r="P4" s="2040"/>
      <c r="Q4" s="2040"/>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0"/>
      <c r="X4" s="2040"/>
      <c r="Y4" s="2040"/>
      <c r="Z4" s="2040"/>
      <c r="AA4" s="2040"/>
      <c r="AB4" s="2040"/>
      <c r="AC4" s="2041"/>
    </row>
    <row r="5" spans="1:39" s="1342" customFormat="1" ht="15.75" thickBot="1">
      <c r="A5" s="1538" t="s">
        <v>1803</v>
      </c>
      <c r="B5" s="1336" t="s">
        <v>911</v>
      </c>
      <c r="C5" s="1008" t="e">
        <f>ROUND(IF(E2="商业",C6*C7+C16,(IF(E2="住宅",C6*C12+C16,C6+C16))),0)</f>
        <v>#DIV/0!</v>
      </c>
      <c r="D5" s="2727" t="e">
        <f>ROUND(C6+C16,0)</f>
        <v>#DIV/0!</v>
      </c>
      <c r="E5" s="2727"/>
      <c r="F5" s="1337"/>
      <c r="G5" s="1338"/>
      <c r="H5" s="1338"/>
      <c r="I5" s="1338"/>
      <c r="J5" s="1339"/>
      <c r="K5" s="3166"/>
      <c r="L5" s="1770" t="s">
        <v>2216</v>
      </c>
      <c r="M5" s="1771">
        <f>SUMPRODUCT((区片价!B76:B109=I2)*(区片价!C3:F3=E2)*(区片价!C76:F109))</f>
        <v>0</v>
      </c>
      <c r="N5" s="1772">
        <f>SUMPRODUCT((因素修正幅度!B76:B109=I2)*(因素修正幅度!C3:F3=E2)*(因素修正幅度!C76:F109))</f>
        <v>0</v>
      </c>
      <c r="O5" s="3166"/>
      <c r="P5" s="3169"/>
      <c r="Q5" s="2040"/>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0"/>
      <c r="X5" s="2040"/>
      <c r="Y5" s="2040"/>
      <c r="Z5" s="2040"/>
      <c r="AA5" s="2040"/>
      <c r="AB5" s="2040"/>
      <c r="AC5" s="2042"/>
      <c r="AD5" s="1340"/>
      <c r="AE5" s="1340"/>
      <c r="AF5" s="1340"/>
      <c r="AG5" s="1340"/>
      <c r="AH5" s="1340"/>
      <c r="AI5" s="1340"/>
      <c r="AJ5" s="1341"/>
      <c r="AK5" s="1341"/>
      <c r="AL5" s="1341"/>
      <c r="AM5" s="1341"/>
    </row>
    <row r="6" spans="1:39" ht="15.75" thickBot="1">
      <c r="A6" s="1539" t="s">
        <v>1846</v>
      </c>
      <c r="B6" s="1343" t="s">
        <v>911</v>
      </c>
      <c r="C6" s="1009">
        <f>SUMIF(L1:L12,基准地价!G2,M1:M12)</f>
        <v>0</v>
      </c>
      <c r="D6" s="1344" t="s">
        <v>1675</v>
      </c>
      <c r="E6" s="1345"/>
      <c r="F6" s="1345"/>
      <c r="G6" s="1346"/>
      <c r="H6" s="1346"/>
      <c r="I6" s="1346"/>
      <c r="J6" s="1347"/>
      <c r="K6" s="3167"/>
      <c r="L6" s="1770" t="s">
        <v>2217</v>
      </c>
      <c r="M6" s="1771">
        <f>SUMPRODUCT((区片价!B110:B157=I2)*(区片价!C3:F3=E2)*(区片价!C110:F157))</f>
        <v>0</v>
      </c>
      <c r="N6" s="1772">
        <f>SUMPRODUCT((因素修正幅度!B110:B157=I2)*(因素修正幅度!C3:F3=E2)*(因素修正幅度!C110:F157))</f>
        <v>0</v>
      </c>
      <c r="O6" s="3167"/>
      <c r="P6" s="3170"/>
      <c r="Q6" s="2040"/>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0"/>
      <c r="X6" s="2040"/>
      <c r="Y6" s="2040"/>
      <c r="Z6" s="2040"/>
      <c r="AA6" s="2040"/>
      <c r="AB6" s="2040"/>
      <c r="AC6" s="2042"/>
      <c r="AD6" s="1340"/>
      <c r="AE6" s="1340"/>
      <c r="AF6" s="1340"/>
      <c r="AG6" s="1340"/>
      <c r="AH6" s="1340"/>
      <c r="AI6" s="1340"/>
      <c r="AJ6" s="1341"/>
    </row>
    <row r="7" spans="1:39" ht="24">
      <c r="A7" s="3674" t="str">
        <f>IF(E2="商业",IF(C8="不临58条商业街","",2),"")</f>
        <v/>
      </c>
      <c r="B7" s="1348" t="s">
        <v>912</v>
      </c>
      <c r="C7" s="1010" t="e">
        <f>IF(C8="不临58条商业街",1,ROUND(1+(1.6*E8+1.2*E9+0.8*E10+0.4*E11)*C9,4))</f>
        <v>#DIV/0!</v>
      </c>
      <c r="D7" s="1349" t="s">
        <v>913</v>
      </c>
      <c r="E7" s="1011"/>
      <c r="F7" s="1350"/>
      <c r="G7" s="1351"/>
      <c r="H7" s="1351"/>
      <c r="I7" s="1351"/>
      <c r="J7" s="1352"/>
      <c r="K7" s="3167"/>
      <c r="L7" s="1770" t="s">
        <v>2218</v>
      </c>
      <c r="M7" s="1771">
        <f>SUMPRODUCT((区片价!B158:B205=I2)*(区片价!C3:F3=E2)*(区片价!C158:F205))</f>
        <v>0</v>
      </c>
      <c r="N7" s="1772">
        <f>SUMPRODUCT((因素修正幅度!B158:B205=I2)*(因素修正幅度!C3:F3=E2)*(因素修正幅度!C158:F205))</f>
        <v>0</v>
      </c>
      <c r="O7" s="3167"/>
      <c r="P7" s="3170"/>
      <c r="Q7" s="2040"/>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2663</v>
      </c>
      <c r="X7" s="2582">
        <f>G2</f>
        <v>0</v>
      </c>
      <c r="Y7" s="2582" t="s">
        <v>2664</v>
      </c>
      <c r="Z7" s="2583">
        <f>G3</f>
        <v>0</v>
      </c>
      <c r="AA7" s="2043"/>
      <c r="AB7" s="2043"/>
      <c r="AC7" s="2044"/>
      <c r="AD7" s="2584"/>
      <c r="AE7" s="2584"/>
      <c r="AF7" s="2584"/>
      <c r="AG7" s="2584"/>
      <c r="AH7" s="2584"/>
      <c r="AI7" s="2584"/>
      <c r="AJ7" s="2585"/>
    </row>
    <row r="8" spans="1:39" ht="15">
      <c r="A8" s="3675"/>
      <c r="B8" s="1335" t="s">
        <v>914</v>
      </c>
      <c r="C8" s="1441"/>
      <c r="D8" s="1012" t="s">
        <v>915</v>
      </c>
      <c r="E8" s="1013" t="e">
        <f>ROUND(C11/E7,4)</f>
        <v>#DIV/0!</v>
      </c>
      <c r="F8" s="1353" t="s">
        <v>916</v>
      </c>
      <c r="G8" s="1354"/>
      <c r="H8" s="1354"/>
      <c r="I8" s="1354"/>
      <c r="J8" s="1355"/>
      <c r="K8" s="3167"/>
      <c r="L8" s="1770" t="s">
        <v>2219</v>
      </c>
      <c r="M8" s="1771">
        <f>SUMPRODUCT((区片价!B206:B244=I2)*(区片价!C3:F3=E2)*(区片价!C206:F244))</f>
        <v>0</v>
      </c>
      <c r="N8" s="1772">
        <f>SUMPRODUCT((因素修正幅度!B206:B244=I2)*(因素修正幅度!C3:F3=E2)*(因素修正幅度!C206:F244))</f>
        <v>0</v>
      </c>
      <c r="O8" s="3167"/>
      <c r="P8" s="2040"/>
      <c r="Q8" s="2040"/>
      <c r="R8" s="2592">
        <v>7</v>
      </c>
      <c r="S8" s="2581"/>
      <c r="T8" s="2592" t="e">
        <f t="shared" si="0"/>
        <v>#DIV/0!</v>
      </c>
      <c r="U8" s="2581"/>
      <c r="V8" s="2592" t="e">
        <f t="shared" si="1"/>
        <v>#DIV/0!</v>
      </c>
      <c r="W8" s="3685" t="s">
        <v>2681</v>
      </c>
      <c r="X8" s="3686"/>
      <c r="Y8" s="1734" t="s">
        <v>2665</v>
      </c>
      <c r="Z8" s="1734" t="s">
        <v>2666</v>
      </c>
      <c r="AA8" s="1734" t="s">
        <v>2667</v>
      </c>
      <c r="AB8" s="1734" t="s">
        <v>2668</v>
      </c>
      <c r="AC8" s="1734" t="s">
        <v>2669</v>
      </c>
      <c r="AD8" s="1734" t="s">
        <v>2670</v>
      </c>
      <c r="AE8" s="1734" t="s">
        <v>2671</v>
      </c>
      <c r="AF8" s="1734" t="s">
        <v>2672</v>
      </c>
      <c r="AG8" s="1734" t="s">
        <v>2673</v>
      </c>
      <c r="AH8" s="1734" t="s">
        <v>2674</v>
      </c>
      <c r="AI8" s="1734" t="s">
        <v>2675</v>
      </c>
      <c r="AJ8" s="1734" t="s">
        <v>2676</v>
      </c>
    </row>
    <row r="9" spans="1:39" ht="15">
      <c r="A9" s="3675"/>
      <c r="B9" s="1335" t="s">
        <v>917</v>
      </c>
      <c r="C9" s="1014">
        <f>SUMIF(修正!C59:C119,C8,修正!E59:E119)</f>
        <v>0</v>
      </c>
      <c r="D9" s="1015" t="s">
        <v>918</v>
      </c>
      <c r="E9" s="1015" t="e">
        <f>ROUND(C11/E7,4)</f>
        <v>#DIV/0!</v>
      </c>
      <c r="F9" s="1353" t="s">
        <v>919</v>
      </c>
      <c r="G9" s="1354"/>
      <c r="H9" s="1354"/>
      <c r="I9" s="1354"/>
      <c r="J9" s="1355"/>
      <c r="K9" s="3167"/>
      <c r="L9" s="1770" t="s">
        <v>2220</v>
      </c>
      <c r="M9" s="1771">
        <f>SUMPRODUCT((区片价!B245:B289=I2)*(区片价!C3:F3=E2)*(区片价!C245:F289))</f>
        <v>0</v>
      </c>
      <c r="N9" s="1772">
        <f>SUMPRODUCT((因素修正幅度!B245:B289=I2)*(因素修正幅度!C3:F3=E2)*(因素修正幅度!C245:F289))</f>
        <v>0</v>
      </c>
      <c r="O9" s="3167"/>
      <c r="P9" s="2040"/>
      <c r="Q9" s="2040"/>
      <c r="R9" s="2592">
        <v>8</v>
      </c>
      <c r="S9" s="2581"/>
      <c r="T9" s="2592" t="e">
        <f t="shared" si="0"/>
        <v>#DIV/0!</v>
      </c>
      <c r="U9" s="2581"/>
      <c r="V9" s="2592" t="e">
        <f t="shared" si="1"/>
        <v>#DIV/0!</v>
      </c>
      <c r="W9" s="3684"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75"/>
      <c r="B10" s="1335" t="s">
        <v>920</v>
      </c>
      <c r="C10" s="1015">
        <f>SUMIF(修正!C59:C119,C8,修正!F59:F119)</f>
        <v>0</v>
      </c>
      <c r="D10" s="1015" t="s">
        <v>921</v>
      </c>
      <c r="E10" s="1015" t="e">
        <f>ROUND(C11/E7,4)</f>
        <v>#DIV/0!</v>
      </c>
      <c r="F10" s="1353" t="s">
        <v>922</v>
      </c>
      <c r="G10" s="1354"/>
      <c r="H10" s="1354"/>
      <c r="I10" s="1354"/>
      <c r="J10" s="1355"/>
      <c r="K10" s="3167"/>
      <c r="L10" s="1770" t="s">
        <v>2221</v>
      </c>
      <c r="M10" s="1771">
        <f>SUMPRODUCT((区片价!B290:B316=I2)*(区片价!C3:F3=E2)*(区片价!C290:F316))</f>
        <v>0</v>
      </c>
      <c r="N10" s="1772">
        <f>SUMPRODUCT((因素修正幅度!B290:B316=I2)*(因素修正幅度!C3:F3=E2)*(因素修正幅度!C290:F316))</f>
        <v>0</v>
      </c>
      <c r="O10" s="3167"/>
      <c r="P10" s="2040"/>
      <c r="Q10" s="2040"/>
      <c r="R10" s="2592">
        <v>9</v>
      </c>
      <c r="S10" s="2581"/>
      <c r="T10" s="2592" t="e">
        <f t="shared" si="0"/>
        <v>#DIV/0!</v>
      </c>
      <c r="U10" s="2581"/>
      <c r="V10" s="2592" t="e">
        <f t="shared" si="1"/>
        <v>#DIV/0!</v>
      </c>
      <c r="W10" s="3684"/>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75"/>
      <c r="B11" s="1356" t="s">
        <v>923</v>
      </c>
      <c r="C11" s="1016">
        <f>C10/4</f>
        <v>0</v>
      </c>
      <c r="D11" s="1016" t="s">
        <v>924</v>
      </c>
      <c r="E11" s="1016" t="e">
        <f>ROUND(C11/E7,4)</f>
        <v>#DIV/0!</v>
      </c>
      <c r="F11" s="1357" t="s">
        <v>925</v>
      </c>
      <c r="G11" s="1358"/>
      <c r="H11" s="1358"/>
      <c r="I11" s="1358"/>
      <c r="J11" s="1359"/>
      <c r="K11" s="3167"/>
      <c r="L11" s="1770" t="s">
        <v>2222</v>
      </c>
      <c r="M11" s="1771">
        <f>SUMPRODUCT((区片价!B317:B337=I2)*(区片价!C3:F3=E2)*(区片价!C317:F337))</f>
        <v>0</v>
      </c>
      <c r="N11" s="1772">
        <f>SUMPRODUCT((因素修正幅度!B317:B337=I2)*(因素修正幅度!C3:F3=E2)*(因素修正幅度!C317:F337))</f>
        <v>0</v>
      </c>
      <c r="O11" s="3167"/>
      <c r="P11" s="2040"/>
      <c r="Q11" s="2040"/>
      <c r="R11" s="2592">
        <v>10</v>
      </c>
      <c r="S11" s="2581"/>
      <c r="T11" s="2592" t="e">
        <f t="shared" si="0"/>
        <v>#DIV/0!</v>
      </c>
      <c r="U11" s="2581"/>
      <c r="V11" s="2592" t="e">
        <f t="shared" si="1"/>
        <v>#DIV/0!</v>
      </c>
      <c r="W11" s="3684" t="s">
        <v>2679</v>
      </c>
      <c r="X11" s="1015"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74" t="s">
        <v>1847</v>
      </c>
      <c r="B12" s="1360" t="s">
        <v>926</v>
      </c>
      <c r="C12" s="1010">
        <f>ROUND(C15*D15*E15*F15*G15*H15*I15*J15,4)</f>
        <v>1</v>
      </c>
      <c r="D12" s="1361" t="s">
        <v>927</v>
      </c>
      <c r="E12" s="1362"/>
      <c r="F12" s="1362"/>
      <c r="G12" s="1363"/>
      <c r="H12" s="1363"/>
      <c r="I12" s="1363"/>
      <c r="J12" s="1364"/>
      <c r="K12" s="3167"/>
      <c r="L12" s="1773" t="s">
        <v>2223</v>
      </c>
      <c r="M12" s="1774">
        <f>SUMPRODUCT((区片价!B338:B344=I2)*(区片价!C3:F3=E2)*(区片价!C338:F344))</f>
        <v>0</v>
      </c>
      <c r="N12" s="1775">
        <f>SUMPRODUCT((因素修正幅度!B338:B344=I2)*(因素修正幅度!C3:F3=E2)*(因素修正幅度!C338:F344))</f>
        <v>0</v>
      </c>
      <c r="O12" s="3167"/>
      <c r="P12" s="2040"/>
      <c r="Q12" s="2040"/>
      <c r="R12" s="2592">
        <v>11</v>
      </c>
      <c r="S12" s="2581"/>
      <c r="T12" s="2592" t="e">
        <f t="shared" si="0"/>
        <v>#DIV/0!</v>
      </c>
      <c r="U12" s="2581"/>
      <c r="V12" s="2592" t="e">
        <f t="shared" si="1"/>
        <v>#DIV/0!</v>
      </c>
      <c r="W12" s="3684"/>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76"/>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0"/>
      <c r="Q13" s="2040"/>
      <c r="R13" s="2592">
        <v>12</v>
      </c>
      <c r="S13" s="2581"/>
      <c r="T13" s="2592" t="e">
        <f t="shared" si="0"/>
        <v>#DIV/0!</v>
      </c>
      <c r="U13" s="2581"/>
      <c r="V13" s="2592" t="e">
        <f t="shared" si="1"/>
        <v>#DIV/0!</v>
      </c>
      <c r="W13" s="3684"/>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76"/>
      <c r="B14" s="1372"/>
      <c r="C14" s="1373"/>
      <c r="D14" s="1374"/>
      <c r="E14" s="1374"/>
      <c r="F14" s="1375"/>
      <c r="G14" s="1376" t="s">
        <v>929</v>
      </c>
      <c r="H14" s="1377"/>
      <c r="I14" s="1378"/>
      <c r="J14" s="1379"/>
      <c r="K14" s="3168"/>
      <c r="L14" s="3168"/>
      <c r="M14" s="3168"/>
      <c r="N14" s="3168"/>
      <c r="O14" s="3168"/>
      <c r="P14" s="2040"/>
      <c r="Q14" s="2040"/>
      <c r="R14" s="2592">
        <v>13</v>
      </c>
      <c r="S14" s="2581"/>
      <c r="T14" s="2592" t="e">
        <f t="shared" si="0"/>
        <v>#DIV/0!</v>
      </c>
      <c r="U14" s="2581"/>
      <c r="V14" s="2592" t="e">
        <f t="shared" si="1"/>
        <v>#DIV/0!</v>
      </c>
      <c r="W14" s="2040"/>
      <c r="X14" s="2040"/>
      <c r="Y14" s="2040"/>
      <c r="Z14" s="2040"/>
      <c r="AA14" s="2040"/>
      <c r="AB14" s="2040"/>
      <c r="AC14" s="2041"/>
    </row>
    <row r="15" spans="1:39" ht="13.5" customHeight="1" thickBot="1">
      <c r="A15" s="3677"/>
      <c r="B15" s="2782" t="s">
        <v>1680</v>
      </c>
      <c r="C15" s="1016">
        <f>IF(C14="有",1.1,1)</f>
        <v>1</v>
      </c>
      <c r="D15" s="1016">
        <f>IF(D14="有",1.1,1)</f>
        <v>1</v>
      </c>
      <c r="E15" s="1016">
        <f>IF(E14="有",1.1,1)</f>
        <v>1</v>
      </c>
      <c r="F15" s="1016">
        <f>IF(F14="500米范围内",1.2,IF(F14="500-1000米",1.1,1))</f>
        <v>1</v>
      </c>
      <c r="G15" s="2774">
        <v>1</v>
      </c>
      <c r="H15" s="2774">
        <v>1</v>
      </c>
      <c r="I15" s="2774">
        <v>1</v>
      </c>
      <c r="J15" s="2775">
        <v>1</v>
      </c>
      <c r="K15" s="2778"/>
      <c r="L15" s="2778"/>
      <c r="M15" s="2778"/>
      <c r="N15" s="2778"/>
      <c r="O15" s="2778"/>
      <c r="P15" s="2040"/>
      <c r="Q15" s="2040"/>
      <c r="R15" s="2592">
        <v>14</v>
      </c>
      <c r="S15" s="2581"/>
      <c r="T15" s="2592" t="e">
        <f t="shared" si="0"/>
        <v>#DIV/0!</v>
      </c>
      <c r="U15" s="2581"/>
      <c r="V15" s="2592" t="e">
        <f t="shared" si="1"/>
        <v>#DIV/0!</v>
      </c>
      <c r="W15" s="2040"/>
      <c r="X15" s="2040"/>
      <c r="Y15" s="2040"/>
      <c r="Z15" s="2040"/>
      <c r="AA15" s="2040"/>
      <c r="AB15" s="2040"/>
      <c r="AC15" s="2041"/>
    </row>
    <row r="16" spans="1:39" ht="24.6" customHeight="1">
      <c r="A16" s="3674" t="s">
        <v>1818</v>
      </c>
      <c r="B16" s="1348" t="s">
        <v>930</v>
      </c>
      <c r="C16" s="1019" t="e">
        <f>ROUND(IF(F17="与级别开发程度一致",0,(G17-E17)/C17),0)</f>
        <v>#DIV/0!</v>
      </c>
      <c r="D16" s="3692" t="s">
        <v>934</v>
      </c>
      <c r="E16" s="3693"/>
      <c r="F16" s="3692" t="s">
        <v>931</v>
      </c>
      <c r="G16" s="3693"/>
      <c r="H16" s="1380"/>
      <c r="I16" s="1380"/>
      <c r="J16" s="1380"/>
      <c r="K16" s="1380"/>
      <c r="L16" s="1380"/>
      <c r="M16" s="1380"/>
      <c r="N16" s="1380"/>
      <c r="O16" s="2787"/>
      <c r="P16" s="2040"/>
      <c r="Q16" s="2043"/>
      <c r="R16" s="2592">
        <v>15</v>
      </c>
      <c r="S16" s="2581"/>
      <c r="T16" s="2592" t="e">
        <f t="shared" si="0"/>
        <v>#DIV/0!</v>
      </c>
      <c r="U16" s="2581"/>
      <c r="V16" s="2592" t="e">
        <f t="shared" si="1"/>
        <v>#DIV/0!</v>
      </c>
      <c r="W16" s="2043"/>
      <c r="X16" s="2043"/>
      <c r="Y16" s="2043"/>
      <c r="Z16" s="2043"/>
      <c r="AA16" s="2043"/>
      <c r="AB16" s="2043"/>
      <c r="AC16" s="2044"/>
    </row>
    <row r="17" spans="1:40" ht="13.5" thickBot="1">
      <c r="A17" s="3678"/>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91">
        <f>SUMPRODUCT((七通一平=O16)*(修正!B1:M1=G2)*(修正!B6:M14))</f>
        <v>0</v>
      </c>
      <c r="P17" s="2040"/>
      <c r="Q17" s="2043"/>
      <c r="R17" s="2044"/>
      <c r="S17" s="2044"/>
      <c r="T17" s="2044"/>
      <c r="U17" s="2044"/>
      <c r="V17" s="2044"/>
      <c r="W17" s="2043"/>
      <c r="X17" s="2043"/>
      <c r="Y17" s="2043"/>
      <c r="Z17" s="2043"/>
      <c r="AA17" s="2043"/>
      <c r="AB17" s="2043"/>
      <c r="AC17" s="2044"/>
      <c r="AH17" s="1323"/>
      <c r="AI17" s="1323"/>
      <c r="AJ17" s="1326"/>
      <c r="AK17" s="1326"/>
      <c r="AL17" s="1326"/>
      <c r="AM17" s="1326"/>
    </row>
    <row r="18" spans="1:40" s="1342" customFormat="1" ht="15.75" thickBot="1">
      <c r="A18" s="2435" t="s">
        <v>1809</v>
      </c>
      <c r="B18" s="2783" t="s">
        <v>935</v>
      </c>
      <c r="C18" s="2784">
        <f>SUMIF(修正!C18:C39,E3,修正!E18:E39)</f>
        <v>0</v>
      </c>
      <c r="D18" s="2785"/>
      <c r="E18" s="2786"/>
      <c r="F18" s="2769"/>
      <c r="G18" s="2768"/>
      <c r="H18" s="2768"/>
      <c r="I18" s="2768"/>
      <c r="J18" s="2776"/>
      <c r="K18" s="3166"/>
      <c r="L18" s="2768"/>
      <c r="M18" s="2768"/>
      <c r="N18" s="2768"/>
      <c r="O18" s="2768"/>
      <c r="P18" s="3171"/>
      <c r="Q18" s="2045"/>
      <c r="R18" s="2045"/>
      <c r="S18" s="2045"/>
      <c r="T18" s="2045"/>
      <c r="U18" s="2045"/>
      <c r="V18" s="2045"/>
      <c r="W18" s="2044"/>
      <c r="X18" s="2044"/>
      <c r="Y18" s="2044"/>
      <c r="Z18" s="2044"/>
      <c r="AA18" s="2043"/>
      <c r="AB18" s="2043"/>
      <c r="AC18" s="2046"/>
      <c r="AD18" s="1385"/>
      <c r="AE18" s="1385"/>
      <c r="AF18" s="1385"/>
      <c r="AG18" s="1385"/>
      <c r="AH18" s="1324"/>
      <c r="AI18" s="1324"/>
      <c r="AJ18" s="1325"/>
      <c r="AK18" s="1325"/>
      <c r="AL18" s="1325"/>
    </row>
    <row r="19" spans="1:40" s="1342" customFormat="1" ht="27.75" thickBot="1">
      <c r="A19" s="1540" t="s">
        <v>1815</v>
      </c>
      <c r="B19" s="1383" t="s">
        <v>936</v>
      </c>
      <c r="C19" s="1020">
        <f>ROUND(IF(H19="按公示增长率计算",SUMPRODUCT((地价!A3:A37=YEAR(G19)&amp;"-"&amp;ROUNDUP(MONTH(G19)/3,0))*(地价!X2:AB2=E2)*(地价!X3:AB37)),IF(H19="地价指数",M20/M19,(1+I19)^O19)),4)</f>
        <v>0</v>
      </c>
      <c r="D19" s="1387" t="s">
        <v>937</v>
      </c>
      <c r="E19" s="1021">
        <v>41640</v>
      </c>
      <c r="F19" s="1387" t="s">
        <v>938</v>
      </c>
      <c r="G19" s="1022">
        <f>'数据-取费表'!B2</f>
        <v>44649</v>
      </c>
      <c r="H19" s="1388" t="s">
        <v>2865</v>
      </c>
      <c r="I19" s="2441" t="str">
        <f>IF(H19="季度增幅（自定义）",SUMIF(N21:N24,E2,O21:O24),"")</f>
        <v/>
      </c>
      <c r="J19" s="1384"/>
      <c r="K19" s="3166"/>
      <c r="L19" s="2688" t="s">
        <v>2737</v>
      </c>
      <c r="M19" s="2689">
        <f>ROUND(SUMIF(地价!B2:F2,E2,地价!B37:F37),0)</f>
        <v>0</v>
      </c>
      <c r="N19" s="2443" t="s">
        <v>1656</v>
      </c>
      <c r="O19" s="2442">
        <f>ROUNDDOWN(DATEDIF(E19,G19,"M")/3,0)</f>
        <v>32</v>
      </c>
      <c r="P19" s="2044"/>
      <c r="Q19" s="2580"/>
      <c r="R19" s="2046"/>
      <c r="S19" s="2046"/>
      <c r="T19" s="2046"/>
      <c r="U19" s="2046"/>
      <c r="V19" s="2046"/>
      <c r="W19" s="2046"/>
      <c r="X19" s="2046"/>
      <c r="Y19" s="1324"/>
      <c r="Z19" s="1324"/>
      <c r="AA19" s="1324"/>
      <c r="AB19" s="1324"/>
      <c r="AC19" s="1385"/>
      <c r="AD19" s="1386"/>
      <c r="AE19" s="1390"/>
      <c r="AF19" s="1325"/>
      <c r="AG19" s="1341"/>
      <c r="AH19" s="1341"/>
      <c r="AI19" s="1341"/>
    </row>
    <row r="20" spans="1:40" s="1342" customFormat="1" ht="27.75" thickBot="1">
      <c r="A20" s="2435" t="s">
        <v>1816</v>
      </c>
      <c r="B20" s="2436" t="s">
        <v>951</v>
      </c>
      <c r="C20" s="2437" t="e">
        <f>ROUND(POWER(1+G20,J20-I20)*(POWER(1+G20,I20)-1)/(POWER(1+G20,J20)-1),4)</f>
        <v>#DIV/0!</v>
      </c>
      <c r="D20" s="2438" t="s">
        <v>952</v>
      </c>
      <c r="E20" s="2717">
        <f>存贷款利率!E20/100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6"/>
      <c r="S20" s="2046"/>
      <c r="T20" s="2046"/>
      <c r="U20" s="2046"/>
      <c r="V20" s="2046"/>
      <c r="W20" s="2046"/>
      <c r="X20" s="2046"/>
      <c r="Y20" s="1385"/>
      <c r="Z20" s="1385"/>
      <c r="AA20" s="1385"/>
      <c r="AB20" s="1385"/>
      <c r="AC20" s="1385"/>
      <c r="AD20" s="1385"/>
    </row>
    <row r="21" spans="1:40" s="1342" customFormat="1" ht="14.25">
      <c r="A21" s="1542" t="s">
        <v>1817</v>
      </c>
      <c r="B21" s="1393" t="s">
        <v>2899</v>
      </c>
      <c r="C21" s="1121" t="b">
        <f>IF(B21="容积率修正",IF(G3&lt;=10,D22,J22),C23)</f>
        <v>0</v>
      </c>
      <c r="D21" s="1394"/>
      <c r="E21" s="1394"/>
      <c r="F21" s="1394"/>
      <c r="G21" s="1394"/>
      <c r="H21" s="1394"/>
      <c r="I21" s="1394"/>
      <c r="J21" s="1395"/>
      <c r="K21" s="3166"/>
      <c r="L21" s="1394"/>
      <c r="M21" s="1394"/>
      <c r="N21" s="1391" t="s">
        <v>955</v>
      </c>
      <c r="O21" s="1454"/>
      <c r="P21" s="2433">
        <f>SUMPRODUCT((地价!A3:A37=YEAR(G19)&amp;"-"&amp;ROUNDUP(MONTH(G19)/3,0))*(地价!AD2:AH2=N21)*(地价!AD3:AH37))</f>
        <v>1.03E-2</v>
      </c>
      <c r="Q21" s="2580"/>
      <c r="R21" s="2046"/>
      <c r="S21" s="2046"/>
      <c r="T21" s="2046"/>
      <c r="U21" s="2046"/>
      <c r="V21" s="2046"/>
      <c r="W21" s="2046"/>
      <c r="X21" s="2046"/>
      <c r="Y21" s="1324"/>
      <c r="Z21" s="1324"/>
      <c r="AA21" s="1324"/>
      <c r="AB21" s="1324"/>
      <c r="AC21" s="1385"/>
      <c r="AD21" s="1385"/>
    </row>
    <row r="22" spans="1:40" s="1342" customFormat="1" ht="14.25">
      <c r="A22" s="1543" t="s">
        <v>1846</v>
      </c>
      <c r="B22" s="1396" t="s">
        <v>956</v>
      </c>
      <c r="C22" s="1023" t="s">
        <v>1682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2"/>
      <c r="L22" s="1394"/>
      <c r="M22" s="1394"/>
      <c r="N22" s="1391" t="s">
        <v>958</v>
      </c>
      <c r="O22" s="1454"/>
      <c r="P22" s="2433">
        <f>SUMPRODUCT((地价!A3:A37=YEAR(G19)&amp;"-"&amp;ROUNDUP(MONTH(G19)/3,0))*(地价!AD2:AH2=N22)*(地价!AD3:AH37))</f>
        <v>1.03E-2</v>
      </c>
      <c r="Q22" s="2580"/>
      <c r="R22" s="2046"/>
      <c r="S22" s="2046"/>
      <c r="T22" s="2046"/>
      <c r="U22" s="2046"/>
      <c r="V22" s="2046"/>
      <c r="W22" s="2046"/>
      <c r="X22" s="2046"/>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3">
        <f>SUMPRODUCT((地价!A3:A37=YEAR(G19)&amp;"-"&amp;ROUNDUP(MONTH(G19)/3,0))*(地价!AD2:AH2=N23)*(地价!AD3:AH37))</f>
        <v>1.8100000000000002E-2</v>
      </c>
      <c r="Q23" s="2580"/>
      <c r="R23" s="2046"/>
      <c r="S23" s="2046"/>
      <c r="T23" s="2046"/>
      <c r="U23" s="2046"/>
      <c r="V23" s="2046"/>
      <c r="W23" s="2046"/>
      <c r="X23" s="2046"/>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0</v>
      </c>
      <c r="D24" s="1447"/>
      <c r="E24" s="1448"/>
      <c r="F24" s="1448"/>
      <c r="G24" s="1448"/>
      <c r="H24" s="1448"/>
      <c r="I24" s="1448"/>
      <c r="J24" s="1448"/>
      <c r="K24" s="3173"/>
      <c r="L24" s="1394"/>
      <c r="M24" s="1394"/>
      <c r="N24" s="1391" t="s">
        <v>961</v>
      </c>
      <c r="O24" s="2770"/>
      <c r="P24" s="2433">
        <f>SUMPRODUCT((地价!A3:A37=YEAR(G19)&amp;"-"&amp;ROUNDUP(MONTH(G19)/3,0))*(地价!AD2:AH2=N24)*(地价!AD3:AH37))</f>
        <v>1.2E-2</v>
      </c>
      <c r="Q24" s="2580"/>
      <c r="R24" s="2046"/>
      <c r="S24" s="2046"/>
      <c r="T24" s="2046"/>
      <c r="U24" s="2046"/>
      <c r="V24" s="2046"/>
      <c r="W24" s="2046"/>
      <c r="X24" s="2046"/>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6"/>
      <c r="M25" s="2046"/>
      <c r="N25" s="2772" t="s">
        <v>2547</v>
      </c>
      <c r="O25" s="2773"/>
      <c r="P25" s="2272">
        <f>SUMPRODUCT((地价!A3:A37=YEAR(G19)&amp;"-"&amp;ROUNDUP(MONTH(G19)/3,0))*(地价!AD2:AH2=N25)*(地价!AD3:AH37))</f>
        <v>1.6400000000000001E-2</v>
      </c>
      <c r="Q25" s="2580"/>
      <c r="R25" s="2046"/>
      <c r="S25" s="2046"/>
      <c r="T25" s="2046"/>
      <c r="U25" s="2046"/>
      <c r="V25" s="2046"/>
      <c r="W25" s="2046"/>
      <c r="X25" s="2046"/>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80"/>
      <c r="R26" s="2046"/>
      <c r="S26" s="2046"/>
      <c r="T26" s="2046"/>
      <c r="U26" s="2046"/>
      <c r="V26" s="2046"/>
      <c r="W26" s="2046"/>
      <c r="X26" s="2046"/>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t="e">
        <f>E30+SUM(I33:I39)</f>
        <v>#DIV/0!</v>
      </c>
      <c r="D27" s="1406"/>
      <c r="E27" s="1407"/>
      <c r="F27" s="1408"/>
      <c r="G27" s="1407"/>
      <c r="H27" s="1407"/>
      <c r="I27" s="1407"/>
      <c r="J27" s="1409"/>
      <c r="K27" s="3167"/>
      <c r="L27" s="1381" t="s">
        <v>967</v>
      </c>
      <c r="M27" s="1014">
        <v>0.25</v>
      </c>
      <c r="N27" s="1014">
        <v>0.2</v>
      </c>
      <c r="O27" s="1014">
        <v>0.15</v>
      </c>
      <c r="P27" s="1451">
        <v>0.1</v>
      </c>
      <c r="Q27" s="2046"/>
      <c r="R27" s="2580"/>
      <c r="S27" s="2580"/>
      <c r="T27" s="2580"/>
      <c r="U27" s="2580"/>
      <c r="V27" s="2580"/>
      <c r="W27" s="2046"/>
      <c r="X27" s="2046"/>
      <c r="Y27" s="2046"/>
      <c r="Z27" s="2046"/>
      <c r="AA27" s="2046"/>
      <c r="AB27" s="2046"/>
      <c r="AC27" s="2046"/>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6"/>
      <c r="R28" s="2580"/>
      <c r="S28" s="2580"/>
      <c r="T28" s="2580"/>
      <c r="U28" s="2580"/>
      <c r="V28" s="2580"/>
      <c r="W28" s="2046"/>
      <c r="X28" s="2046"/>
      <c r="Y28" s="2046"/>
      <c r="Z28" s="2046"/>
      <c r="AA28" s="2046"/>
      <c r="AB28" s="2046"/>
      <c r="AC28" s="2046"/>
      <c r="AD28" s="1385"/>
      <c r="AE28" s="1385"/>
      <c r="AF28" s="1385"/>
      <c r="AG28" s="1385"/>
    </row>
    <row r="29" spans="1:40" ht="14.25">
      <c r="A29" s="1414"/>
      <c r="B29" s="1415" t="s">
        <v>973</v>
      </c>
      <c r="C29" s="1026" t="e">
        <f>ROUND(C5*C18*C19*C20*C21*C24,0)</f>
        <v>#DIV/0!</v>
      </c>
      <c r="D29" s="1416"/>
      <c r="E29" s="1734" t="e">
        <f>ROUND(C29*D29/10000,0)</f>
        <v>#DIV/0!</v>
      </c>
      <c r="F29" s="1417" t="s">
        <v>1681</v>
      </c>
      <c r="G29" s="1418"/>
      <c r="H29" s="1418"/>
      <c r="I29" s="1418"/>
      <c r="J29" s="1419"/>
      <c r="K29" s="3174"/>
      <c r="L29" s="3174"/>
      <c r="M29" s="3174"/>
      <c r="N29" s="3174"/>
      <c r="O29" s="3174"/>
      <c r="P29" s="2040"/>
      <c r="Q29" s="2046"/>
      <c r="R29" s="2046"/>
      <c r="S29" s="2046"/>
      <c r="T29" s="2046"/>
      <c r="U29" s="2046"/>
      <c r="V29" s="2046"/>
      <c r="W29" s="2580"/>
      <c r="X29" s="2580"/>
      <c r="Y29" s="2580"/>
      <c r="Z29" s="2580"/>
      <c r="AA29" s="2580"/>
      <c r="AB29" s="2046"/>
      <c r="AC29" s="2046"/>
      <c r="AD29" s="2046"/>
      <c r="AE29" s="2046"/>
      <c r="AF29" s="2046"/>
      <c r="AG29" s="2046"/>
      <c r="AH29" s="2046"/>
      <c r="AJ29" s="1324"/>
      <c r="AK29" s="1324"/>
      <c r="AL29" s="1324"/>
      <c r="AM29" s="1323"/>
      <c r="AN29" s="1323"/>
    </row>
    <row r="30" spans="1:40" ht="24.75" thickBot="1">
      <c r="A30" s="1420"/>
      <c r="B30" s="1421" t="s">
        <v>974</v>
      </c>
      <c r="C30" s="1018" t="e">
        <f>ROUND(IF(E2="工业",C29*M39,C29*M38),0)</f>
        <v>#DIV/0!</v>
      </c>
      <c r="D30" s="1422"/>
      <c r="E30" s="1734" t="e">
        <f>ROUND(C30*D30/10000,0)</f>
        <v>#DIV/0!</v>
      </c>
      <c r="F30" s="1423" t="s">
        <v>975</v>
      </c>
      <c r="G30" s="1424"/>
      <c r="H30" s="1424"/>
      <c r="I30" s="1424"/>
      <c r="J30" s="1425"/>
      <c r="K30" s="3167"/>
      <c r="L30" s="3167"/>
      <c r="M30" s="3167"/>
      <c r="N30" s="3167"/>
      <c r="O30" s="3167"/>
      <c r="P30" s="2040"/>
      <c r="Q30" s="2040"/>
      <c r="R30" s="2040"/>
      <c r="S30" s="2040"/>
      <c r="T30" s="2040"/>
      <c r="U30" s="2040"/>
      <c r="V30" s="2040"/>
      <c r="W30" s="2041"/>
      <c r="X30" s="2041"/>
      <c r="Y30" s="2041"/>
      <c r="Z30" s="2041"/>
      <c r="AA30" s="2041"/>
      <c r="AB30" s="2040"/>
      <c r="AC30" s="2040"/>
      <c r="AD30" s="2040"/>
      <c r="AE30" s="2040"/>
      <c r="AF30" s="2040"/>
      <c r="AG30" s="2040"/>
      <c r="AH30" s="2040"/>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40"/>
      <c r="Q31" s="2040"/>
      <c r="R31" s="2040"/>
      <c r="S31" s="2040"/>
      <c r="T31" s="2040"/>
      <c r="U31" s="2040"/>
      <c r="V31" s="2040"/>
      <c r="W31" s="2041"/>
      <c r="X31" s="2041"/>
      <c r="Y31" s="2041"/>
      <c r="Z31" s="2041"/>
      <c r="AA31" s="2041"/>
      <c r="AB31" s="2040"/>
      <c r="AC31" s="2040"/>
      <c r="AD31" s="2040"/>
      <c r="AE31" s="2040"/>
      <c r="AF31" s="2040"/>
      <c r="AG31" s="2040"/>
      <c r="AH31" s="2040"/>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40"/>
      <c r="Q32" s="2040"/>
      <c r="R32" s="2040"/>
      <c r="S32" s="2040"/>
      <c r="T32" s="2040"/>
      <c r="U32" s="2040"/>
      <c r="V32" s="2040"/>
      <c r="W32" s="2041"/>
      <c r="X32" s="2041"/>
      <c r="Y32" s="2041"/>
      <c r="Z32" s="2041"/>
      <c r="AA32" s="2041"/>
      <c r="AB32" s="2040"/>
      <c r="AC32" s="2040"/>
      <c r="AD32" s="2040"/>
      <c r="AE32" s="2040"/>
      <c r="AF32" s="2040"/>
      <c r="AG32" s="2040"/>
      <c r="AH32" s="2040"/>
      <c r="AI32" s="1323"/>
      <c r="AJ32" s="1323"/>
      <c r="AK32" s="1323"/>
      <c r="AL32" s="1323"/>
      <c r="AM32" s="1323"/>
      <c r="AN32" s="1323"/>
    </row>
    <row r="33" spans="1:44" ht="12.75">
      <c r="A33" s="3681"/>
      <c r="B33" s="1436" t="s">
        <v>979</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3681" t="s">
        <v>2903</v>
      </c>
      <c r="K33" s="2777"/>
      <c r="L33" s="2777"/>
      <c r="M33" s="2777"/>
      <c r="N33" s="2777"/>
      <c r="O33" s="2777"/>
      <c r="P33" s="2040"/>
      <c r="Q33" s="2040"/>
      <c r="R33" s="2040"/>
      <c r="S33" s="2040"/>
      <c r="T33" s="2040"/>
      <c r="U33" s="2040"/>
      <c r="V33" s="2040"/>
      <c r="W33" s="2041"/>
      <c r="X33" s="2041"/>
      <c r="Y33" s="2041"/>
      <c r="Z33" s="2041"/>
      <c r="AA33" s="2041"/>
      <c r="AB33" s="2040"/>
      <c r="AC33" s="2040"/>
      <c r="AD33" s="2040"/>
      <c r="AE33" s="2040"/>
      <c r="AF33" s="2040"/>
      <c r="AG33" s="2040"/>
      <c r="AH33" s="2041"/>
      <c r="AJ33" s="1324"/>
      <c r="AK33" s="1324"/>
      <c r="AL33" s="1324"/>
      <c r="AM33" s="1324"/>
      <c r="AN33" s="1324"/>
      <c r="AO33" s="1325"/>
      <c r="AP33" s="1325"/>
      <c r="AQ33" s="1325"/>
      <c r="AR33" s="1325"/>
    </row>
    <row r="34" spans="1:44" ht="12.75">
      <c r="A34" s="3682"/>
      <c r="B34" s="1366" t="s">
        <v>980</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682"/>
      <c r="K34" s="2777"/>
      <c r="L34" s="2777"/>
      <c r="M34" s="2777"/>
      <c r="N34" s="2777"/>
      <c r="O34" s="2777"/>
      <c r="P34" s="2040"/>
      <c r="Q34" s="2040"/>
      <c r="R34" s="2040"/>
      <c r="S34" s="2040"/>
      <c r="T34" s="2040"/>
      <c r="U34" s="2040"/>
      <c r="V34" s="2040"/>
      <c r="W34" s="2041"/>
      <c r="X34" s="2041"/>
      <c r="Y34" s="2041"/>
      <c r="Z34" s="2041"/>
      <c r="AA34" s="2041"/>
      <c r="AB34" s="2040"/>
      <c r="AC34" s="2040"/>
      <c r="AD34" s="2040"/>
      <c r="AE34" s="2040"/>
      <c r="AF34" s="2040"/>
      <c r="AG34" s="2040"/>
      <c r="AH34" s="2041"/>
      <c r="AJ34" s="1324"/>
      <c r="AK34" s="1324"/>
      <c r="AL34" s="1324"/>
      <c r="AM34" s="1324"/>
      <c r="AN34" s="1324"/>
      <c r="AO34" s="1325"/>
      <c r="AP34" s="1325"/>
      <c r="AQ34" s="1325"/>
      <c r="AR34" s="1325"/>
    </row>
    <row r="35" spans="1:44" ht="12.75">
      <c r="A35" s="3682"/>
      <c r="B35" s="1366" t="s">
        <v>981</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3682"/>
      <c r="K35" s="2777"/>
      <c r="L35" s="2777"/>
      <c r="M35" s="2777"/>
      <c r="N35" s="2777"/>
      <c r="O35" s="2777"/>
      <c r="P35" s="2040"/>
      <c r="Q35" s="2040"/>
      <c r="R35" s="2040"/>
      <c r="S35" s="2040"/>
      <c r="T35" s="2040"/>
      <c r="U35" s="2040"/>
      <c r="V35" s="2040"/>
      <c r="W35" s="2041"/>
      <c r="X35" s="2041"/>
      <c r="Y35" s="2041"/>
      <c r="Z35" s="2041"/>
      <c r="AA35" s="2041"/>
      <c r="AB35" s="2040"/>
      <c r="AC35" s="2040"/>
      <c r="AD35" s="2040"/>
      <c r="AE35" s="2040"/>
      <c r="AF35" s="2040"/>
      <c r="AG35" s="2040"/>
      <c r="AH35" s="2041"/>
      <c r="AJ35" s="1324"/>
      <c r="AK35" s="1324"/>
      <c r="AL35" s="1324"/>
      <c r="AM35" s="1324"/>
      <c r="AN35" s="1324"/>
      <c r="AO35" s="1325"/>
      <c r="AP35" s="1325"/>
      <c r="AQ35" s="1325"/>
      <c r="AR35" s="1325"/>
    </row>
    <row r="36" spans="1:44" ht="13.5" thickBot="1">
      <c r="A36" s="3683"/>
      <c r="B36" s="1366" t="s">
        <v>982</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3683"/>
      <c r="K36" s="2777"/>
      <c r="L36" s="2777"/>
      <c r="M36" s="2777"/>
      <c r="N36" s="2777"/>
      <c r="O36" s="2777"/>
      <c r="P36" s="2040"/>
      <c r="Q36" s="2040"/>
      <c r="R36" s="2040"/>
      <c r="S36" s="2040"/>
      <c r="T36" s="2040"/>
      <c r="U36" s="2040"/>
      <c r="V36" s="2040"/>
      <c r="W36" s="2041"/>
      <c r="X36" s="2041"/>
      <c r="Y36" s="2041"/>
      <c r="Z36" s="2041"/>
      <c r="AA36" s="2041"/>
      <c r="AB36" s="2040"/>
      <c r="AC36" s="2040"/>
      <c r="AD36" s="2040"/>
      <c r="AE36" s="2040"/>
      <c r="AF36" s="2040"/>
      <c r="AG36" s="2040"/>
      <c r="AH36" s="2041"/>
      <c r="AJ36" s="1324"/>
      <c r="AK36" s="1324"/>
      <c r="AL36" s="1324"/>
      <c r="AM36" s="1324"/>
      <c r="AN36" s="1324"/>
      <c r="AO36" s="1325"/>
      <c r="AP36" s="1325"/>
      <c r="AQ36" s="1325"/>
      <c r="AR36" s="1325"/>
    </row>
    <row r="37" spans="1:44" ht="12.75">
      <c r="A37" s="1435"/>
      <c r="B37" s="1366" t="s">
        <v>983</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40"/>
      <c r="L37" s="1455" t="s">
        <v>1683</v>
      </c>
      <c r="M37" s="1456"/>
      <c r="N37" s="2040"/>
      <c r="O37" s="2040"/>
      <c r="P37" s="2040"/>
      <c r="Q37" s="2040"/>
      <c r="R37" s="2041"/>
      <c r="S37" s="2041"/>
      <c r="T37" s="2041"/>
      <c r="U37" s="2041"/>
      <c r="V37" s="2041"/>
      <c r="W37" s="2040"/>
      <c r="X37" s="2040"/>
      <c r="Y37" s="2040"/>
      <c r="Z37" s="2040"/>
      <c r="AA37" s="2040"/>
      <c r="AB37" s="2040"/>
      <c r="AC37" s="2041"/>
    </row>
    <row r="38" spans="1:44" ht="12.75">
      <c r="A38" s="1435"/>
      <c r="B38" s="1366" t="s">
        <v>984</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40"/>
      <c r="L38" s="1457" t="s">
        <v>1685</v>
      </c>
      <c r="M38" s="1458">
        <v>0.25</v>
      </c>
      <c r="N38" s="2040"/>
      <c r="O38" s="2040"/>
      <c r="P38" s="2040"/>
      <c r="Q38" s="2040"/>
      <c r="R38" s="2041"/>
      <c r="S38" s="2041"/>
      <c r="T38" s="2041"/>
      <c r="U38" s="2041"/>
      <c r="V38" s="2041"/>
      <c r="W38" s="2040"/>
      <c r="X38" s="2040"/>
      <c r="Y38" s="2040"/>
      <c r="Z38" s="2040"/>
      <c r="AA38" s="2040"/>
      <c r="AB38" s="2040"/>
      <c r="AC38" s="2041"/>
    </row>
    <row r="39" spans="1:44" ht="13.5" thickBot="1">
      <c r="A39" s="1420"/>
      <c r="B39" s="1438" t="s">
        <v>985</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40"/>
      <c r="L39" s="1459" t="s">
        <v>1684</v>
      </c>
      <c r="M39" s="1460">
        <v>0.15</v>
      </c>
      <c r="N39" s="2040"/>
      <c r="O39" s="2040"/>
      <c r="P39" s="2040"/>
      <c r="Q39" s="2040"/>
      <c r="R39" s="2041"/>
      <c r="S39" s="2041"/>
      <c r="T39" s="2041"/>
      <c r="U39" s="2041"/>
      <c r="V39" s="2041"/>
      <c r="W39" s="2040"/>
      <c r="X39" s="2040"/>
      <c r="Y39" s="2040"/>
      <c r="Z39" s="2040"/>
      <c r="AA39" s="2040"/>
      <c r="AB39" s="2040"/>
      <c r="AC39" s="2041"/>
    </row>
    <row r="40" spans="1:44" s="1323"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4"/>
      <c r="AE40" s="1324"/>
      <c r="AF40" s="1324"/>
      <c r="AG40" s="1324"/>
      <c r="AH40" s="1324"/>
      <c r="AI40" s="1324"/>
      <c r="AJ40" s="1324"/>
      <c r="AK40" s="1324"/>
      <c r="AL40" s="1324"/>
      <c r="AM40" s="1324"/>
    </row>
    <row r="41" spans="1:44" s="1323" customFormat="1" ht="12.75">
      <c r="A41" s="1324"/>
      <c r="B41" s="2767" t="s">
        <v>2860</v>
      </c>
      <c r="C41" s="811" t="e">
        <f>ROUND(POWER(1+E41,H41-G41)*(POWER(1+E41,G41)-1)/(POWER(1+E41,H41)-1),4)</f>
        <v>#DIV/0!</v>
      </c>
      <c r="D41" s="372" t="s">
        <v>2858</v>
      </c>
      <c r="E41" s="2766">
        <f>G20</f>
        <v>0</v>
      </c>
      <c r="F41" s="372" t="s">
        <v>2859</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4"/>
      <c r="AE41" s="1324"/>
      <c r="AF41" s="1324"/>
      <c r="AG41" s="1324"/>
      <c r="AH41" s="1324"/>
      <c r="AI41" s="1324"/>
      <c r="AJ41" s="1324"/>
      <c r="AK41" s="1324"/>
      <c r="AL41" s="1324"/>
      <c r="AM41" s="1324"/>
    </row>
    <row r="42" spans="1:44" s="1323" customFormat="1">
      <c r="A42" s="1324"/>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4"/>
      <c r="AE42" s="1324"/>
      <c r="AF42" s="1324"/>
      <c r="AG42" s="1324"/>
      <c r="AH42" s="1324"/>
      <c r="AI42" s="1324"/>
      <c r="AJ42" s="1324"/>
      <c r="AK42" s="1324"/>
      <c r="AL42" s="1324"/>
      <c r="AM42" s="1324"/>
    </row>
    <row r="43" spans="1:44" s="1323" customFormat="1">
      <c r="A43" s="1324"/>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4"/>
      <c r="AE43" s="1324"/>
      <c r="AF43" s="1324"/>
      <c r="AG43" s="1324"/>
      <c r="AH43" s="1324"/>
      <c r="AI43" s="1324"/>
      <c r="AJ43" s="1324"/>
      <c r="AK43" s="1324"/>
      <c r="AL43" s="1324"/>
      <c r="AM43" s="1324"/>
    </row>
    <row r="44" spans="1:44" s="1323" customFormat="1" ht="15" thickBot="1">
      <c r="A44" s="2244" t="s">
        <v>986</v>
      </c>
      <c r="B44" s="2245"/>
      <c r="C44" s="2246"/>
      <c r="D44" s="2247"/>
      <c r="E44" s="2247"/>
      <c r="F44" s="2248"/>
      <c r="G44" s="1029"/>
      <c r="H44" s="2248"/>
      <c r="I44" s="1029"/>
      <c r="J44" s="1029"/>
      <c r="K44" s="1029"/>
      <c r="L44" s="1029"/>
      <c r="M44" s="1029"/>
      <c r="O44" s="2047"/>
      <c r="P44" s="2047"/>
      <c r="Q44" s="2047"/>
      <c r="R44" s="2048"/>
      <c r="S44" s="2048"/>
      <c r="T44" s="2048"/>
      <c r="U44" s="2048"/>
      <c r="V44" s="2048"/>
      <c r="W44" s="2047"/>
      <c r="X44" s="2047"/>
      <c r="Y44" s="2047"/>
      <c r="Z44" s="2047"/>
      <c r="AA44" s="2047"/>
      <c r="AB44" s="2047"/>
      <c r="AC44" s="2048"/>
      <c r="AD44" s="1324"/>
      <c r="AE44" s="1324"/>
      <c r="AF44" s="1324"/>
      <c r="AG44" s="1324"/>
      <c r="AH44" s="1324"/>
      <c r="AI44" s="1324"/>
      <c r="AJ44" s="1324"/>
      <c r="AK44" s="1324"/>
      <c r="AL44" s="1324"/>
      <c r="AM44" s="1324"/>
    </row>
    <row r="45" spans="1:44" s="1323" customFormat="1" ht="15">
      <c r="A45" s="2249" t="s">
        <v>987</v>
      </c>
      <c r="B45" s="2250">
        <f>1+E47</f>
        <v>1</v>
      </c>
      <c r="C45" s="2251"/>
      <c r="D45" s="2252"/>
      <c r="E45" s="2253"/>
      <c r="F45" s="2254"/>
      <c r="G45" s="2248"/>
      <c r="H45" s="2248"/>
      <c r="I45" s="1029"/>
      <c r="J45" s="1029"/>
      <c r="K45" s="1029"/>
      <c r="L45" s="1029"/>
      <c r="M45" s="1029"/>
      <c r="O45" s="2047"/>
      <c r="P45" s="2047"/>
      <c r="Q45" s="2047"/>
      <c r="R45" s="2048"/>
      <c r="S45" s="2048"/>
      <c r="T45" s="2048"/>
      <c r="U45" s="2048"/>
      <c r="V45" s="2048"/>
      <c r="W45" s="2047"/>
      <c r="X45" s="2047"/>
      <c r="Y45" s="2047"/>
      <c r="Z45" s="2047"/>
      <c r="AA45" s="2047"/>
      <c r="AB45" s="2047"/>
      <c r="AC45" s="2048"/>
      <c r="AD45" s="1324"/>
      <c r="AE45" s="1324"/>
      <c r="AF45" s="1324"/>
      <c r="AG45" s="1324"/>
      <c r="AH45" s="1324"/>
      <c r="AI45" s="1324"/>
      <c r="AJ45" s="1324"/>
      <c r="AK45" s="1324"/>
      <c r="AL45" s="1324"/>
      <c r="AM45" s="1324"/>
    </row>
    <row r="46" spans="1:44" s="1323" customFormat="1" ht="24">
      <c r="A46" s="1030"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47"/>
      <c r="Q46" s="2047"/>
      <c r="R46" s="2048"/>
      <c r="S46" s="2048"/>
      <c r="T46" s="2048"/>
      <c r="U46" s="2048"/>
      <c r="V46" s="2048"/>
      <c r="W46" s="2047"/>
      <c r="X46" s="2047"/>
      <c r="Y46" s="2047"/>
      <c r="Z46" s="2047"/>
      <c r="AA46" s="2047"/>
      <c r="AB46" s="2047"/>
      <c r="AC46" s="2047"/>
      <c r="AD46" s="2048"/>
      <c r="AE46" s="1324"/>
      <c r="AF46" s="1324"/>
      <c r="AG46" s="1324"/>
      <c r="AH46" s="1324"/>
      <c r="AI46" s="1324"/>
      <c r="AJ46" s="1324"/>
      <c r="AK46" s="1324"/>
      <c r="AL46" s="1324"/>
      <c r="AM46" s="1324"/>
      <c r="AN46" s="1324"/>
    </row>
    <row r="47" spans="1:44" s="1323" customFormat="1" ht="24">
      <c r="A47" s="1030" t="s">
        <v>1000</v>
      </c>
      <c r="B47" s="2236" t="str">
        <f>估价对象房地状况!C16</f>
        <v>一般</v>
      </c>
      <c r="C47" s="1017"/>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4"/>
      <c r="AF47" s="1324"/>
      <c r="AG47" s="1324"/>
      <c r="AH47" s="1324"/>
      <c r="AI47" s="1324"/>
      <c r="AJ47" s="1324"/>
      <c r="AK47" s="1324"/>
      <c r="AL47" s="1324"/>
      <c r="AM47" s="1324"/>
      <c r="AN47" s="1324"/>
    </row>
    <row r="48" spans="1:44" s="1323" customFormat="1" ht="14.25">
      <c r="A48" s="1030" t="s">
        <v>1001</v>
      </c>
      <c r="B48" s="2233" t="str">
        <f>估价对象房地状况!C18</f>
        <v>一般</v>
      </c>
      <c r="C48" s="1017"/>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4"/>
      <c r="AF48" s="1324"/>
      <c r="AG48" s="1324"/>
      <c r="AH48" s="1324"/>
      <c r="AI48" s="1324"/>
      <c r="AJ48" s="1324"/>
      <c r="AK48" s="1324"/>
      <c r="AL48" s="1324"/>
      <c r="AM48" s="1324"/>
      <c r="AN48" s="1324"/>
    </row>
    <row r="49" spans="1:40" s="1323" customFormat="1" ht="24">
      <c r="A49" s="1030" t="s">
        <v>1002</v>
      </c>
      <c r="B49" s="2233">
        <f>估价对象房地状况!C19</f>
        <v>0</v>
      </c>
      <c r="C49" s="1017"/>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4"/>
      <c r="AF49" s="1324"/>
      <c r="AG49" s="1324"/>
      <c r="AH49" s="1324"/>
      <c r="AI49" s="1324"/>
      <c r="AJ49" s="1324"/>
      <c r="AK49" s="1324"/>
      <c r="AL49" s="1324"/>
      <c r="AM49" s="1324"/>
      <c r="AN49" s="1324"/>
    </row>
    <row r="50" spans="1:40" s="1323" customFormat="1" ht="36">
      <c r="A50" s="1030" t="s">
        <v>1003</v>
      </c>
      <c r="B50" s="2719" t="s">
        <v>2816</v>
      </c>
      <c r="C50" s="1017"/>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4"/>
      <c r="AF50" s="1324"/>
      <c r="AG50" s="1324"/>
      <c r="AH50" s="1324"/>
      <c r="AI50" s="1324"/>
      <c r="AJ50" s="1324"/>
      <c r="AK50" s="1324"/>
      <c r="AL50" s="1324"/>
      <c r="AM50" s="1324"/>
      <c r="AN50" s="1324"/>
    </row>
    <row r="51" spans="1:40" s="1323" customFormat="1" ht="24">
      <c r="A51" s="1030" t="s">
        <v>1004</v>
      </c>
      <c r="B51" s="2233">
        <f>估价对象房地状况!C24</f>
        <v>0</v>
      </c>
      <c r="C51" s="1017"/>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4"/>
      <c r="AF51" s="1324"/>
      <c r="AG51" s="1324"/>
      <c r="AH51" s="1324"/>
      <c r="AI51" s="1324"/>
      <c r="AJ51" s="1324"/>
      <c r="AK51" s="1324"/>
      <c r="AL51" s="1324"/>
      <c r="AM51" s="1324"/>
      <c r="AN51" s="1324"/>
    </row>
    <row r="52" spans="1:40" s="1323" customFormat="1" ht="24">
      <c r="A52" s="1030" t="s">
        <v>1005</v>
      </c>
      <c r="B52" s="2718" t="s">
        <v>2815</v>
      </c>
      <c r="C52" s="1017"/>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4"/>
      <c r="AF52" s="1324"/>
      <c r="AG52" s="1324"/>
      <c r="AH52" s="1324"/>
      <c r="AI52" s="1324"/>
      <c r="AJ52" s="1324"/>
      <c r="AK52" s="1324"/>
      <c r="AL52" s="1324"/>
      <c r="AM52" s="1324"/>
      <c r="AN52" s="1324"/>
    </row>
    <row r="53" spans="1:40" s="1323" customFormat="1" ht="24">
      <c r="A53" s="2265" t="s">
        <v>1006</v>
      </c>
      <c r="B53" s="2234" t="str">
        <f>估价对象房地状况!C21</f>
        <v>一般</v>
      </c>
      <c r="C53" s="1017"/>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4"/>
      <c r="AF53" s="1324"/>
      <c r="AG53" s="1324"/>
      <c r="AH53" s="1324"/>
      <c r="AI53" s="1324"/>
      <c r="AJ53" s="1324"/>
      <c r="AK53" s="1324"/>
      <c r="AL53" s="1324"/>
      <c r="AM53" s="1324"/>
      <c r="AN53" s="1324"/>
    </row>
    <row r="54" spans="1:40" s="1323" customFormat="1" ht="24">
      <c r="A54" s="2265" t="s">
        <v>1007</v>
      </c>
      <c r="B54" s="2233" t="str">
        <f>估价对象房地状况!C22</f>
        <v>七通</v>
      </c>
      <c r="C54" s="1017"/>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4"/>
      <c r="AF54" s="1324"/>
      <c r="AG54" s="1324"/>
      <c r="AH54" s="1324"/>
      <c r="AI54" s="1324"/>
      <c r="AJ54" s="1324"/>
      <c r="AK54" s="1324"/>
      <c r="AL54" s="1324"/>
      <c r="AM54" s="1324"/>
      <c r="AN54" s="1324"/>
    </row>
    <row r="55" spans="1:40" s="1323" customFormat="1" ht="24.75" thickBot="1">
      <c r="A55" s="2266" t="s">
        <v>1008</v>
      </c>
      <c r="B55" s="2237" t="str">
        <f>估价对象房地状况!C20</f>
        <v>一般</v>
      </c>
      <c r="C55" s="1017"/>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4"/>
      <c r="AF55" s="1324"/>
      <c r="AG55" s="1324"/>
      <c r="AH55" s="1324"/>
      <c r="AI55" s="1324"/>
      <c r="AJ55" s="1324"/>
      <c r="AK55" s="1324"/>
      <c r="AL55" s="1324"/>
      <c r="AM55" s="1324"/>
      <c r="AN55" s="1324"/>
    </row>
    <row r="56" spans="1:40" s="1323" customFormat="1" ht="15">
      <c r="A56" s="2249" t="s">
        <v>1009</v>
      </c>
      <c r="B56" s="2250">
        <f>1+E58</f>
        <v>1</v>
      </c>
      <c r="C56" s="2269"/>
      <c r="D56" s="2252"/>
      <c r="E56" s="2253"/>
      <c r="F56" s="2254"/>
      <c r="G56" s="2248"/>
      <c r="H56" s="2248"/>
      <c r="I56" s="2248"/>
      <c r="J56" s="1029"/>
      <c r="K56" s="1029"/>
      <c r="L56" s="1029"/>
      <c r="M56" s="1029"/>
      <c r="N56" s="1029"/>
      <c r="P56" s="2047"/>
      <c r="Q56" s="2047"/>
      <c r="R56" s="2048"/>
      <c r="S56" s="2048"/>
      <c r="T56" s="2048"/>
      <c r="U56" s="2048"/>
      <c r="V56" s="2048"/>
      <c r="W56" s="2047"/>
      <c r="X56" s="2047"/>
      <c r="Y56" s="2047"/>
      <c r="Z56" s="2047"/>
      <c r="AA56" s="2047"/>
      <c r="AB56" s="2047"/>
      <c r="AC56" s="2047"/>
      <c r="AD56" s="2048"/>
      <c r="AE56" s="1324"/>
      <c r="AF56" s="1324"/>
      <c r="AG56" s="1324"/>
      <c r="AH56" s="1324"/>
      <c r="AI56" s="1324"/>
      <c r="AJ56" s="1324"/>
      <c r="AK56" s="1324"/>
      <c r="AL56" s="1324"/>
      <c r="AM56" s="1324"/>
      <c r="AN56" s="1324"/>
    </row>
    <row r="57" spans="1:40" s="1323" customFormat="1" ht="24">
      <c r="A57" s="1030"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47"/>
      <c r="Q57" s="2047"/>
      <c r="R57" s="2048"/>
      <c r="S57" s="2048"/>
      <c r="T57" s="2048"/>
      <c r="U57" s="2048"/>
      <c r="V57" s="2048"/>
      <c r="W57" s="2047"/>
      <c r="X57" s="2047"/>
      <c r="Y57" s="2047"/>
      <c r="Z57" s="2047"/>
      <c r="AA57" s="2047"/>
      <c r="AB57" s="2047"/>
      <c r="AC57" s="2047"/>
      <c r="AD57" s="2048"/>
      <c r="AE57" s="1324"/>
      <c r="AF57" s="1324"/>
      <c r="AG57" s="1324"/>
      <c r="AH57" s="1324"/>
      <c r="AI57" s="1324"/>
      <c r="AJ57" s="1324"/>
      <c r="AK57" s="1324"/>
      <c r="AL57" s="1324"/>
      <c r="AM57" s="1324"/>
      <c r="AN57" s="1324"/>
    </row>
    <row r="58" spans="1:40" s="1323" customFormat="1" ht="24">
      <c r="A58" s="1030" t="s">
        <v>1010</v>
      </c>
      <c r="B58" s="2236" t="str">
        <f>估价对象房地状况!C17</f>
        <v>一般</v>
      </c>
      <c r="C58" s="1017"/>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4"/>
      <c r="AF58" s="1324"/>
      <c r="AG58" s="1324"/>
      <c r="AH58" s="1324"/>
      <c r="AI58" s="1324"/>
      <c r="AJ58" s="1324"/>
      <c r="AK58" s="1324"/>
      <c r="AL58" s="1324"/>
      <c r="AM58" s="1324"/>
      <c r="AN58" s="1324"/>
    </row>
    <row r="59" spans="1:40" s="1323" customFormat="1" ht="14.25">
      <c r="A59" s="1030" t="s">
        <v>1001</v>
      </c>
      <c r="B59" s="2233" t="str">
        <f>估价对象房地状况!C18</f>
        <v>一般</v>
      </c>
      <c r="C59" s="1017"/>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4"/>
      <c r="AF59" s="1324"/>
      <c r="AG59" s="1324"/>
      <c r="AH59" s="1324"/>
      <c r="AI59" s="1324"/>
      <c r="AJ59" s="1324"/>
      <c r="AK59" s="1324"/>
      <c r="AL59" s="1324"/>
      <c r="AM59" s="1324"/>
      <c r="AN59" s="1324"/>
    </row>
    <row r="60" spans="1:40" s="1323" customFormat="1" ht="24">
      <c r="A60" s="1030" t="s">
        <v>1002</v>
      </c>
      <c r="B60" s="2233">
        <f>估价对象房地状况!C19</f>
        <v>0</v>
      </c>
      <c r="C60" s="1017"/>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4"/>
      <c r="AF60" s="1324"/>
      <c r="AG60" s="1324"/>
      <c r="AH60" s="1324"/>
      <c r="AI60" s="1324"/>
      <c r="AJ60" s="1324"/>
      <c r="AK60" s="1324"/>
      <c r="AL60" s="1324"/>
      <c r="AM60" s="1324"/>
      <c r="AN60" s="1324"/>
    </row>
    <row r="61" spans="1:40" s="1323" customFormat="1" ht="36">
      <c r="A61" s="1030" t="s">
        <v>1003</v>
      </c>
      <c r="B61" s="2719" t="s">
        <v>2817</v>
      </c>
      <c r="C61" s="1017"/>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4"/>
      <c r="AF61" s="1324"/>
      <c r="AG61" s="1324"/>
      <c r="AH61" s="1324"/>
      <c r="AI61" s="1324"/>
      <c r="AJ61" s="1324"/>
      <c r="AK61" s="1324"/>
      <c r="AL61" s="1324"/>
      <c r="AM61" s="1324"/>
      <c r="AN61" s="1324"/>
    </row>
    <row r="62" spans="1:40" s="1323" customFormat="1" ht="24">
      <c r="A62" s="1030" t="s">
        <v>1004</v>
      </c>
      <c r="B62" s="2233">
        <f>估价对象房地状况!C24</f>
        <v>0</v>
      </c>
      <c r="C62" s="1017"/>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4"/>
      <c r="AF62" s="1324"/>
      <c r="AG62" s="1324"/>
      <c r="AH62" s="1324"/>
      <c r="AI62" s="1324"/>
      <c r="AJ62" s="1324"/>
      <c r="AK62" s="1324"/>
      <c r="AL62" s="1324"/>
      <c r="AM62" s="1324"/>
      <c r="AN62" s="1324"/>
    </row>
    <row r="63" spans="1:40" s="1323" customFormat="1" ht="24">
      <c r="A63" s="1030" t="s">
        <v>1005</v>
      </c>
      <c r="B63" s="2718" t="s">
        <v>2815</v>
      </c>
      <c r="C63" s="1017"/>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4"/>
      <c r="AF63" s="1324"/>
      <c r="AG63" s="1324"/>
      <c r="AH63" s="1324"/>
      <c r="AI63" s="1324"/>
      <c r="AJ63" s="1324"/>
      <c r="AK63" s="1324"/>
      <c r="AL63" s="1324"/>
      <c r="AM63" s="1324"/>
      <c r="AN63" s="1324"/>
    </row>
    <row r="64" spans="1:40" s="1323" customFormat="1" ht="24">
      <c r="A64" s="1030" t="s">
        <v>1006</v>
      </c>
      <c r="B64" s="2234" t="str">
        <f>估价对象房地状况!C21</f>
        <v>一般</v>
      </c>
      <c r="C64" s="1017"/>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4"/>
      <c r="AF64" s="1324"/>
      <c r="AG64" s="1324"/>
      <c r="AH64" s="1324"/>
      <c r="AI64" s="1324"/>
      <c r="AJ64" s="1324"/>
      <c r="AK64" s="1324"/>
      <c r="AL64" s="1324"/>
      <c r="AM64" s="1324"/>
      <c r="AN64" s="1324"/>
    </row>
    <row r="65" spans="1:40" s="1323" customFormat="1" ht="24">
      <c r="A65" s="1030" t="s">
        <v>1007</v>
      </c>
      <c r="B65" s="2234" t="str">
        <f>估价对象房地状况!C22</f>
        <v>七通</v>
      </c>
      <c r="C65" s="1017"/>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4"/>
      <c r="AF65" s="1324"/>
      <c r="AG65" s="1324"/>
      <c r="AH65" s="1324"/>
      <c r="AI65" s="1324"/>
      <c r="AJ65" s="1324"/>
      <c r="AK65" s="1324"/>
      <c r="AL65" s="1324"/>
      <c r="AM65" s="1324"/>
      <c r="AN65" s="1324"/>
    </row>
    <row r="66" spans="1:40" s="1323" customFormat="1" ht="24.75" thickBot="1">
      <c r="A66" s="2266" t="s">
        <v>1008</v>
      </c>
      <c r="B66" s="2238" t="str">
        <f>估价对象房地状况!C20</f>
        <v>一般</v>
      </c>
      <c r="C66" s="1017"/>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4"/>
      <c r="AF66" s="1324"/>
      <c r="AG66" s="1324"/>
      <c r="AH66" s="1324"/>
      <c r="AI66" s="1324"/>
      <c r="AJ66" s="1324"/>
      <c r="AK66" s="1324"/>
      <c r="AL66" s="1324"/>
      <c r="AM66" s="1324"/>
      <c r="AN66" s="1324"/>
    </row>
    <row r="67" spans="1:40" s="1323" customFormat="1" ht="15">
      <c r="A67" s="2249" t="s">
        <v>1011</v>
      </c>
      <c r="B67" s="2250">
        <f>1+E69</f>
        <v>1</v>
      </c>
      <c r="C67" s="2269"/>
      <c r="D67" s="2252"/>
      <c r="E67" s="2253"/>
      <c r="F67" s="2254"/>
      <c r="G67" s="2248"/>
      <c r="H67" s="2248"/>
      <c r="I67" s="2248"/>
      <c r="J67" s="1029"/>
      <c r="K67" s="1029"/>
      <c r="L67" s="1029"/>
      <c r="M67" s="1029"/>
      <c r="N67" s="1029"/>
      <c r="P67" s="2047"/>
      <c r="Q67" s="2047"/>
      <c r="R67" s="2048"/>
      <c r="S67" s="2048"/>
      <c r="T67" s="2048"/>
      <c r="U67" s="2048"/>
      <c r="V67" s="2048"/>
      <c r="W67" s="2047"/>
      <c r="X67" s="2047"/>
      <c r="Y67" s="2047"/>
      <c r="Z67" s="2047"/>
      <c r="AA67" s="2047"/>
      <c r="AB67" s="2047"/>
      <c r="AC67" s="2047"/>
      <c r="AD67" s="2048"/>
      <c r="AE67" s="1324"/>
      <c r="AF67" s="1324"/>
      <c r="AG67" s="1324"/>
      <c r="AH67" s="1324"/>
      <c r="AI67" s="1324"/>
      <c r="AJ67" s="1324"/>
      <c r="AK67" s="1324"/>
      <c r="AL67" s="1324"/>
      <c r="AM67" s="1324"/>
      <c r="AN67" s="1324"/>
    </row>
    <row r="68" spans="1:40" s="1323" customFormat="1" ht="24">
      <c r="A68" s="1030"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47"/>
      <c r="Q68" s="2047"/>
      <c r="R68" s="2048"/>
      <c r="S68" s="2048"/>
      <c r="T68" s="2048"/>
      <c r="U68" s="2048"/>
      <c r="V68" s="2048"/>
      <c r="W68" s="2047"/>
      <c r="X68" s="2047"/>
      <c r="Y68" s="2047"/>
      <c r="Z68" s="2047"/>
      <c r="AA68" s="2047"/>
      <c r="AB68" s="2047"/>
      <c r="AC68" s="2047"/>
      <c r="AD68" s="2048"/>
      <c r="AE68" s="1324"/>
      <c r="AF68" s="1324"/>
      <c r="AG68" s="1324"/>
      <c r="AH68" s="1324"/>
      <c r="AI68" s="1324"/>
      <c r="AJ68" s="1324"/>
      <c r="AK68" s="1324"/>
      <c r="AL68" s="1324"/>
      <c r="AM68" s="1324"/>
      <c r="AN68" s="1324"/>
    </row>
    <row r="69" spans="1:40" s="1323" customFormat="1" ht="24">
      <c r="A69" s="1030" t="s">
        <v>1012</v>
      </c>
      <c r="B69" s="2236" t="str">
        <f>估价对象房地状况!C15</f>
        <v>一般</v>
      </c>
      <c r="C69" s="1122"/>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4"/>
      <c r="AF69" s="1324"/>
      <c r="AG69" s="1324"/>
      <c r="AH69" s="1324"/>
      <c r="AI69" s="1324"/>
      <c r="AJ69" s="1324"/>
      <c r="AK69" s="1324"/>
      <c r="AL69" s="1324"/>
      <c r="AM69" s="1324"/>
      <c r="AN69" s="1324"/>
    </row>
    <row r="70" spans="1:40" s="1323" customFormat="1" ht="14.25">
      <c r="A70" s="1030" t="s">
        <v>1013</v>
      </c>
      <c r="B70" s="2233" t="str">
        <f>估价对象房地状况!C18</f>
        <v>一般</v>
      </c>
      <c r="C70" s="1122"/>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4"/>
      <c r="AF70" s="1324"/>
      <c r="AG70" s="1324"/>
      <c r="AH70" s="1324"/>
      <c r="AI70" s="1324"/>
      <c r="AJ70" s="1324"/>
      <c r="AK70" s="1324"/>
      <c r="AL70" s="1324"/>
      <c r="AM70" s="1324"/>
      <c r="AN70" s="1324"/>
    </row>
    <row r="71" spans="1:40" s="1323" customFormat="1" ht="24">
      <c r="A71" s="1030" t="s">
        <v>1002</v>
      </c>
      <c r="B71" s="2233">
        <f>估价对象房地状况!C19</f>
        <v>0</v>
      </c>
      <c r="C71" s="1122"/>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4"/>
      <c r="AF71" s="1324"/>
      <c r="AG71" s="1324"/>
      <c r="AH71" s="1324"/>
      <c r="AI71" s="1324"/>
      <c r="AJ71" s="1324"/>
      <c r="AK71" s="1324"/>
      <c r="AL71" s="1324"/>
      <c r="AM71" s="1324"/>
      <c r="AN71" s="1324"/>
    </row>
    <row r="72" spans="1:40" s="1323" customFormat="1" ht="14.25">
      <c r="A72" s="1030" t="s">
        <v>1014</v>
      </c>
      <c r="B72" s="2233">
        <f>估价对象房地状况!C24</f>
        <v>0</v>
      </c>
      <c r="C72" s="1122"/>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4"/>
      <c r="AF72" s="1324"/>
      <c r="AG72" s="1324"/>
      <c r="AH72" s="1324"/>
      <c r="AI72" s="1324"/>
      <c r="AJ72" s="1324"/>
      <c r="AK72" s="1324"/>
      <c r="AL72" s="1324"/>
      <c r="AM72" s="1324"/>
      <c r="AN72" s="1324"/>
    </row>
    <row r="73" spans="1:40" s="1323" customFormat="1" ht="24">
      <c r="A73" s="1030" t="s">
        <v>1006</v>
      </c>
      <c r="B73" s="2234" t="str">
        <f>估价对象房地状况!C21</f>
        <v>一般</v>
      </c>
      <c r="C73" s="1122"/>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4"/>
      <c r="AF73" s="1324"/>
      <c r="AG73" s="1324"/>
      <c r="AH73" s="1324"/>
      <c r="AI73" s="1324"/>
      <c r="AJ73" s="1324"/>
      <c r="AK73" s="1324"/>
      <c r="AL73" s="1324"/>
      <c r="AM73" s="1324"/>
      <c r="AN73" s="1324"/>
    </row>
    <row r="74" spans="1:40" s="1323" customFormat="1" ht="24">
      <c r="A74" s="1030" t="s">
        <v>1007</v>
      </c>
      <c r="B74" s="2234" t="str">
        <f>估价对象房地状况!C22</f>
        <v>七通</v>
      </c>
      <c r="C74" s="1122"/>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4"/>
      <c r="AF74" s="1324"/>
      <c r="AG74" s="1324"/>
      <c r="AH74" s="1324"/>
      <c r="AI74" s="1324"/>
      <c r="AJ74" s="1324"/>
      <c r="AK74" s="1324"/>
      <c r="AL74" s="1324"/>
      <c r="AM74" s="1324"/>
      <c r="AN74" s="1324"/>
    </row>
    <row r="75" spans="1:40" s="1323" customFormat="1" ht="24">
      <c r="A75" s="1030" t="s">
        <v>1005</v>
      </c>
      <c r="B75" s="2718" t="s">
        <v>2815</v>
      </c>
      <c r="C75" s="1122"/>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4"/>
      <c r="AF75" s="1324"/>
      <c r="AG75" s="1324"/>
      <c r="AH75" s="1324"/>
      <c r="AI75" s="1324"/>
      <c r="AJ75" s="1324"/>
      <c r="AK75" s="1324"/>
      <c r="AL75" s="1324"/>
      <c r="AM75" s="1324"/>
      <c r="AN75" s="1324"/>
    </row>
    <row r="76" spans="1:40" ht="24">
      <c r="A76" s="1030" t="s">
        <v>1008</v>
      </c>
      <c r="B76" s="2236" t="str">
        <f>估价对象房地状况!C20</f>
        <v>一般</v>
      </c>
      <c r="C76" s="1122"/>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4"/>
      <c r="AN76" s="1325"/>
    </row>
    <row r="77" spans="1:40" ht="24.75" thickBot="1">
      <c r="A77" s="2266" t="s">
        <v>1015</v>
      </c>
      <c r="B77" s="1735"/>
      <c r="C77" s="1122"/>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6"/>
      <c r="AD77" s="1325"/>
      <c r="AJ77" s="1324"/>
      <c r="AN77" s="1325"/>
    </row>
    <row r="78" spans="1:40" ht="15">
      <c r="A78" s="2249" t="s">
        <v>1016</v>
      </c>
      <c r="B78" s="2250">
        <f>1+E80</f>
        <v>1</v>
      </c>
      <c r="C78" s="2269"/>
      <c r="D78" s="2252"/>
      <c r="E78" s="2253"/>
      <c r="F78" s="2254"/>
      <c r="G78" s="2248"/>
      <c r="H78" s="2248"/>
      <c r="I78" s="2248"/>
      <c r="J78" s="1029"/>
      <c r="K78" s="1029"/>
      <c r="L78" s="1029"/>
      <c r="M78" s="1029"/>
      <c r="N78" s="1029"/>
      <c r="AC78" s="1326"/>
      <c r="AD78" s="1325"/>
      <c r="AJ78" s="1324"/>
      <c r="AN78" s="1325"/>
    </row>
    <row r="79" spans="1:40" ht="24">
      <c r="A79" s="1030"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6"/>
      <c r="AD79" s="1325"/>
      <c r="AJ79" s="1324"/>
      <c r="AN79" s="1325"/>
    </row>
    <row r="80" spans="1:40" ht="36">
      <c r="A80" s="1030" t="s">
        <v>1017</v>
      </c>
      <c r="B80" s="2233" t="str">
        <f>估价对象房地状况!G15</f>
        <v>估价对象位于XX开发区，园区建设成熟度XX，产业集聚程度XX</v>
      </c>
      <c r="C80" s="1017"/>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6"/>
      <c r="AD80" s="1325"/>
      <c r="AJ80" s="1324"/>
      <c r="AN80" s="1325"/>
    </row>
    <row r="81" spans="1:40" ht="48">
      <c r="A81" s="1030" t="s">
        <v>1013</v>
      </c>
      <c r="B81" s="2233" t="str">
        <f>估价对象房地状况!G16</f>
        <v>估价对象周边道路状况、公共交通通达情况、停车便捷程度，综合评价交通便捷度较好</v>
      </c>
      <c r="C81" s="1017"/>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6"/>
      <c r="AD81" s="1325"/>
      <c r="AJ81" s="1324"/>
      <c r="AN81" s="1325"/>
    </row>
    <row r="82" spans="1:40" ht="24">
      <c r="A82" s="1030" t="s">
        <v>1002</v>
      </c>
      <c r="B82" s="2233">
        <f>估价对象房地状况!G17</f>
        <v>0</v>
      </c>
      <c r="C82" s="1017"/>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6"/>
      <c r="AD82" s="1325"/>
      <c r="AJ82" s="1324"/>
      <c r="AN82" s="1325"/>
    </row>
    <row r="83" spans="1:40" ht="14.25">
      <c r="A83" s="1030" t="s">
        <v>1014</v>
      </c>
      <c r="B83" s="2233">
        <f>估价对象房地状况!G22</f>
        <v>0</v>
      </c>
      <c r="C83" s="1017"/>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6"/>
      <c r="AD83" s="1325"/>
      <c r="AJ83" s="1324"/>
      <c r="AN83" s="1325"/>
    </row>
    <row r="84" spans="1:40" ht="24">
      <c r="A84" s="1030" t="s">
        <v>1006</v>
      </c>
      <c r="B84" s="2234" t="str">
        <f>估价对象房地状况!G19</f>
        <v>估价对象所在区域公共配套设施齐备情况</v>
      </c>
      <c r="C84" s="1017"/>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6"/>
      <c r="AD84" s="1325"/>
      <c r="AJ84" s="1324"/>
      <c r="AN84" s="1325"/>
    </row>
    <row r="85" spans="1:40" ht="24">
      <c r="A85" s="1030" t="s">
        <v>1007</v>
      </c>
      <c r="B85" s="2234" t="str">
        <f>估价对象房地状况!G20</f>
        <v>估价对象所在区域基础设施水平</v>
      </c>
      <c r="C85" s="1017"/>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6"/>
      <c r="AD85" s="1325"/>
      <c r="AJ85" s="1324"/>
      <c r="AN85" s="1325"/>
    </row>
    <row r="86" spans="1:40" ht="24">
      <c r="A86" s="1030" t="s">
        <v>1005</v>
      </c>
      <c r="B86" s="2718" t="s">
        <v>2815</v>
      </c>
      <c r="C86" s="1017"/>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6"/>
      <c r="AD86" s="1325"/>
      <c r="AJ86" s="1324"/>
      <c r="AN86" s="1325"/>
    </row>
    <row r="87" spans="1:40" ht="36.75" thickBot="1">
      <c r="A87" s="2266" t="s">
        <v>1018</v>
      </c>
      <c r="B87" s="2235" t="str">
        <f>估价对象房地状况!G18</f>
        <v>该园区内是否有污染型企业，绿化情况，卫生条件，整体环境状况判断</v>
      </c>
      <c r="C87" s="1017"/>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6"/>
      <c r="AD87" s="1325"/>
      <c r="AJ87" s="1324"/>
      <c r="AN87" s="1325"/>
    </row>
    <row r="90" spans="1:40">
      <c r="A90" s="3679" t="s">
        <v>1613</v>
      </c>
      <c r="B90" s="3679"/>
      <c r="C90" s="3679"/>
      <c r="D90" s="3679"/>
      <c r="E90" s="3679"/>
      <c r="F90" s="3679"/>
      <c r="G90" s="3679"/>
      <c r="H90" s="3679"/>
      <c r="I90" s="3679"/>
      <c r="J90" s="3679"/>
      <c r="K90" s="2275"/>
      <c r="L90" s="2275"/>
      <c r="M90" s="2275"/>
      <c r="N90" s="2275"/>
    </row>
    <row r="91" spans="1:40">
      <c r="A91" s="3680" t="s">
        <v>1423</v>
      </c>
      <c r="B91" s="3680" t="s">
        <v>1614</v>
      </c>
      <c r="C91" s="1103" t="s">
        <v>1615</v>
      </c>
      <c r="D91" s="1104"/>
      <c r="E91" s="1104"/>
      <c r="F91" s="1104"/>
      <c r="G91" s="1104"/>
      <c r="H91" s="1104"/>
      <c r="I91" s="1104"/>
      <c r="J91" s="1105"/>
      <c r="K91" s="1097"/>
      <c r="L91" s="1097"/>
      <c r="M91" s="1097"/>
      <c r="N91" s="1097"/>
    </row>
    <row r="92" spans="1:40">
      <c r="A92" s="3680"/>
      <c r="B92" s="3680"/>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687"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688"/>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688"/>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688"/>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688"/>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688"/>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688"/>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689"/>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687" t="s">
        <v>1617</v>
      </c>
      <c r="B101" s="1110" t="s">
        <v>886</v>
      </c>
      <c r="C101" s="1111">
        <f>$G$3</f>
        <v>0</v>
      </c>
      <c r="D101" s="1111">
        <f t="shared" ref="D101:N101" si="31">$G$3</f>
        <v>0</v>
      </c>
      <c r="E101" s="1111">
        <f t="shared" si="31"/>
        <v>0</v>
      </c>
      <c r="F101" s="1111">
        <f t="shared" si="31"/>
        <v>0</v>
      </c>
      <c r="G101" s="1111">
        <f t="shared" si="31"/>
        <v>0</v>
      </c>
      <c r="H101" s="1111">
        <f t="shared" si="31"/>
        <v>0</v>
      </c>
      <c r="I101" s="1111">
        <f t="shared" si="31"/>
        <v>0</v>
      </c>
      <c r="J101" s="1111">
        <f t="shared" si="31"/>
        <v>0</v>
      </c>
      <c r="K101" s="1111">
        <f t="shared" si="31"/>
        <v>0</v>
      </c>
      <c r="L101" s="1111">
        <f t="shared" si="31"/>
        <v>0</v>
      </c>
      <c r="M101" s="1111">
        <f t="shared" si="31"/>
        <v>0</v>
      </c>
      <c r="N101" s="1111">
        <f t="shared" si="31"/>
        <v>0</v>
      </c>
    </row>
    <row r="102" spans="1:14">
      <c r="A102" s="3688"/>
      <c r="B102" s="1106">
        <v>1</v>
      </c>
      <c r="C102" s="1107" t="e">
        <f>1.9362/C101</f>
        <v>#DIV/0!</v>
      </c>
      <c r="D102" s="1107" t="e">
        <f>1.9362/D101</f>
        <v>#DIV/0!</v>
      </c>
      <c r="E102" s="1107" t="e">
        <f>1.8629/E101</f>
        <v>#DIV/0!</v>
      </c>
      <c r="F102" s="1107" t="e">
        <f>1.8629/F101</f>
        <v>#DIV/0!</v>
      </c>
      <c r="G102" s="1107" t="e">
        <f>1.8629/G101</f>
        <v>#DIV/0!</v>
      </c>
      <c r="H102" s="1107" t="e">
        <f>1.8629/H101</f>
        <v>#DIV/0!</v>
      </c>
      <c r="I102" s="1107" t="e">
        <f>1.8629/I101</f>
        <v>#DIV/0!</v>
      </c>
      <c r="J102" s="1107" t="e">
        <f>1.942/J101</f>
        <v>#DIV/0!</v>
      </c>
      <c r="K102" s="1107" t="e">
        <f>1.942/K101</f>
        <v>#DIV/0!</v>
      </c>
      <c r="L102" s="1107" t="e">
        <f>1.942/L101</f>
        <v>#DIV/0!</v>
      </c>
      <c r="M102" s="1107" t="e">
        <f>1.942/M101</f>
        <v>#DIV/0!</v>
      </c>
      <c r="N102" s="1107" t="e">
        <f>1.942/N101</f>
        <v>#DIV/0!</v>
      </c>
    </row>
    <row r="103" spans="1:14">
      <c r="A103" s="3688"/>
      <c r="B103" s="1106">
        <v>2</v>
      </c>
      <c r="C103" s="1107" t="e">
        <f>1.4198/C101</f>
        <v>#DIV/0!</v>
      </c>
      <c r="D103" s="1107" t="e">
        <f>1.4198/D101</f>
        <v>#DIV/0!</v>
      </c>
      <c r="E103" s="1107" t="e">
        <f>1.3372/E101</f>
        <v>#DIV/0!</v>
      </c>
      <c r="F103" s="1107" t="e">
        <f>1.3372/F101</f>
        <v>#DIV/0!</v>
      </c>
      <c r="G103" s="1107" t="e">
        <f>1.3372/G101</f>
        <v>#DIV/0!</v>
      </c>
      <c r="H103" s="1107" t="e">
        <f>1.3372/H101</f>
        <v>#DIV/0!</v>
      </c>
      <c r="I103" s="1107" t="e">
        <f>1.3372/I101</f>
        <v>#DIV/0!</v>
      </c>
      <c r="J103" s="1107" t="e">
        <f>1.2799/J101</f>
        <v>#DIV/0!</v>
      </c>
      <c r="K103" s="1107" t="e">
        <f>1.2799/K101</f>
        <v>#DIV/0!</v>
      </c>
      <c r="L103" s="1107" t="e">
        <f>1.2799/L101</f>
        <v>#DIV/0!</v>
      </c>
      <c r="M103" s="1107" t="e">
        <f>1.2799/M101</f>
        <v>#DIV/0!</v>
      </c>
      <c r="N103" s="1107" t="e">
        <f>1.2799/N101</f>
        <v>#DIV/0!</v>
      </c>
    </row>
    <row r="104" spans="1:14">
      <c r="A104" s="3688"/>
      <c r="B104" s="1106">
        <v>3</v>
      </c>
      <c r="C104" s="1107" t="e">
        <f>1.1594/C101</f>
        <v>#DIV/0!</v>
      </c>
      <c r="D104" s="1107" t="e">
        <f>1.1594/D101</f>
        <v>#DIV/0!</v>
      </c>
      <c r="E104" s="1107" t="e">
        <f>1.0788/E101</f>
        <v>#DIV/0!</v>
      </c>
      <c r="F104" s="1107" t="e">
        <f>1.0788/F101</f>
        <v>#DIV/0!</v>
      </c>
      <c r="G104" s="1107" t="e">
        <f>1.0788/G101</f>
        <v>#DIV/0!</v>
      </c>
      <c r="H104" s="1107" t="e">
        <f>1.0788/H101</f>
        <v>#DIV/0!</v>
      </c>
      <c r="I104" s="1107" t="e">
        <f>1.0788/I101</f>
        <v>#DIV/0!</v>
      </c>
      <c r="J104" s="1107" t="e">
        <f>1.0072/J101</f>
        <v>#DIV/0!</v>
      </c>
      <c r="K104" s="1107" t="e">
        <f>1.0072/K101</f>
        <v>#DIV/0!</v>
      </c>
      <c r="L104" s="1107" t="e">
        <f>1.0072/L101</f>
        <v>#DIV/0!</v>
      </c>
      <c r="M104" s="1107" t="e">
        <f>1.0072/M101</f>
        <v>#DIV/0!</v>
      </c>
      <c r="N104" s="1107" t="e">
        <f>1.0072/N101</f>
        <v>#DIV/0!</v>
      </c>
    </row>
    <row r="105" spans="1:14">
      <c r="A105" s="3688"/>
      <c r="B105" s="1106">
        <v>4</v>
      </c>
      <c r="C105" s="1107" t="e">
        <f>0.9622/C101</f>
        <v>#DIV/0!</v>
      </c>
      <c r="D105" s="1107" t="e">
        <f>0.9622/D101</f>
        <v>#DIV/0!</v>
      </c>
      <c r="E105" s="1107" t="e">
        <f>0.8656/E101</f>
        <v>#DIV/0!</v>
      </c>
      <c r="F105" s="1107" t="e">
        <f>0.8656/F101</f>
        <v>#DIV/0!</v>
      </c>
      <c r="G105" s="1107" t="e">
        <f>0.8656/G101</f>
        <v>#DIV/0!</v>
      </c>
      <c r="H105" s="1107" t="e">
        <f>0.8656/H101</f>
        <v>#DIV/0!</v>
      </c>
      <c r="I105" s="1107" t="e">
        <f>0.8656/I101</f>
        <v>#DIV/0!</v>
      </c>
      <c r="J105" s="1107" t="e">
        <f>0.7525/J101</f>
        <v>#DIV/0!</v>
      </c>
      <c r="K105" s="1107" t="e">
        <f>0.7525/K101</f>
        <v>#DIV/0!</v>
      </c>
      <c r="L105" s="1107" t="e">
        <f>0.7525/L101</f>
        <v>#DIV/0!</v>
      </c>
      <c r="M105" s="1107" t="e">
        <f>0.7525/M101</f>
        <v>#DIV/0!</v>
      </c>
      <c r="N105" s="1107" t="e">
        <f>0.7525/N101</f>
        <v>#DIV/0!</v>
      </c>
    </row>
    <row r="106" spans="1:14">
      <c r="A106" s="3688"/>
      <c r="B106" s="1106">
        <v>5</v>
      </c>
      <c r="C106" s="1107" t="e">
        <f>0.8417/C101</f>
        <v>#DIV/0!</v>
      </c>
      <c r="D106" s="1107" t="e">
        <f>0.8417/D101</f>
        <v>#DIV/0!</v>
      </c>
      <c r="E106" s="1107" t="e">
        <f>0.7371/E101</f>
        <v>#DIV/0!</v>
      </c>
      <c r="F106" s="1107" t="e">
        <f>0.7371/F101</f>
        <v>#DIV/0!</v>
      </c>
      <c r="G106" s="1107" t="e">
        <f>0.7371/G101</f>
        <v>#DIV/0!</v>
      </c>
      <c r="H106" s="1107" t="e">
        <f>0.7371/H101</f>
        <v>#DIV/0!</v>
      </c>
      <c r="I106" s="1107" t="e">
        <f>0.7371/I101</f>
        <v>#DIV/0!</v>
      </c>
      <c r="J106" s="1107" t="e">
        <f>0.5659/J101</f>
        <v>#DIV/0!</v>
      </c>
      <c r="K106" s="1107" t="e">
        <f>0.5659/K101</f>
        <v>#DIV/0!</v>
      </c>
      <c r="L106" s="1107" t="e">
        <f>0.5659/L101</f>
        <v>#DIV/0!</v>
      </c>
      <c r="M106" s="1107" t="e">
        <f>0.5659/M101</f>
        <v>#DIV/0!</v>
      </c>
      <c r="N106" s="1107" t="e">
        <f>0.5659/N101</f>
        <v>#DIV/0!</v>
      </c>
    </row>
    <row r="107" spans="1:14">
      <c r="A107" s="3688"/>
      <c r="B107" s="1106">
        <v>6</v>
      </c>
      <c r="C107" s="1107" t="e">
        <f>0.7608/C101</f>
        <v>#DIV/0!</v>
      </c>
      <c r="D107" s="1107" t="e">
        <f>0.7608/D101</f>
        <v>#DIV/0!</v>
      </c>
      <c r="E107" s="1107" t="e">
        <f>0.6482/E101</f>
        <v>#DIV/0!</v>
      </c>
      <c r="F107" s="1107" t="e">
        <f>0.6482/F101</f>
        <v>#DIV/0!</v>
      </c>
      <c r="G107" s="1107" t="e">
        <f>0.6482/G101</f>
        <v>#DIV/0!</v>
      </c>
      <c r="H107" s="1107" t="e">
        <f>0.6482/H101</f>
        <v>#DIV/0!</v>
      </c>
      <c r="I107" s="1107" t="e">
        <f>0.6482/I101</f>
        <v>#DIV/0!</v>
      </c>
      <c r="J107" s="1107" t="e">
        <f>0.4525/J101</f>
        <v>#DIV/0!</v>
      </c>
      <c r="K107" s="1107" t="e">
        <f>0.4525/K101</f>
        <v>#DIV/0!</v>
      </c>
      <c r="L107" s="1107" t="e">
        <f>0.4525/L101</f>
        <v>#DIV/0!</v>
      </c>
      <c r="M107" s="1107" t="e">
        <f>0.4525/M101</f>
        <v>#DIV/0!</v>
      </c>
      <c r="N107" s="1107" t="e">
        <f>0.4525/N101</f>
        <v>#DIV/0!</v>
      </c>
    </row>
    <row r="108" spans="1:14">
      <c r="A108" s="3688"/>
      <c r="B108" s="3690"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689"/>
      <c r="B109" s="3691"/>
      <c r="C109" s="1109" t="e">
        <f>(-0.163*(C108^2)-0.59*C108+7617)*(10^(-4))/C101</f>
        <v>#DIV/0!</v>
      </c>
      <c r="D109" s="1109" t="e">
        <f>(-0.163*(D108^2)-0.59*D108+7617)*(10^(-4))/D101</f>
        <v>#DIV/0!</v>
      </c>
      <c r="E109" s="1109" t="e">
        <f>(-0.161*(E108^2)-7.509*E108+6533)*(10^(-4))/E101</f>
        <v>#DIV/0!</v>
      </c>
      <c r="F109" s="1109" t="e">
        <f>(-0.161*(F108^2)-7.509*F108+6533)*(10^(-4))/F101</f>
        <v>#DIV/0!</v>
      </c>
      <c r="G109" s="1109" t="e">
        <f>(-0.161*(G108^2)-7.509*G108+6533)*(10^(-4))/G101</f>
        <v>#DIV/0!</v>
      </c>
      <c r="H109" s="1109" t="e">
        <f>(-0.161*(H108^2)-7.509*H108+6533)*(10^(-4))/H101</f>
        <v>#DIV/0!</v>
      </c>
      <c r="I109" s="1109" t="e">
        <f>(-0.161*(I108^2)-7.509*I108+6533)*(10^(-4))/I101</f>
        <v>#DIV/0!</v>
      </c>
      <c r="J109" s="1109" t="e">
        <f>(-0.214*(J108^2)-21.991*J108+4665)*(10^(-4))/J101</f>
        <v>#DIV/0!</v>
      </c>
      <c r="K109" s="1109" t="e">
        <f>(-0.214*(K108^2)-21.991*K108+4665)*(10^(-4))/K101</f>
        <v>#DIV/0!</v>
      </c>
      <c r="L109" s="1109" t="e">
        <f>(-0.214*(L108^2)-21.991*L108+4665)*(10^(-4))/L101</f>
        <v>#DIV/0!</v>
      </c>
      <c r="M109" s="1109" t="e">
        <f>(-0.214*(M108^2)-21.991*M108+4665)*(10^(-4))/M101</f>
        <v>#DIV/0!</v>
      </c>
      <c r="N109" s="1109" t="e">
        <f>(-0.214*(N108^2)-21.991*N108+4665)*(10^(-4))/N101</f>
        <v>#DIV/0!</v>
      </c>
    </row>
    <row r="110" spans="1:14">
      <c r="A110" s="3673" t="s">
        <v>1619</v>
      </c>
      <c r="B110" s="3673"/>
      <c r="C110" s="3673"/>
      <c r="D110" s="3673"/>
      <c r="E110" s="3673"/>
      <c r="F110" s="3673"/>
      <c r="G110" s="3673"/>
      <c r="H110" s="3673"/>
      <c r="I110" s="3673"/>
      <c r="J110" s="3673"/>
      <c r="K110" s="2273"/>
      <c r="L110" s="2273"/>
      <c r="M110" s="2273"/>
      <c r="N110" s="2273"/>
    </row>
    <row r="112" spans="1:14" ht="12.75" thickBot="1"/>
    <row r="113" spans="1:13" ht="25.5" thickBot="1">
      <c r="A113" s="983" t="s">
        <v>876</v>
      </c>
      <c r="B113" s="2276">
        <f>G3</f>
        <v>0</v>
      </c>
      <c r="C113" s="984" t="s">
        <v>877</v>
      </c>
      <c r="D113" s="985">
        <f>SUMPRODUCT((A115:A118=F113)*(B114:M114=H113)*B115:M118)</f>
        <v>0</v>
      </c>
      <c r="E113" s="986" t="s">
        <v>878</v>
      </c>
      <c r="F113" s="987">
        <f>E2</f>
        <v>0</v>
      </c>
      <c r="G113" s="986" t="s">
        <v>879</v>
      </c>
      <c r="H113" s="987">
        <f>G2</f>
        <v>0</v>
      </c>
      <c r="I113" s="986"/>
      <c r="J113" s="978"/>
      <c r="K113" s="978"/>
      <c r="L113" s="978"/>
      <c r="M113" s="978"/>
    </row>
    <row r="114" spans="1:13" ht="12.75">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2.75">
      <c r="A115" s="996" t="s">
        <v>880</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881</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882</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883</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2862</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680" t="s">
        <v>987</v>
      </c>
      <c r="B18" s="1117" t="s">
        <v>1426</v>
      </c>
      <c r="C18" s="1094" t="s">
        <v>1427</v>
      </c>
      <c r="D18" s="1095"/>
      <c r="E18" s="1117">
        <v>1</v>
      </c>
      <c r="F18" s="1096" t="s">
        <v>1428</v>
      </c>
      <c r="G18" s="1097"/>
      <c r="H18" s="1068"/>
      <c r="I18" s="1068"/>
    </row>
    <row r="19" spans="1:9" s="1502" customFormat="1" ht="19.5" customHeight="1">
      <c r="A19" s="3680"/>
      <c r="B19" s="3680" t="s">
        <v>1429</v>
      </c>
      <c r="C19" s="1094" t="s">
        <v>1430</v>
      </c>
      <c r="D19" s="1095"/>
      <c r="E19" s="1117">
        <v>0.9</v>
      </c>
      <c r="F19" s="1096" t="s">
        <v>1431</v>
      </c>
      <c r="G19" s="1097"/>
      <c r="H19" s="1068"/>
      <c r="I19" s="1068"/>
    </row>
    <row r="20" spans="1:9" s="1502" customFormat="1" ht="19.5" customHeight="1">
      <c r="A20" s="3680"/>
      <c r="B20" s="3680"/>
      <c r="C20" s="1094" t="s">
        <v>1432</v>
      </c>
      <c r="D20" s="1095"/>
      <c r="E20" s="1117">
        <v>1.1000000000000001</v>
      </c>
      <c r="F20" s="1096" t="s">
        <v>1433</v>
      </c>
      <c r="G20" s="1097"/>
      <c r="H20" s="1068"/>
      <c r="I20" s="1068"/>
    </row>
    <row r="21" spans="1:9" s="1502" customFormat="1" ht="19.5" customHeight="1">
      <c r="A21" s="3680"/>
      <c r="B21" s="3680"/>
      <c r="C21" s="1094" t="s">
        <v>1434</v>
      </c>
      <c r="D21" s="1095"/>
      <c r="E21" s="1117">
        <v>0.8</v>
      </c>
      <c r="F21" s="1096" t="s">
        <v>1435</v>
      </c>
      <c r="G21" s="1097"/>
      <c r="H21" s="1068"/>
      <c r="I21" s="1068"/>
    </row>
    <row r="22" spans="1:9" s="1502" customFormat="1" ht="19.5" customHeight="1">
      <c r="A22" s="3680"/>
      <c r="B22" s="3680"/>
      <c r="C22" s="1094" t="s">
        <v>1436</v>
      </c>
      <c r="D22" s="1095"/>
      <c r="E22" s="1117">
        <v>0.5</v>
      </c>
      <c r="F22" s="1096"/>
      <c r="G22" s="1097"/>
      <c r="H22" s="1068"/>
      <c r="I22" s="1068"/>
    </row>
    <row r="23" spans="1:9" s="1502" customFormat="1" ht="19.5" customHeight="1">
      <c r="A23" s="3680" t="s">
        <v>1009</v>
      </c>
      <c r="B23" s="1117" t="s">
        <v>1426</v>
      </c>
      <c r="C23" s="1094" t="s">
        <v>1437</v>
      </c>
      <c r="D23" s="1095"/>
      <c r="E23" s="1117">
        <v>1</v>
      </c>
      <c r="F23" s="1096" t="s">
        <v>1438</v>
      </c>
      <c r="G23" s="1097"/>
      <c r="H23" s="1068"/>
      <c r="I23" s="1068"/>
    </row>
    <row r="24" spans="1:9" s="1502" customFormat="1" ht="19.5" customHeight="1">
      <c r="A24" s="3680"/>
      <c r="B24" s="3680" t="s">
        <v>1429</v>
      </c>
      <c r="C24" s="1094" t="s">
        <v>1439</v>
      </c>
      <c r="D24" s="1095"/>
      <c r="E24" s="1117">
        <v>0.5</v>
      </c>
      <c r="F24" s="1096"/>
      <c r="G24" s="1097"/>
      <c r="H24" s="1068"/>
      <c r="I24" s="1068"/>
    </row>
    <row r="25" spans="1:9" s="1502" customFormat="1" ht="19.5" customHeight="1">
      <c r="A25" s="3680"/>
      <c r="B25" s="3680"/>
      <c r="C25" s="1094" t="s">
        <v>1440</v>
      </c>
      <c r="D25" s="1095"/>
      <c r="E25" s="1117">
        <v>1.1000000000000001</v>
      </c>
      <c r="F25" s="1096"/>
      <c r="G25" s="1097"/>
      <c r="H25" s="1068"/>
      <c r="I25" s="1068"/>
    </row>
    <row r="26" spans="1:9" s="1502" customFormat="1" ht="19.5" customHeight="1">
      <c r="A26" s="3680"/>
      <c r="B26" s="3680"/>
      <c r="C26" s="1094" t="s">
        <v>1441</v>
      </c>
      <c r="D26" s="1095"/>
      <c r="E26" s="1117">
        <v>1.1000000000000001</v>
      </c>
      <c r="F26" s="1096"/>
      <c r="G26" s="1097"/>
      <c r="H26" s="1068"/>
      <c r="I26" s="1068"/>
    </row>
    <row r="27" spans="1:9" s="1502" customFormat="1" ht="19.5" customHeight="1">
      <c r="A27" s="3680"/>
      <c r="B27" s="3680"/>
      <c r="C27" s="1094" t="s">
        <v>1442</v>
      </c>
      <c r="D27" s="1095"/>
      <c r="E27" s="1117">
        <v>0.9</v>
      </c>
      <c r="F27" s="1096" t="s">
        <v>1443</v>
      </c>
      <c r="G27" s="1097"/>
      <c r="H27" s="1068"/>
      <c r="I27" s="1068"/>
    </row>
    <row r="28" spans="1:9" s="1502" customFormat="1" ht="19.5" customHeight="1">
      <c r="A28" s="3680"/>
      <c r="B28" s="3680"/>
      <c r="C28" s="1094" t="s">
        <v>1444</v>
      </c>
      <c r="D28" s="1095"/>
      <c r="E28" s="1117">
        <v>0.9</v>
      </c>
      <c r="F28" s="1096" t="s">
        <v>1445</v>
      </c>
      <c r="G28" s="1097"/>
      <c r="H28" s="1068"/>
      <c r="I28" s="1068"/>
    </row>
    <row r="29" spans="1:9" s="1502" customFormat="1" ht="19.5" customHeight="1">
      <c r="A29" s="3680"/>
      <c r="B29" s="3680"/>
      <c r="C29" s="1094" t="s">
        <v>1446</v>
      </c>
      <c r="D29" s="1095"/>
      <c r="E29" s="1117">
        <v>0.9</v>
      </c>
      <c r="F29" s="1096" t="s">
        <v>1447</v>
      </c>
      <c r="G29" s="1097"/>
      <c r="H29" s="1068"/>
      <c r="I29" s="1068"/>
    </row>
    <row r="30" spans="1:9" s="1502" customFormat="1" ht="19.5" customHeight="1">
      <c r="A30" s="3680"/>
      <c r="B30" s="3680"/>
      <c r="C30" s="1094" t="s">
        <v>1448</v>
      </c>
      <c r="D30" s="1095"/>
      <c r="E30" s="1117">
        <v>0.9</v>
      </c>
      <c r="F30" s="1096" t="s">
        <v>1449</v>
      </c>
      <c r="G30" s="1097"/>
      <c r="H30" s="1068"/>
      <c r="I30" s="1068"/>
    </row>
    <row r="31" spans="1:9" s="1502" customFormat="1" ht="19.5" customHeight="1">
      <c r="A31" s="3680"/>
      <c r="B31" s="3680"/>
      <c r="C31" s="1094" t="s">
        <v>1450</v>
      </c>
      <c r="D31" s="1095"/>
      <c r="E31" s="1117">
        <v>0.8</v>
      </c>
      <c r="F31" s="1096" t="s">
        <v>1451</v>
      </c>
      <c r="G31" s="1097"/>
      <c r="H31" s="1068"/>
      <c r="I31" s="1068"/>
    </row>
    <row r="32" spans="1:9" s="1502" customFormat="1" ht="19.5" customHeight="1">
      <c r="A32" s="3680"/>
      <c r="B32" s="3680"/>
      <c r="C32" s="1094" t="s">
        <v>1452</v>
      </c>
      <c r="D32" s="1095"/>
      <c r="E32" s="1117">
        <v>0.8</v>
      </c>
      <c r="F32" s="1096" t="s">
        <v>1453</v>
      </c>
      <c r="G32" s="1097"/>
      <c r="H32" s="1068"/>
      <c r="I32" s="1068"/>
    </row>
    <row r="33" spans="1:9" s="1502" customFormat="1" ht="19.5" customHeight="1">
      <c r="A33" s="3680" t="s">
        <v>1454</v>
      </c>
      <c r="B33" s="1117" t="s">
        <v>1426</v>
      </c>
      <c r="C33" s="1094" t="s">
        <v>1455</v>
      </c>
      <c r="D33" s="1095"/>
      <c r="E33" s="1117">
        <v>1</v>
      </c>
      <c r="F33" s="1096" t="s">
        <v>1456</v>
      </c>
      <c r="G33" s="1097"/>
      <c r="H33" s="1068"/>
      <c r="I33" s="1068"/>
    </row>
    <row r="34" spans="1:9" s="1502" customFormat="1" ht="19.5" customHeight="1">
      <c r="A34" s="3680"/>
      <c r="B34" s="1117" t="s">
        <v>1429</v>
      </c>
      <c r="C34" s="1094" t="s">
        <v>1457</v>
      </c>
      <c r="D34" s="1095"/>
      <c r="E34" s="1117">
        <v>1.5</v>
      </c>
      <c r="F34" s="1096" t="s">
        <v>1458</v>
      </c>
      <c r="G34" s="1097"/>
      <c r="H34" s="1068"/>
      <c r="I34" s="1068"/>
    </row>
    <row r="35" spans="1:9" s="1502" customFormat="1" ht="19.5" customHeight="1">
      <c r="A35" s="3680" t="s">
        <v>1412</v>
      </c>
      <c r="B35" s="1117" t="s">
        <v>1426</v>
      </c>
      <c r="C35" s="1094" t="s">
        <v>1459</v>
      </c>
      <c r="D35" s="1095"/>
      <c r="E35" s="1117">
        <v>1</v>
      </c>
      <c r="F35" s="1096" t="s">
        <v>1460</v>
      </c>
      <c r="G35" s="1097"/>
      <c r="H35" s="1068"/>
      <c r="I35" s="1068"/>
    </row>
    <row r="36" spans="1:9" s="1502" customFormat="1" ht="19.5" customHeight="1">
      <c r="A36" s="3680"/>
      <c r="B36" s="3680" t="s">
        <v>1429</v>
      </c>
      <c r="C36" s="1094" t="s">
        <v>1461</v>
      </c>
      <c r="D36" s="1095"/>
      <c r="E36" s="1117">
        <v>1</v>
      </c>
      <c r="F36" s="1096" t="s">
        <v>1462</v>
      </c>
      <c r="G36" s="1097"/>
      <c r="H36" s="1068"/>
      <c r="I36" s="1068"/>
    </row>
    <row r="37" spans="1:9" s="1502" customFormat="1" ht="19.5" customHeight="1">
      <c r="A37" s="3680"/>
      <c r="B37" s="3680"/>
      <c r="C37" s="1094" t="s">
        <v>1463</v>
      </c>
      <c r="D37" s="1095"/>
      <c r="E37" s="1117">
        <v>1.5</v>
      </c>
      <c r="F37" s="1096" t="s">
        <v>1464</v>
      </c>
      <c r="G37" s="1097"/>
      <c r="H37" s="1068"/>
      <c r="I37" s="1068"/>
    </row>
    <row r="38" spans="1:9" s="1502" customFormat="1" ht="19.5" customHeight="1">
      <c r="A38" s="3680"/>
      <c r="B38" s="3680"/>
      <c r="C38" s="1094" t="s">
        <v>1465</v>
      </c>
      <c r="D38" s="1095"/>
      <c r="E38" s="1117">
        <v>1</v>
      </c>
      <c r="F38" s="1096" t="s">
        <v>1466</v>
      </c>
      <c r="G38" s="1097"/>
      <c r="H38" s="1068"/>
      <c r="I38" s="1068"/>
    </row>
    <row r="39" spans="1:9" s="1502" customFormat="1" ht="19.5" customHeight="1">
      <c r="A39" s="3680"/>
      <c r="B39" s="3680"/>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680" t="s">
        <v>1481</v>
      </c>
      <c r="C61" s="1031" t="s">
        <v>1482</v>
      </c>
      <c r="D61" s="1031" t="s">
        <v>1483</v>
      </c>
      <c r="E61" s="1102">
        <v>0.5</v>
      </c>
      <c r="F61" s="1117">
        <v>80</v>
      </c>
      <c r="H61" s="1068">
        <f>SUMIF(C59:C119,基准地价!C8,E59:E119)</f>
        <v>0</v>
      </c>
    </row>
    <row r="62" spans="1:8" s="1068" customFormat="1" ht="24">
      <c r="A62" s="1117">
        <v>2</v>
      </c>
      <c r="B62" s="3680"/>
      <c r="C62" s="1031" t="s">
        <v>1484</v>
      </c>
      <c r="D62" s="1031" t="s">
        <v>1485</v>
      </c>
      <c r="E62" s="1102">
        <v>0.5</v>
      </c>
      <c r="F62" s="1117">
        <v>80</v>
      </c>
    </row>
    <row r="63" spans="1:8" s="1068" customFormat="1" ht="36">
      <c r="A63" s="1117">
        <v>3</v>
      </c>
      <c r="B63" s="3680"/>
      <c r="C63" s="1031" t="s">
        <v>1486</v>
      </c>
      <c r="D63" s="1031" t="s">
        <v>1487</v>
      </c>
      <c r="E63" s="1102">
        <v>0.5</v>
      </c>
      <c r="F63" s="1117">
        <v>80</v>
      </c>
    </row>
    <row r="64" spans="1:8" s="1068" customFormat="1" ht="36">
      <c r="A64" s="1117">
        <v>4</v>
      </c>
      <c r="B64" s="3680"/>
      <c r="C64" s="1031" t="s">
        <v>1488</v>
      </c>
      <c r="D64" s="1031" t="s">
        <v>1489</v>
      </c>
      <c r="E64" s="1102">
        <v>0.4</v>
      </c>
      <c r="F64" s="1117">
        <v>60</v>
      </c>
    </row>
    <row r="65" spans="1:6" s="1068" customFormat="1" ht="36">
      <c r="A65" s="1117">
        <v>5</v>
      </c>
      <c r="B65" s="3680"/>
      <c r="C65" s="1031" t="s">
        <v>1490</v>
      </c>
      <c r="D65" s="1031" t="s">
        <v>1491</v>
      </c>
      <c r="E65" s="1102">
        <v>0.2</v>
      </c>
      <c r="F65" s="1117">
        <v>30</v>
      </c>
    </row>
    <row r="66" spans="1:6" s="1068" customFormat="1" ht="36">
      <c r="A66" s="1117">
        <v>6</v>
      </c>
      <c r="B66" s="3680"/>
      <c r="C66" s="1031" t="s">
        <v>1492</v>
      </c>
      <c r="D66" s="1031" t="s">
        <v>1493</v>
      </c>
      <c r="E66" s="1102">
        <v>0.3</v>
      </c>
      <c r="F66" s="1117">
        <v>50</v>
      </c>
    </row>
    <row r="67" spans="1:6" s="1068" customFormat="1" ht="36">
      <c r="A67" s="1117">
        <v>7</v>
      </c>
      <c r="B67" s="3680"/>
      <c r="C67" s="1031" t="s">
        <v>1494</v>
      </c>
      <c r="D67" s="1031" t="s">
        <v>1495</v>
      </c>
      <c r="E67" s="1102">
        <v>0.2</v>
      </c>
      <c r="F67" s="1117">
        <v>30</v>
      </c>
    </row>
    <row r="68" spans="1:6" s="1068" customFormat="1" ht="36">
      <c r="A68" s="1117">
        <v>8</v>
      </c>
      <c r="B68" s="3680"/>
      <c r="C68" s="1031" t="s">
        <v>1496</v>
      </c>
      <c r="D68" s="1031" t="s">
        <v>1497</v>
      </c>
      <c r="E68" s="1102">
        <v>0.2</v>
      </c>
      <c r="F68" s="1117">
        <v>30</v>
      </c>
    </row>
    <row r="69" spans="1:6" s="1068" customFormat="1" ht="36">
      <c r="A69" s="1117">
        <v>9</v>
      </c>
      <c r="B69" s="3680"/>
      <c r="C69" s="1031" t="s">
        <v>1498</v>
      </c>
      <c r="D69" s="1031" t="s">
        <v>1499</v>
      </c>
      <c r="E69" s="1102">
        <v>0.2</v>
      </c>
      <c r="F69" s="1117">
        <v>30</v>
      </c>
    </row>
    <row r="70" spans="1:6" s="1068" customFormat="1" ht="48">
      <c r="A70" s="1117">
        <v>10</v>
      </c>
      <c r="B70" s="3680"/>
      <c r="C70" s="1031" t="s">
        <v>1500</v>
      </c>
      <c r="D70" s="1031" t="s">
        <v>1501</v>
      </c>
      <c r="E70" s="1102">
        <v>0.2</v>
      </c>
      <c r="F70" s="1117">
        <v>30</v>
      </c>
    </row>
    <row r="71" spans="1:6" s="1068" customFormat="1" ht="48">
      <c r="A71" s="1117">
        <v>11</v>
      </c>
      <c r="B71" s="3680"/>
      <c r="C71" s="1031" t="s">
        <v>1502</v>
      </c>
      <c r="D71" s="1031" t="s">
        <v>1503</v>
      </c>
      <c r="E71" s="1102">
        <v>0.2</v>
      </c>
      <c r="F71" s="1117">
        <v>30</v>
      </c>
    </row>
    <row r="72" spans="1:6" s="1068" customFormat="1" ht="36">
      <c r="A72" s="1117">
        <v>12</v>
      </c>
      <c r="B72" s="3680"/>
      <c r="C72" s="1031" t="s">
        <v>1504</v>
      </c>
      <c r="D72" s="1031" t="s">
        <v>1505</v>
      </c>
      <c r="E72" s="1102">
        <v>0.5</v>
      </c>
      <c r="F72" s="1117">
        <v>80</v>
      </c>
    </row>
    <row r="73" spans="1:6" s="1068" customFormat="1" ht="24">
      <c r="A73" s="1117">
        <v>13</v>
      </c>
      <c r="B73" s="3680"/>
      <c r="C73" s="1031" t="s">
        <v>1506</v>
      </c>
      <c r="D73" s="1031" t="s">
        <v>1507</v>
      </c>
      <c r="E73" s="1102">
        <v>0.4</v>
      </c>
      <c r="F73" s="1117">
        <v>60</v>
      </c>
    </row>
    <row r="74" spans="1:6" s="1068" customFormat="1" ht="24">
      <c r="A74" s="1117">
        <v>14</v>
      </c>
      <c r="B74" s="3680"/>
      <c r="C74" s="1031" t="s">
        <v>1508</v>
      </c>
      <c r="D74" s="1031" t="s">
        <v>1509</v>
      </c>
      <c r="E74" s="1102">
        <v>0.2</v>
      </c>
      <c r="F74" s="1117">
        <v>30</v>
      </c>
    </row>
    <row r="75" spans="1:6" s="1068" customFormat="1" ht="24">
      <c r="A75" s="1117">
        <v>15</v>
      </c>
      <c r="B75" s="3680"/>
      <c r="C75" s="1031" t="s">
        <v>1510</v>
      </c>
      <c r="D75" s="1031" t="s">
        <v>1511</v>
      </c>
      <c r="E75" s="1102">
        <v>0.2</v>
      </c>
      <c r="F75" s="1117">
        <v>30</v>
      </c>
    </row>
    <row r="76" spans="1:6" s="1068" customFormat="1" ht="24">
      <c r="A76" s="1117">
        <v>16</v>
      </c>
      <c r="B76" s="3680" t="s">
        <v>1512</v>
      </c>
      <c r="C76" s="1031" t="s">
        <v>1513</v>
      </c>
      <c r="D76" s="1031" t="s">
        <v>1514</v>
      </c>
      <c r="E76" s="1102">
        <v>0.5</v>
      </c>
      <c r="F76" s="1117">
        <v>80</v>
      </c>
    </row>
    <row r="77" spans="1:6" s="1068" customFormat="1" ht="24">
      <c r="A77" s="1117">
        <v>17</v>
      </c>
      <c r="B77" s="3680"/>
      <c r="C77" s="1031" t="s">
        <v>1515</v>
      </c>
      <c r="D77" s="1031" t="s">
        <v>1516</v>
      </c>
      <c r="E77" s="1102">
        <v>0.5</v>
      </c>
      <c r="F77" s="1117">
        <v>80</v>
      </c>
    </row>
    <row r="78" spans="1:6" s="1068" customFormat="1" ht="24">
      <c r="A78" s="1117">
        <v>18</v>
      </c>
      <c r="B78" s="3680"/>
      <c r="C78" s="1031" t="s">
        <v>1517</v>
      </c>
      <c r="D78" s="1031" t="s">
        <v>1518</v>
      </c>
      <c r="E78" s="1102">
        <v>0.2</v>
      </c>
      <c r="F78" s="1117">
        <v>30</v>
      </c>
    </row>
    <row r="79" spans="1:6" s="1068" customFormat="1" ht="24">
      <c r="A79" s="1117">
        <v>19</v>
      </c>
      <c r="B79" s="3680"/>
      <c r="C79" s="1031" t="s">
        <v>1519</v>
      </c>
      <c r="D79" s="1031" t="s">
        <v>1520</v>
      </c>
      <c r="E79" s="1102">
        <v>0.5</v>
      </c>
      <c r="F79" s="1117">
        <v>80</v>
      </c>
    </row>
    <row r="80" spans="1:6" s="1068" customFormat="1" ht="36">
      <c r="A80" s="1117">
        <v>20</v>
      </c>
      <c r="B80" s="3680"/>
      <c r="C80" s="1031" t="s">
        <v>1521</v>
      </c>
      <c r="D80" s="1031" t="s">
        <v>1522</v>
      </c>
      <c r="E80" s="1102">
        <v>0.2</v>
      </c>
      <c r="F80" s="1117">
        <v>30</v>
      </c>
    </row>
    <row r="81" spans="1:6" s="1068" customFormat="1" ht="36">
      <c r="A81" s="1117">
        <v>21</v>
      </c>
      <c r="B81" s="3680"/>
      <c r="C81" s="1031" t="s">
        <v>1523</v>
      </c>
      <c r="D81" s="1031" t="s">
        <v>1524</v>
      </c>
      <c r="E81" s="1102">
        <v>0.2</v>
      </c>
      <c r="F81" s="1117">
        <v>30</v>
      </c>
    </row>
    <row r="82" spans="1:6" s="1068" customFormat="1" ht="48">
      <c r="A82" s="1117">
        <v>22</v>
      </c>
      <c r="B82" s="3680"/>
      <c r="C82" s="1031" t="s">
        <v>1525</v>
      </c>
      <c r="D82" s="1031" t="s">
        <v>1526</v>
      </c>
      <c r="E82" s="1102">
        <v>0.2</v>
      </c>
      <c r="F82" s="1117">
        <v>30</v>
      </c>
    </row>
    <row r="83" spans="1:6" s="1068" customFormat="1" ht="48">
      <c r="A83" s="1117">
        <v>23</v>
      </c>
      <c r="B83" s="3680"/>
      <c r="C83" s="1031" t="s">
        <v>1527</v>
      </c>
      <c r="D83" s="1031" t="s">
        <v>1528</v>
      </c>
      <c r="E83" s="1102">
        <v>0.2</v>
      </c>
      <c r="F83" s="1117">
        <v>30</v>
      </c>
    </row>
    <row r="84" spans="1:6" s="1068" customFormat="1" ht="36">
      <c r="A84" s="1117">
        <v>24</v>
      </c>
      <c r="B84" s="3680"/>
      <c r="C84" s="1031" t="s">
        <v>1529</v>
      </c>
      <c r="D84" s="1031" t="s">
        <v>1530</v>
      </c>
      <c r="E84" s="1102">
        <v>0.2</v>
      </c>
      <c r="F84" s="1117">
        <v>30</v>
      </c>
    </row>
    <row r="85" spans="1:6" s="1068" customFormat="1" ht="36">
      <c r="A85" s="1117">
        <v>25</v>
      </c>
      <c r="B85" s="3680"/>
      <c r="C85" s="1031" t="s">
        <v>1531</v>
      </c>
      <c r="D85" s="1031" t="s">
        <v>1532</v>
      </c>
      <c r="E85" s="1102">
        <v>0.5</v>
      </c>
      <c r="F85" s="1117">
        <v>80</v>
      </c>
    </row>
    <row r="86" spans="1:6" s="1068" customFormat="1" ht="36">
      <c r="A86" s="1117">
        <v>26</v>
      </c>
      <c r="B86" s="3680"/>
      <c r="C86" s="1031" t="s">
        <v>1533</v>
      </c>
      <c r="D86" s="1031" t="s">
        <v>1534</v>
      </c>
      <c r="E86" s="1102">
        <v>0.2</v>
      </c>
      <c r="F86" s="1117">
        <v>30</v>
      </c>
    </row>
    <row r="87" spans="1:6" s="1068" customFormat="1" ht="36">
      <c r="A87" s="1117">
        <v>27</v>
      </c>
      <c r="B87" s="3680"/>
      <c r="C87" s="1031" t="s">
        <v>1535</v>
      </c>
      <c r="D87" s="1031" t="s">
        <v>1536</v>
      </c>
      <c r="E87" s="1102">
        <v>0.2</v>
      </c>
      <c r="F87" s="1117">
        <v>30</v>
      </c>
    </row>
    <row r="88" spans="1:6" s="1068" customFormat="1" ht="36">
      <c r="A88" s="1117">
        <v>28</v>
      </c>
      <c r="B88" s="3680"/>
      <c r="C88" s="1031" t="s">
        <v>1537</v>
      </c>
      <c r="D88" s="1031" t="s">
        <v>1538</v>
      </c>
      <c r="E88" s="1102">
        <v>0.2</v>
      </c>
      <c r="F88" s="1117">
        <v>30</v>
      </c>
    </row>
    <row r="89" spans="1:6" s="1068" customFormat="1" ht="24">
      <c r="A89" s="1117">
        <v>29</v>
      </c>
      <c r="B89" s="3680"/>
      <c r="C89" s="1031" t="s">
        <v>1539</v>
      </c>
      <c r="D89" s="1031" t="s">
        <v>1540</v>
      </c>
      <c r="E89" s="1102">
        <v>0.2</v>
      </c>
      <c r="F89" s="1117">
        <v>30</v>
      </c>
    </row>
    <row r="90" spans="1:6" s="1068" customFormat="1" ht="24">
      <c r="A90" s="1117">
        <v>30</v>
      </c>
      <c r="B90" s="3680"/>
      <c r="C90" s="1031" t="s">
        <v>1541</v>
      </c>
      <c r="D90" s="1031" t="s">
        <v>1542</v>
      </c>
      <c r="E90" s="1102">
        <v>0.2</v>
      </c>
      <c r="F90" s="1117">
        <v>30</v>
      </c>
    </row>
    <row r="91" spans="1:6" s="1068" customFormat="1" ht="36">
      <c r="A91" s="1117">
        <v>31</v>
      </c>
      <c r="B91" s="3680"/>
      <c r="C91" s="1031" t="s">
        <v>1543</v>
      </c>
      <c r="D91" s="1031" t="s">
        <v>1544</v>
      </c>
      <c r="E91" s="1102">
        <v>0.2</v>
      </c>
      <c r="F91" s="1117">
        <v>30</v>
      </c>
    </row>
    <row r="92" spans="1:6" s="1068" customFormat="1" ht="24">
      <c r="A92" s="1117">
        <v>32</v>
      </c>
      <c r="B92" s="3680" t="s">
        <v>1545</v>
      </c>
      <c r="C92" s="1117" t="s">
        <v>1546</v>
      </c>
      <c r="D92" s="1031" t="s">
        <v>1547</v>
      </c>
      <c r="E92" s="1102">
        <v>0.2</v>
      </c>
      <c r="F92" s="1117">
        <v>30</v>
      </c>
    </row>
    <row r="93" spans="1:6" s="1068" customFormat="1" ht="36">
      <c r="A93" s="1117">
        <v>33</v>
      </c>
      <c r="B93" s="3680"/>
      <c r="C93" s="1117" t="s">
        <v>1548</v>
      </c>
      <c r="D93" s="1031" t="s">
        <v>1549</v>
      </c>
      <c r="E93" s="1102">
        <v>0.2</v>
      </c>
      <c r="F93" s="1117">
        <v>30</v>
      </c>
    </row>
    <row r="94" spans="1:6" s="1068" customFormat="1" ht="48">
      <c r="A94" s="1117">
        <v>34</v>
      </c>
      <c r="B94" s="3680"/>
      <c r="C94" s="1117" t="s">
        <v>1550</v>
      </c>
      <c r="D94" s="1031" t="s">
        <v>1551</v>
      </c>
      <c r="E94" s="1102">
        <v>0.2</v>
      </c>
      <c r="F94" s="1117">
        <v>30</v>
      </c>
    </row>
    <row r="95" spans="1:6" s="1068" customFormat="1" ht="36">
      <c r="A95" s="1117">
        <v>35</v>
      </c>
      <c r="B95" s="3680"/>
      <c r="C95" s="1117" t="s">
        <v>1552</v>
      </c>
      <c r="D95" s="1031" t="s">
        <v>1553</v>
      </c>
      <c r="E95" s="1102">
        <v>0.2</v>
      </c>
      <c r="F95" s="1117">
        <v>30</v>
      </c>
    </row>
    <row r="96" spans="1:6" s="1068" customFormat="1" ht="48">
      <c r="A96" s="1117">
        <v>36</v>
      </c>
      <c r="B96" s="3680"/>
      <c r="C96" s="1031" t="s">
        <v>1554</v>
      </c>
      <c r="D96" s="1031" t="s">
        <v>1555</v>
      </c>
      <c r="E96" s="1102">
        <v>0.2</v>
      </c>
      <c r="F96" s="1117">
        <v>30</v>
      </c>
    </row>
    <row r="97" spans="1:6" s="1068" customFormat="1" ht="36">
      <c r="A97" s="1117">
        <v>37</v>
      </c>
      <c r="B97" s="3680"/>
      <c r="C97" s="1117" t="s">
        <v>1556</v>
      </c>
      <c r="D97" s="1031" t="s">
        <v>1557</v>
      </c>
      <c r="E97" s="1102">
        <v>0.2</v>
      </c>
      <c r="F97" s="1117">
        <v>30</v>
      </c>
    </row>
    <row r="98" spans="1:6" s="1068" customFormat="1" ht="36">
      <c r="A98" s="1117">
        <v>38</v>
      </c>
      <c r="B98" s="3680"/>
      <c r="C98" s="1117" t="s">
        <v>1558</v>
      </c>
      <c r="D98" s="1031" t="s">
        <v>1559</v>
      </c>
      <c r="E98" s="1102">
        <v>0.2</v>
      </c>
      <c r="F98" s="1117">
        <v>30</v>
      </c>
    </row>
    <row r="99" spans="1:6" s="1068" customFormat="1" ht="36">
      <c r="A99" s="1117">
        <v>39</v>
      </c>
      <c r="B99" s="3680" t="s">
        <v>1560</v>
      </c>
      <c r="C99" s="1117" t="s">
        <v>1561</v>
      </c>
      <c r="D99" s="1031" t="s">
        <v>1562</v>
      </c>
      <c r="E99" s="1102">
        <v>0.3</v>
      </c>
      <c r="F99" s="1117">
        <v>50</v>
      </c>
    </row>
    <row r="100" spans="1:6" s="1068" customFormat="1" ht="24">
      <c r="A100" s="1117">
        <v>40</v>
      </c>
      <c r="B100" s="3680"/>
      <c r="C100" s="1117" t="s">
        <v>1563</v>
      </c>
      <c r="D100" s="1031" t="s">
        <v>1564</v>
      </c>
      <c r="E100" s="1102">
        <v>0.2</v>
      </c>
      <c r="F100" s="1117">
        <v>30</v>
      </c>
    </row>
    <row r="101" spans="1:6" s="1068" customFormat="1" ht="36">
      <c r="A101" s="1117">
        <v>41</v>
      </c>
      <c r="B101" s="3680"/>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680" t="s">
        <v>1575</v>
      </c>
      <c r="C105" s="1117" t="s">
        <v>1576</v>
      </c>
      <c r="D105" s="1031" t="s">
        <v>1577</v>
      </c>
      <c r="E105" s="1102">
        <v>0.2</v>
      </c>
      <c r="F105" s="1117">
        <v>30</v>
      </c>
    </row>
    <row r="106" spans="1:6" s="1068" customFormat="1" ht="36">
      <c r="A106" s="1117">
        <v>46</v>
      </c>
      <c r="B106" s="3680"/>
      <c r="C106" s="1117" t="s">
        <v>1578</v>
      </c>
      <c r="D106" s="1031" t="s">
        <v>1579</v>
      </c>
      <c r="E106" s="1102">
        <v>0.2</v>
      </c>
      <c r="F106" s="1117">
        <v>30</v>
      </c>
    </row>
    <row r="107" spans="1:6" s="1068" customFormat="1" ht="36">
      <c r="A107" s="1117">
        <v>47</v>
      </c>
      <c r="B107" s="3680" t="s">
        <v>1580</v>
      </c>
      <c r="C107" s="1117" t="s">
        <v>1581</v>
      </c>
      <c r="D107" s="1031" t="s">
        <v>1582</v>
      </c>
      <c r="E107" s="1102">
        <v>0.3</v>
      </c>
      <c r="F107" s="1117">
        <v>50</v>
      </c>
    </row>
    <row r="108" spans="1:6" s="1068" customFormat="1" ht="36">
      <c r="A108" s="1117">
        <v>48</v>
      </c>
      <c r="B108" s="3680"/>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680" t="s">
        <v>1591</v>
      </c>
      <c r="C111" s="1117" t="s">
        <v>1592</v>
      </c>
      <c r="D111" s="1031" t="s">
        <v>1593</v>
      </c>
      <c r="E111" s="1102">
        <v>0.2</v>
      </c>
      <c r="F111" s="1117">
        <v>30</v>
      </c>
    </row>
    <row r="112" spans="1:6" s="1068" customFormat="1" ht="24">
      <c r="A112" s="1117">
        <v>52</v>
      </c>
      <c r="B112" s="3680"/>
      <c r="C112" s="1117" t="s">
        <v>1594</v>
      </c>
      <c r="D112" s="1031" t="s">
        <v>1595</v>
      </c>
      <c r="E112" s="1102">
        <v>0.2</v>
      </c>
      <c r="F112" s="1117">
        <v>30</v>
      </c>
    </row>
    <row r="113" spans="1:14" s="1068" customFormat="1" ht="24">
      <c r="A113" s="1117">
        <v>53</v>
      </c>
      <c r="B113" s="3680"/>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680" t="s">
        <v>1604</v>
      </c>
      <c r="C116" s="1117" t="s">
        <v>1605</v>
      </c>
      <c r="D116" s="1031" t="s">
        <v>1606</v>
      </c>
      <c r="E116" s="1102">
        <v>0.2</v>
      </c>
      <c r="F116" s="1117">
        <v>30</v>
      </c>
    </row>
    <row r="117" spans="1:14" ht="36">
      <c r="A117" s="1117">
        <v>57</v>
      </c>
      <c r="B117" s="3680"/>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679" t="s">
        <v>1613</v>
      </c>
      <c r="B121" s="3679"/>
      <c r="C121" s="3679"/>
      <c r="D121" s="3679"/>
      <c r="E121" s="3679"/>
      <c r="F121" s="3679"/>
      <c r="G121" s="3679"/>
      <c r="H121" s="3679"/>
      <c r="I121" s="3679"/>
      <c r="J121" s="3679"/>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694" t="s">
        <v>1019</v>
      </c>
      <c r="B1" s="3694"/>
      <c r="C1" s="3694"/>
      <c r="D1" s="3694"/>
      <c r="E1" s="3694"/>
      <c r="F1" s="3694"/>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695" t="s">
        <v>1032</v>
      </c>
      <c r="B2" s="3695"/>
      <c r="C2" s="3695"/>
      <c r="D2" s="3695"/>
      <c r="E2" s="3695"/>
      <c r="F2" s="3695"/>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696"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697"/>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884</v>
      </c>
      <c r="B103" s="977"/>
      <c r="C103" s="977"/>
      <c r="D103" s="977"/>
      <c r="E103" s="977"/>
      <c r="F103" s="977"/>
      <c r="G103" s="977"/>
      <c r="H103" s="977"/>
      <c r="I103" s="977"/>
      <c r="J103" s="977"/>
      <c r="K103" s="977"/>
      <c r="L103" s="977"/>
      <c r="M103" s="977"/>
      <c r="N103" s="977"/>
    </row>
    <row r="104" spans="1:14" ht="14.25">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698" t="s">
        <v>2053</v>
      </c>
      <c r="B1" s="3698"/>
    </row>
    <row r="2" spans="1:6" ht="14.25" thickBot="1">
      <c r="A2" s="1736"/>
      <c r="B2" s="1736"/>
    </row>
    <row r="3" spans="1:6" ht="14.25" thickBot="1">
      <c r="A3" s="1736"/>
      <c r="B3" s="1736"/>
      <c r="C3" s="1737" t="s">
        <v>2054</v>
      </c>
      <c r="D3" s="1737" t="s">
        <v>2055</v>
      </c>
      <c r="E3" s="1737" t="s">
        <v>2056</v>
      </c>
      <c r="F3" s="1737" t="s">
        <v>2057</v>
      </c>
    </row>
    <row r="4" spans="1:6" ht="14.25" thickBot="1">
      <c r="A4" s="1738" t="s">
        <v>2058</v>
      </c>
      <c r="B4" s="1739" t="s">
        <v>2059</v>
      </c>
      <c r="C4" s="1737"/>
      <c r="D4" s="1737"/>
      <c r="E4" s="1737"/>
      <c r="F4" s="1737"/>
    </row>
    <row r="5" spans="1:6" ht="14.25" thickBot="1">
      <c r="A5" s="1740" t="s">
        <v>2060</v>
      </c>
      <c r="B5" s="1741" t="s">
        <v>2061</v>
      </c>
      <c r="C5" s="1742">
        <v>8.8999999999999996E-2</v>
      </c>
      <c r="D5" s="1742">
        <v>7.3999999999999996E-2</v>
      </c>
      <c r="E5" s="1742">
        <v>7.4999999999999997E-2</v>
      </c>
      <c r="F5" s="1743">
        <v>0.1</v>
      </c>
    </row>
    <row r="6" spans="1:6" ht="14.25" thickBot="1">
      <c r="A6" s="1740" t="s">
        <v>1076</v>
      </c>
      <c r="B6" s="1744" t="s">
        <v>2062</v>
      </c>
      <c r="C6" s="1745">
        <v>0.1</v>
      </c>
      <c r="D6" s="1745">
        <v>9.0999999999999998E-2</v>
      </c>
      <c r="E6" s="1745">
        <v>9.0999999999999998E-2</v>
      </c>
      <c r="F6" s="1746">
        <v>0.1</v>
      </c>
    </row>
    <row r="7" spans="1:6" ht="14.25" thickBot="1">
      <c r="A7" s="1740" t="s">
        <v>1076</v>
      </c>
      <c r="B7" s="1747" t="s">
        <v>1064</v>
      </c>
      <c r="C7" s="1745">
        <v>8.5999999999999993E-2</v>
      </c>
      <c r="D7" s="1745">
        <v>9.6000000000000002E-2</v>
      </c>
      <c r="E7" s="1745">
        <v>7.5999999999999998E-2</v>
      </c>
      <c r="F7" s="1746">
        <v>0.1</v>
      </c>
    </row>
    <row r="8" spans="1:6" ht="14.25" thickBot="1">
      <c r="A8" s="1740" t="s">
        <v>1076</v>
      </c>
      <c r="B8" s="1744" t="s">
        <v>1077</v>
      </c>
      <c r="C8" s="1745">
        <v>9.9000000000000005E-2</v>
      </c>
      <c r="D8" s="1745">
        <v>9.8000000000000004E-2</v>
      </c>
      <c r="E8" s="1745">
        <v>9.8000000000000004E-2</v>
      </c>
      <c r="F8" s="1746">
        <v>0.1</v>
      </c>
    </row>
    <row r="9" spans="1:6" ht="14.25" thickBot="1">
      <c r="A9" s="1748" t="s">
        <v>1076</v>
      </c>
      <c r="B9" s="1749" t="s">
        <v>1091</v>
      </c>
      <c r="C9" s="1750">
        <v>0.05</v>
      </c>
      <c r="D9" s="1751"/>
      <c r="E9" s="1751"/>
      <c r="F9" s="1752"/>
    </row>
    <row r="10" spans="1:6" ht="14.25" thickBot="1">
      <c r="A10" s="1740" t="s">
        <v>1135</v>
      </c>
      <c r="B10" s="1741" t="s">
        <v>2063</v>
      </c>
      <c r="C10" s="1742">
        <v>8.8999999999999996E-2</v>
      </c>
      <c r="D10" s="1742">
        <v>7.2999999999999995E-2</v>
      </c>
      <c r="E10" s="1742">
        <v>8.2000000000000003E-2</v>
      </c>
      <c r="F10" s="1743">
        <v>0.1</v>
      </c>
    </row>
    <row r="11" spans="1:6" ht="14.25" thickBot="1">
      <c r="A11" s="1740" t="s">
        <v>1135</v>
      </c>
      <c r="B11" s="1747" t="s">
        <v>1051</v>
      </c>
      <c r="C11" s="1745">
        <v>8.8999999999999996E-2</v>
      </c>
      <c r="D11" s="1745">
        <v>7.2999999999999995E-2</v>
      </c>
      <c r="E11" s="1745">
        <v>8.2000000000000003E-2</v>
      </c>
      <c r="F11" s="1746">
        <v>0.1</v>
      </c>
    </row>
    <row r="12" spans="1:6" ht="14.25" thickBot="1">
      <c r="A12" s="1740" t="s">
        <v>1135</v>
      </c>
      <c r="B12" s="1747" t="s">
        <v>1065</v>
      </c>
      <c r="C12" s="1745">
        <v>6.0999999999999999E-2</v>
      </c>
      <c r="D12" s="1745">
        <v>7.0999999999999994E-2</v>
      </c>
      <c r="E12" s="1745">
        <v>9.6000000000000002E-2</v>
      </c>
      <c r="F12" s="1746">
        <v>0.1</v>
      </c>
    </row>
    <row r="13" spans="1:6" ht="14.25" thickBot="1">
      <c r="A13" s="1740" t="s">
        <v>1135</v>
      </c>
      <c r="B13" s="1747" t="s">
        <v>1078</v>
      </c>
      <c r="C13" s="1745">
        <v>6.9000000000000006E-2</v>
      </c>
      <c r="D13" s="1745">
        <v>6.5000000000000002E-2</v>
      </c>
      <c r="E13" s="1745">
        <v>6.6000000000000003E-2</v>
      </c>
      <c r="F13" s="1746">
        <v>0.1</v>
      </c>
    </row>
    <row r="14" spans="1:6" ht="14.25" thickBot="1">
      <c r="A14" s="1740" t="s">
        <v>1135</v>
      </c>
      <c r="B14" s="1747" t="s">
        <v>1092</v>
      </c>
      <c r="C14" s="1745">
        <v>0.1</v>
      </c>
      <c r="D14" s="1745">
        <v>6.5000000000000002E-2</v>
      </c>
      <c r="E14" s="1745">
        <v>7.0000000000000007E-2</v>
      </c>
      <c r="F14" s="1746">
        <v>0.1</v>
      </c>
    </row>
    <row r="15" spans="1:6" ht="14.25" thickBot="1">
      <c r="A15" s="1740" t="s">
        <v>1135</v>
      </c>
      <c r="B15" s="1747" t="s">
        <v>1103</v>
      </c>
      <c r="C15" s="1745">
        <v>9.8000000000000004E-2</v>
      </c>
      <c r="D15" s="1745">
        <v>8.8999999999999996E-2</v>
      </c>
      <c r="E15" s="1745">
        <v>8.8999999999999996E-2</v>
      </c>
      <c r="F15" s="1746">
        <v>0.1</v>
      </c>
    </row>
    <row r="16" spans="1:6" ht="14.25" thickBot="1">
      <c r="A16" s="1740" t="s">
        <v>1135</v>
      </c>
      <c r="B16" s="1747" t="s">
        <v>1114</v>
      </c>
      <c r="C16" s="1745">
        <v>7.0000000000000007E-2</v>
      </c>
      <c r="D16" s="1745">
        <v>9.2999999999999999E-2</v>
      </c>
      <c r="E16" s="1745">
        <v>9.6000000000000002E-2</v>
      </c>
      <c r="F16" s="1746">
        <v>0.1</v>
      </c>
    </row>
    <row r="17" spans="1:6" ht="14.25" thickBot="1">
      <c r="A17" s="1740" t="s">
        <v>1135</v>
      </c>
      <c r="B17" s="1747" t="s">
        <v>1125</v>
      </c>
      <c r="C17" s="1745">
        <v>9.5000000000000001E-2</v>
      </c>
      <c r="D17" s="1745">
        <v>0.1</v>
      </c>
      <c r="E17" s="1745">
        <v>0.1</v>
      </c>
      <c r="F17" s="1753"/>
    </row>
    <row r="18" spans="1:6" ht="14.25" thickBot="1">
      <c r="A18" s="1740" t="s">
        <v>1135</v>
      </c>
      <c r="B18" s="1747" t="s">
        <v>1137</v>
      </c>
      <c r="C18" s="1745">
        <v>7.3999999999999996E-2</v>
      </c>
      <c r="D18" s="1745">
        <v>9.9000000000000005E-2</v>
      </c>
      <c r="E18" s="1745">
        <v>0.1</v>
      </c>
      <c r="F18" s="1753"/>
    </row>
    <row r="19" spans="1:6" ht="14.25" thickBot="1">
      <c r="A19" s="1740" t="s">
        <v>1135</v>
      </c>
      <c r="B19" s="1747" t="s">
        <v>1147</v>
      </c>
      <c r="C19" s="1745">
        <v>9.9000000000000005E-2</v>
      </c>
      <c r="D19" s="1745">
        <v>7.5999999999999998E-2</v>
      </c>
      <c r="E19" s="1745">
        <v>8.6999999999999994E-2</v>
      </c>
      <c r="F19" s="1753"/>
    </row>
    <row r="20" spans="1:6" ht="14.25" thickBot="1">
      <c r="A20" s="1740" t="s">
        <v>1135</v>
      </c>
      <c r="B20" s="1747" t="s">
        <v>1157</v>
      </c>
      <c r="C20" s="1745">
        <v>9.8000000000000004E-2</v>
      </c>
      <c r="D20" s="1745">
        <v>8.5000000000000006E-2</v>
      </c>
      <c r="E20" s="1745">
        <v>8.2000000000000003E-2</v>
      </c>
      <c r="F20" s="1753"/>
    </row>
    <row r="21" spans="1:6" ht="14.25" thickBot="1">
      <c r="A21" s="1740" t="s">
        <v>1135</v>
      </c>
      <c r="B21" s="1747" t="s">
        <v>1167</v>
      </c>
      <c r="C21" s="1745">
        <v>6.6000000000000003E-2</v>
      </c>
      <c r="D21" s="1745">
        <v>6.4000000000000001E-2</v>
      </c>
      <c r="E21" s="1745">
        <v>6.5000000000000002E-2</v>
      </c>
      <c r="F21" s="1753"/>
    </row>
    <row r="22" spans="1:6" ht="14.25" thickBot="1">
      <c r="A22" s="1740" t="s">
        <v>1135</v>
      </c>
      <c r="B22" s="1747" t="s">
        <v>2064</v>
      </c>
      <c r="C22" s="1745">
        <v>0.08</v>
      </c>
      <c r="D22" s="1745">
        <v>9.8000000000000004E-2</v>
      </c>
      <c r="E22" s="1745">
        <v>9.8000000000000004E-2</v>
      </c>
      <c r="F22" s="1753"/>
    </row>
    <row r="23" spans="1:6" ht="14.25" thickBot="1">
      <c r="A23" s="1740" t="s">
        <v>1135</v>
      </c>
      <c r="B23" s="1747" t="s">
        <v>1187</v>
      </c>
      <c r="C23" s="1745">
        <v>9.9000000000000005E-2</v>
      </c>
      <c r="D23" s="1745">
        <v>9.8000000000000004E-2</v>
      </c>
      <c r="E23" s="1745">
        <v>9.0999999999999998E-2</v>
      </c>
      <c r="F23" s="1753"/>
    </row>
    <row r="24" spans="1:6" ht="14.25" thickBot="1">
      <c r="A24" s="1740" t="s">
        <v>1135</v>
      </c>
      <c r="B24" s="1747" t="s">
        <v>1197</v>
      </c>
      <c r="C24" s="1745">
        <v>8.8999999999999996E-2</v>
      </c>
      <c r="D24" s="1745">
        <v>9.7000000000000003E-2</v>
      </c>
      <c r="E24" s="1745">
        <v>7.0000000000000007E-2</v>
      </c>
      <c r="F24" s="1753"/>
    </row>
    <row r="25" spans="1:6" ht="14.25" thickBot="1">
      <c r="A25" s="1740" t="s">
        <v>1135</v>
      </c>
      <c r="B25" s="1747" t="s">
        <v>1207</v>
      </c>
      <c r="C25" s="1745">
        <v>8.8999999999999996E-2</v>
      </c>
      <c r="D25" s="1745">
        <v>0.1</v>
      </c>
      <c r="E25" s="1745">
        <v>8.1000000000000003E-2</v>
      </c>
      <c r="F25" s="1753"/>
    </row>
    <row r="26" spans="1:6" ht="14.25" thickBot="1">
      <c r="A26" s="1740" t="s">
        <v>1135</v>
      </c>
      <c r="B26" s="1747" t="s">
        <v>1217</v>
      </c>
      <c r="C26" s="1754"/>
      <c r="D26" s="1745">
        <v>9.6000000000000002E-2</v>
      </c>
      <c r="E26" s="1745">
        <v>9.2999999999999999E-2</v>
      </c>
      <c r="F26" s="1753"/>
    </row>
    <row r="27" spans="1:6" ht="14.25" thickBot="1">
      <c r="A27" s="1740" t="s">
        <v>1135</v>
      </c>
      <c r="B27" s="1747" t="s">
        <v>1227</v>
      </c>
      <c r="C27" s="1754"/>
      <c r="D27" s="1745">
        <v>7.5999999999999998E-2</v>
      </c>
      <c r="E27" s="1745">
        <v>9.1999999999999998E-2</v>
      </c>
      <c r="F27" s="1753"/>
    </row>
    <row r="28" spans="1:6" ht="14.25" thickBot="1">
      <c r="A28" s="1748" t="s">
        <v>1135</v>
      </c>
      <c r="B28" s="1749" t="s">
        <v>1237</v>
      </c>
      <c r="C28" s="1751"/>
      <c r="D28" s="1750">
        <v>7.5999999999999998E-2</v>
      </c>
      <c r="E28" s="1750">
        <v>9.1999999999999998E-2</v>
      </c>
      <c r="F28" s="1752"/>
    </row>
    <row r="29" spans="1:6" ht="14.25" thickBot="1">
      <c r="A29" s="1740" t="s">
        <v>1306</v>
      </c>
      <c r="B29" s="1741" t="s">
        <v>2065</v>
      </c>
      <c r="C29" s="1742">
        <v>6.4000000000000001E-2</v>
      </c>
      <c r="D29" s="1742">
        <v>6.5000000000000002E-2</v>
      </c>
      <c r="E29" s="1742">
        <v>6.9000000000000006E-2</v>
      </c>
      <c r="F29" s="1743">
        <v>0.1</v>
      </c>
    </row>
    <row r="30" spans="1:6" ht="14.25" thickBot="1">
      <c r="A30" s="1740" t="s">
        <v>1306</v>
      </c>
      <c r="B30" s="1747" t="s">
        <v>1052</v>
      </c>
      <c r="C30" s="1745">
        <v>6.4000000000000001E-2</v>
      </c>
      <c r="D30" s="1745">
        <v>9.9000000000000005E-2</v>
      </c>
      <c r="E30" s="1745">
        <v>0.1</v>
      </c>
      <c r="F30" s="1746">
        <v>0.1</v>
      </c>
    </row>
    <row r="31" spans="1:6" ht="14.25" thickBot="1">
      <c r="A31" s="1740" t="s">
        <v>1306</v>
      </c>
      <c r="B31" s="1747" t="s">
        <v>1066</v>
      </c>
      <c r="C31" s="1745">
        <v>0.1</v>
      </c>
      <c r="D31" s="1745">
        <v>9.5000000000000001E-2</v>
      </c>
      <c r="E31" s="1745">
        <v>8.8999999999999996E-2</v>
      </c>
      <c r="F31" s="1746">
        <v>0.1</v>
      </c>
    </row>
    <row r="32" spans="1:6" ht="14.25" thickBot="1">
      <c r="A32" s="1740" t="s">
        <v>1306</v>
      </c>
      <c r="B32" s="1747" t="s">
        <v>1079</v>
      </c>
      <c r="C32" s="1745">
        <v>0.05</v>
      </c>
      <c r="D32" s="1745">
        <v>0.05</v>
      </c>
      <c r="E32" s="1745">
        <v>8.7999999999999995E-2</v>
      </c>
      <c r="F32" s="1746">
        <v>0.1</v>
      </c>
    </row>
    <row r="33" spans="1:6" ht="14.25" thickBot="1">
      <c r="A33" s="1740" t="s">
        <v>1306</v>
      </c>
      <c r="B33" s="1747" t="s">
        <v>1093</v>
      </c>
      <c r="C33" s="1745">
        <v>7.4999999999999997E-2</v>
      </c>
      <c r="D33" s="1745">
        <v>9.4E-2</v>
      </c>
      <c r="E33" s="1745">
        <v>9.7000000000000003E-2</v>
      </c>
      <c r="F33" s="1746">
        <v>0.1</v>
      </c>
    </row>
    <row r="34" spans="1:6" ht="14.25" thickBot="1">
      <c r="A34" s="1740" t="s">
        <v>1306</v>
      </c>
      <c r="B34" s="1747" t="s">
        <v>1104</v>
      </c>
      <c r="C34" s="1745">
        <v>9.8000000000000004E-2</v>
      </c>
      <c r="D34" s="1745">
        <v>8.5999999999999993E-2</v>
      </c>
      <c r="E34" s="1745">
        <v>9.7000000000000003E-2</v>
      </c>
      <c r="F34" s="1746">
        <v>0.1</v>
      </c>
    </row>
    <row r="35" spans="1:6" ht="14.25" thickBot="1">
      <c r="A35" s="1740" t="s">
        <v>1306</v>
      </c>
      <c r="B35" s="1747" t="s">
        <v>1115</v>
      </c>
      <c r="C35" s="1745">
        <v>5.8999999999999997E-2</v>
      </c>
      <c r="D35" s="1745">
        <v>6.5000000000000002E-2</v>
      </c>
      <c r="E35" s="1745">
        <v>7.0000000000000007E-2</v>
      </c>
      <c r="F35" s="1746">
        <v>0.1</v>
      </c>
    </row>
    <row r="36" spans="1:6" ht="14.25" thickBot="1">
      <c r="A36" s="1740" t="s">
        <v>1306</v>
      </c>
      <c r="B36" s="1747" t="s">
        <v>1126</v>
      </c>
      <c r="C36" s="1745">
        <v>6.3E-2</v>
      </c>
      <c r="D36" s="1745">
        <v>0.1</v>
      </c>
      <c r="E36" s="1745">
        <v>0.1</v>
      </c>
      <c r="F36" s="1746">
        <v>0.1</v>
      </c>
    </row>
    <row r="37" spans="1:6" ht="14.25" thickBot="1">
      <c r="A37" s="1740" t="s">
        <v>1306</v>
      </c>
      <c r="B37" s="1747" t="s">
        <v>1138</v>
      </c>
      <c r="C37" s="1745">
        <v>7.3999999999999996E-2</v>
      </c>
      <c r="D37" s="1745">
        <v>0.1</v>
      </c>
      <c r="E37" s="1745">
        <v>0.1</v>
      </c>
      <c r="F37" s="1746">
        <v>0.1</v>
      </c>
    </row>
    <row r="38" spans="1:6" ht="14.25" thickBot="1">
      <c r="A38" s="1740" t="s">
        <v>1306</v>
      </c>
      <c r="B38" s="1747" t="s">
        <v>1148</v>
      </c>
      <c r="C38" s="1745">
        <v>0.1</v>
      </c>
      <c r="D38" s="1745">
        <v>9.6000000000000002E-2</v>
      </c>
      <c r="E38" s="1745">
        <v>9.6000000000000002E-2</v>
      </c>
      <c r="F38" s="1753"/>
    </row>
    <row r="39" spans="1:6" ht="14.25" thickBot="1">
      <c r="A39" s="1740" t="s">
        <v>1306</v>
      </c>
      <c r="B39" s="1747" t="s">
        <v>1158</v>
      </c>
      <c r="C39" s="1745">
        <v>0.1</v>
      </c>
      <c r="D39" s="1745">
        <v>9.6000000000000002E-2</v>
      </c>
      <c r="E39" s="1745">
        <v>9.6000000000000002E-2</v>
      </c>
      <c r="F39" s="1753"/>
    </row>
    <row r="40" spans="1:6" ht="14.25" thickBot="1">
      <c r="A40" s="1740" t="s">
        <v>1306</v>
      </c>
      <c r="B40" s="1747" t="s">
        <v>1168</v>
      </c>
      <c r="C40" s="1745">
        <v>9.6000000000000002E-2</v>
      </c>
      <c r="D40" s="1745">
        <v>0.1</v>
      </c>
      <c r="E40" s="1745">
        <v>9.9000000000000005E-2</v>
      </c>
      <c r="F40" s="1753"/>
    </row>
    <row r="41" spans="1:6" ht="14.25" thickBot="1">
      <c r="A41" s="1740" t="s">
        <v>1306</v>
      </c>
      <c r="B41" s="1747" t="s">
        <v>1178</v>
      </c>
      <c r="C41" s="1745">
        <v>9.6000000000000002E-2</v>
      </c>
      <c r="D41" s="1745">
        <v>9.8000000000000004E-2</v>
      </c>
      <c r="E41" s="1745">
        <v>9.8000000000000004E-2</v>
      </c>
      <c r="F41" s="1753"/>
    </row>
    <row r="42" spans="1:6" ht="14.25" thickBot="1">
      <c r="A42" s="1740" t="s">
        <v>1306</v>
      </c>
      <c r="B42" s="1747" t="s">
        <v>1188</v>
      </c>
      <c r="C42" s="1745">
        <v>0.1</v>
      </c>
      <c r="D42" s="1745">
        <v>8.7999999999999995E-2</v>
      </c>
      <c r="E42" s="1745">
        <v>0.1</v>
      </c>
      <c r="F42" s="1753"/>
    </row>
    <row r="43" spans="1:6" ht="14.25" thickBot="1">
      <c r="A43" s="1740" t="s">
        <v>1306</v>
      </c>
      <c r="B43" s="1747" t="s">
        <v>1198</v>
      </c>
      <c r="C43" s="1745">
        <v>9.8000000000000004E-2</v>
      </c>
      <c r="D43" s="1745">
        <v>9.7000000000000003E-2</v>
      </c>
      <c r="E43" s="1745">
        <v>9.6000000000000002E-2</v>
      </c>
      <c r="F43" s="1753"/>
    </row>
    <row r="44" spans="1:6" ht="14.25" thickBot="1">
      <c r="A44" s="1740" t="s">
        <v>1306</v>
      </c>
      <c r="B44" s="1747" t="s">
        <v>1208</v>
      </c>
      <c r="C44" s="1745">
        <v>8.5999999999999993E-2</v>
      </c>
      <c r="D44" s="1745">
        <v>7.9000000000000001E-2</v>
      </c>
      <c r="E44" s="1745">
        <v>7.0999999999999994E-2</v>
      </c>
      <c r="F44" s="1753"/>
    </row>
    <row r="45" spans="1:6" ht="14.25" thickBot="1">
      <c r="A45" s="1740" t="s">
        <v>1306</v>
      </c>
      <c r="B45" s="1747" t="s">
        <v>1218</v>
      </c>
      <c r="C45" s="1745">
        <v>9.8000000000000004E-2</v>
      </c>
      <c r="D45" s="1745">
        <v>9.6000000000000002E-2</v>
      </c>
      <c r="E45" s="1745">
        <v>9.6000000000000002E-2</v>
      </c>
      <c r="F45" s="1753"/>
    </row>
    <row r="46" spans="1:6" ht="14.25" thickBot="1">
      <c r="A46" s="1740" t="s">
        <v>1306</v>
      </c>
      <c r="B46" s="1747" t="s">
        <v>1228</v>
      </c>
      <c r="C46" s="1745">
        <v>8.5999999999999993E-2</v>
      </c>
      <c r="D46" s="1745">
        <v>9.8000000000000004E-2</v>
      </c>
      <c r="E46" s="1745">
        <v>8.7999999999999995E-2</v>
      </c>
      <c r="F46" s="1753"/>
    </row>
    <row r="47" spans="1:6" ht="14.25" thickBot="1">
      <c r="A47" s="1740" t="s">
        <v>1306</v>
      </c>
      <c r="B47" s="1747" t="s">
        <v>1238</v>
      </c>
      <c r="C47" s="1745">
        <v>9.6000000000000002E-2</v>
      </c>
      <c r="D47" s="1754"/>
      <c r="E47" s="1745">
        <v>6.9000000000000006E-2</v>
      </c>
      <c r="F47" s="1753"/>
    </row>
    <row r="48" spans="1:6" ht="14.25" thickBot="1">
      <c r="A48" s="1748" t="s">
        <v>1306</v>
      </c>
      <c r="B48" s="1749" t="s">
        <v>1247</v>
      </c>
      <c r="C48" s="1750">
        <v>9.8000000000000004E-2</v>
      </c>
      <c r="D48" s="1751"/>
      <c r="E48" s="1750">
        <v>9.5000000000000001E-2</v>
      </c>
      <c r="F48" s="1752"/>
    </row>
    <row r="49" spans="1:6" ht="14.25" thickBot="1">
      <c r="A49" s="1740" t="s">
        <v>905</v>
      </c>
      <c r="B49" s="1741" t="s">
        <v>2066</v>
      </c>
      <c r="C49" s="1742">
        <v>9.7000000000000003E-2</v>
      </c>
      <c r="D49" s="1742">
        <v>9.5000000000000001E-2</v>
      </c>
      <c r="E49" s="1742">
        <v>9.7000000000000003E-2</v>
      </c>
      <c r="F49" s="1743">
        <v>0.1</v>
      </c>
    </row>
    <row r="50" spans="1:6" ht="14.25" thickBot="1">
      <c r="A50" s="1740" t="s">
        <v>905</v>
      </c>
      <c r="B50" s="1744" t="s">
        <v>1053</v>
      </c>
      <c r="C50" s="1745">
        <v>7.4999999999999997E-2</v>
      </c>
      <c r="D50" s="1745">
        <v>9.5000000000000001E-2</v>
      </c>
      <c r="E50" s="1745">
        <v>0.1</v>
      </c>
      <c r="F50" s="1746">
        <v>0.1</v>
      </c>
    </row>
    <row r="51" spans="1:6" ht="14.25" thickBot="1">
      <c r="A51" s="1740" t="s">
        <v>905</v>
      </c>
      <c r="B51" s="1744" t="s">
        <v>1067</v>
      </c>
      <c r="C51" s="1745">
        <v>9.8000000000000004E-2</v>
      </c>
      <c r="D51" s="1745">
        <v>8.8999999999999996E-2</v>
      </c>
      <c r="E51" s="1745">
        <v>0.1</v>
      </c>
      <c r="F51" s="1746">
        <v>0.1</v>
      </c>
    </row>
    <row r="52" spans="1:6" ht="14.25" thickBot="1">
      <c r="A52" s="1740" t="s">
        <v>905</v>
      </c>
      <c r="B52" s="1744" t="s">
        <v>1080</v>
      </c>
      <c r="C52" s="1745">
        <v>9.8000000000000004E-2</v>
      </c>
      <c r="D52" s="1745">
        <v>9.7000000000000003E-2</v>
      </c>
      <c r="E52" s="1745">
        <v>8.1000000000000003E-2</v>
      </c>
      <c r="F52" s="1746">
        <v>0.1</v>
      </c>
    </row>
    <row r="53" spans="1:6" ht="14.25" thickBot="1">
      <c r="A53" s="1740" t="s">
        <v>905</v>
      </c>
      <c r="B53" s="1744" t="s">
        <v>1094</v>
      </c>
      <c r="C53" s="1745">
        <v>9.7000000000000003E-2</v>
      </c>
      <c r="D53" s="1745">
        <v>7.5999999999999998E-2</v>
      </c>
      <c r="E53" s="1745">
        <v>7.0999999999999994E-2</v>
      </c>
      <c r="F53" s="1746">
        <v>0.1</v>
      </c>
    </row>
    <row r="54" spans="1:6" ht="14.25" thickBot="1">
      <c r="A54" s="1740" t="s">
        <v>905</v>
      </c>
      <c r="B54" s="1744" t="s">
        <v>1105</v>
      </c>
      <c r="C54" s="1745">
        <v>7.5999999999999998E-2</v>
      </c>
      <c r="D54" s="1745">
        <v>0.1</v>
      </c>
      <c r="E54" s="1745">
        <v>9.9000000000000005E-2</v>
      </c>
      <c r="F54" s="1746">
        <v>0.1</v>
      </c>
    </row>
    <row r="55" spans="1:6" ht="14.25" thickBot="1">
      <c r="A55" s="1740" t="s">
        <v>905</v>
      </c>
      <c r="B55" s="1744" t="s">
        <v>1116</v>
      </c>
      <c r="C55" s="1745">
        <v>0.1</v>
      </c>
      <c r="D55" s="1745">
        <v>0.1</v>
      </c>
      <c r="E55" s="1745">
        <v>9.6000000000000002E-2</v>
      </c>
      <c r="F55" s="1746">
        <v>0.1</v>
      </c>
    </row>
    <row r="56" spans="1:6" ht="14.25" thickBot="1">
      <c r="A56" s="1740" t="s">
        <v>905</v>
      </c>
      <c r="B56" s="1744" t="s">
        <v>1127</v>
      </c>
      <c r="C56" s="1745">
        <v>0.1</v>
      </c>
      <c r="D56" s="1745">
        <v>9.6000000000000002E-2</v>
      </c>
      <c r="E56" s="1745">
        <v>5.1999999999999998E-2</v>
      </c>
      <c r="F56" s="1746">
        <v>0.1</v>
      </c>
    </row>
    <row r="57" spans="1:6" ht="14.25" thickBot="1">
      <c r="A57" s="1740" t="s">
        <v>905</v>
      </c>
      <c r="B57" s="1744" t="s">
        <v>1139</v>
      </c>
      <c r="C57" s="1745">
        <v>9.7000000000000003E-2</v>
      </c>
      <c r="D57" s="1745">
        <v>9.6000000000000002E-2</v>
      </c>
      <c r="E57" s="1745">
        <v>9.6000000000000002E-2</v>
      </c>
      <c r="F57" s="1746">
        <v>0.1</v>
      </c>
    </row>
    <row r="58" spans="1:6" ht="14.25" thickBot="1">
      <c r="A58" s="1740" t="s">
        <v>905</v>
      </c>
      <c r="B58" s="1744" t="s">
        <v>1149</v>
      </c>
      <c r="C58" s="1745">
        <v>9.6000000000000002E-2</v>
      </c>
      <c r="D58" s="1745">
        <v>9.9000000000000005E-2</v>
      </c>
      <c r="E58" s="1745">
        <v>9.6000000000000002E-2</v>
      </c>
      <c r="F58" s="1746">
        <v>0.1</v>
      </c>
    </row>
    <row r="59" spans="1:6" ht="14.25" thickBot="1">
      <c r="A59" s="1740" t="s">
        <v>905</v>
      </c>
      <c r="B59" s="1744" t="s">
        <v>1159</v>
      </c>
      <c r="C59" s="1745">
        <v>7.1999999999999995E-2</v>
      </c>
      <c r="D59" s="1745">
        <v>9.6000000000000002E-2</v>
      </c>
      <c r="E59" s="1745">
        <v>7.0999999999999994E-2</v>
      </c>
      <c r="F59" s="1746">
        <v>0.1</v>
      </c>
    </row>
    <row r="60" spans="1:6" ht="14.25" thickBot="1">
      <c r="A60" s="1740" t="s">
        <v>905</v>
      </c>
      <c r="B60" s="1744" t="s">
        <v>1169</v>
      </c>
      <c r="C60" s="1745">
        <v>9.6000000000000002E-2</v>
      </c>
      <c r="D60" s="1745">
        <v>8.8999999999999996E-2</v>
      </c>
      <c r="E60" s="1745">
        <v>9.6000000000000002E-2</v>
      </c>
      <c r="F60" s="1746">
        <v>0.1</v>
      </c>
    </row>
    <row r="61" spans="1:6" ht="14.25" thickBot="1">
      <c r="A61" s="1740" t="s">
        <v>905</v>
      </c>
      <c r="B61" s="1744" t="s">
        <v>1179</v>
      </c>
      <c r="C61" s="1745">
        <v>8.8999999999999996E-2</v>
      </c>
      <c r="D61" s="1745">
        <v>9.8000000000000004E-2</v>
      </c>
      <c r="E61" s="1745">
        <v>8.7999999999999995E-2</v>
      </c>
      <c r="F61" s="1753"/>
    </row>
    <row r="62" spans="1:6" ht="14.25" thickBot="1">
      <c r="A62" s="1740" t="s">
        <v>905</v>
      </c>
      <c r="B62" s="1744" t="s">
        <v>1189</v>
      </c>
      <c r="C62" s="1745">
        <v>9.8000000000000004E-2</v>
      </c>
      <c r="D62" s="1745">
        <v>9.2999999999999999E-2</v>
      </c>
      <c r="E62" s="1745">
        <v>9.7000000000000003E-2</v>
      </c>
      <c r="F62" s="1753"/>
    </row>
    <row r="63" spans="1:6" ht="14.25" thickBot="1">
      <c r="A63" s="1740" t="s">
        <v>905</v>
      </c>
      <c r="B63" s="1744" t="s">
        <v>1199</v>
      </c>
      <c r="C63" s="1745">
        <v>9.6000000000000002E-2</v>
      </c>
      <c r="D63" s="1745">
        <v>9.8000000000000004E-2</v>
      </c>
      <c r="E63" s="1745">
        <v>0.09</v>
      </c>
      <c r="F63" s="1753"/>
    </row>
    <row r="64" spans="1:6" ht="14.25" thickBot="1">
      <c r="A64" s="1740" t="s">
        <v>905</v>
      </c>
      <c r="B64" s="1744" t="s">
        <v>1209</v>
      </c>
      <c r="C64" s="1745">
        <v>9.9000000000000005E-2</v>
      </c>
      <c r="D64" s="1745">
        <v>9.7000000000000003E-2</v>
      </c>
      <c r="E64" s="1745">
        <v>9.9000000000000005E-2</v>
      </c>
      <c r="F64" s="1753"/>
    </row>
    <row r="65" spans="1:6" ht="14.25" thickBot="1">
      <c r="A65" s="1740" t="s">
        <v>905</v>
      </c>
      <c r="B65" s="1744" t="s">
        <v>1219</v>
      </c>
      <c r="C65" s="1745">
        <v>9.8000000000000004E-2</v>
      </c>
      <c r="D65" s="1745">
        <v>9.6000000000000002E-2</v>
      </c>
      <c r="E65" s="1745">
        <v>9.6000000000000002E-2</v>
      </c>
      <c r="F65" s="1753"/>
    </row>
    <row r="66" spans="1:6" ht="14.25" thickBot="1">
      <c r="A66" s="1740" t="s">
        <v>905</v>
      </c>
      <c r="B66" s="1744" t="s">
        <v>1229</v>
      </c>
      <c r="C66" s="1745">
        <v>9.6000000000000002E-2</v>
      </c>
      <c r="D66" s="1745">
        <v>9.1999999999999998E-2</v>
      </c>
      <c r="E66" s="1745">
        <v>9.6000000000000002E-2</v>
      </c>
      <c r="F66" s="1753"/>
    </row>
    <row r="67" spans="1:6" ht="14.25" thickBot="1">
      <c r="A67" s="1740" t="s">
        <v>905</v>
      </c>
      <c r="B67" s="1744" t="s">
        <v>1239</v>
      </c>
      <c r="C67" s="1745">
        <v>9.4E-2</v>
      </c>
      <c r="D67" s="1745">
        <v>0.1</v>
      </c>
      <c r="E67" s="1745">
        <v>8.7999999999999995E-2</v>
      </c>
      <c r="F67" s="1753"/>
    </row>
    <row r="68" spans="1:6" ht="14.25" thickBot="1">
      <c r="A68" s="1740" t="s">
        <v>905</v>
      </c>
      <c r="B68" s="1744" t="s">
        <v>1248</v>
      </c>
      <c r="C68" s="1745">
        <v>0.1</v>
      </c>
      <c r="D68" s="1745">
        <v>8.7999999999999995E-2</v>
      </c>
      <c r="E68" s="1745">
        <v>9.7000000000000003E-2</v>
      </c>
      <c r="F68" s="1753"/>
    </row>
    <row r="69" spans="1:6" ht="14.25" thickBot="1">
      <c r="A69" s="1740" t="s">
        <v>905</v>
      </c>
      <c r="B69" s="1744" t="s">
        <v>1257</v>
      </c>
      <c r="C69" s="1745">
        <v>6.4000000000000001E-2</v>
      </c>
      <c r="D69" s="1745">
        <v>0.1</v>
      </c>
      <c r="E69" s="1745">
        <v>0.1</v>
      </c>
      <c r="F69" s="1753"/>
    </row>
    <row r="70" spans="1:6" ht="14.25" thickBot="1">
      <c r="A70" s="1740" t="s">
        <v>905</v>
      </c>
      <c r="B70" s="1744" t="s">
        <v>1265</v>
      </c>
      <c r="C70" s="1745">
        <v>9.0999999999999998E-2</v>
      </c>
      <c r="D70" s="1754"/>
      <c r="E70" s="1754"/>
      <c r="F70" s="1753"/>
    </row>
    <row r="71" spans="1:6" ht="14.25" thickBot="1">
      <c r="A71" s="1740" t="s">
        <v>905</v>
      </c>
      <c r="B71" s="1744" t="s">
        <v>1272</v>
      </c>
      <c r="C71" s="1745">
        <v>0.1</v>
      </c>
      <c r="D71" s="1754"/>
      <c r="E71" s="1754"/>
      <c r="F71" s="1753"/>
    </row>
    <row r="72" spans="1:6" ht="14.25" thickBot="1">
      <c r="A72" s="1740" t="s">
        <v>905</v>
      </c>
      <c r="B72" s="1744" t="s">
        <v>2067</v>
      </c>
      <c r="C72" s="1754"/>
      <c r="D72" s="1754"/>
      <c r="E72" s="1754"/>
      <c r="F72" s="1746">
        <v>0.05</v>
      </c>
    </row>
    <row r="73" spans="1:6" ht="14.25" thickBot="1">
      <c r="A73" s="1740" t="s">
        <v>905</v>
      </c>
      <c r="B73" s="1744" t="s">
        <v>2068</v>
      </c>
      <c r="C73" s="1754"/>
      <c r="D73" s="1754"/>
      <c r="E73" s="1754"/>
      <c r="F73" s="1746">
        <v>0.05</v>
      </c>
    </row>
    <row r="74" spans="1:6" ht="14.25" thickBot="1">
      <c r="A74" s="1740" t="s">
        <v>905</v>
      </c>
      <c r="B74" s="1744" t="s">
        <v>2069</v>
      </c>
      <c r="C74" s="1754"/>
      <c r="D74" s="1754"/>
      <c r="E74" s="1754"/>
      <c r="F74" s="1746">
        <v>0.05</v>
      </c>
    </row>
    <row r="75" spans="1:6" ht="14.25" thickBot="1">
      <c r="A75" s="1748" t="s">
        <v>905</v>
      </c>
      <c r="B75" s="1755" t="s">
        <v>2070</v>
      </c>
      <c r="C75" s="1751"/>
      <c r="D75" s="1751"/>
      <c r="E75" s="1751"/>
      <c r="F75" s="1756">
        <v>0.05</v>
      </c>
    </row>
    <row r="76" spans="1:6" ht="14.25" thickBot="1">
      <c r="A76" s="1740" t="s">
        <v>1387</v>
      </c>
      <c r="B76" s="1741" t="s">
        <v>2071</v>
      </c>
      <c r="C76" s="1742">
        <v>0.1</v>
      </c>
      <c r="D76" s="1742">
        <v>0.1</v>
      </c>
      <c r="E76" s="1742">
        <v>0.1</v>
      </c>
      <c r="F76" s="1743">
        <v>0.1</v>
      </c>
    </row>
    <row r="77" spans="1:6" ht="14.25" thickBot="1">
      <c r="A77" s="1740" t="s">
        <v>1387</v>
      </c>
      <c r="B77" s="1744" t="s">
        <v>1054</v>
      </c>
      <c r="C77" s="1745">
        <v>8.7999999999999995E-2</v>
      </c>
      <c r="D77" s="1745">
        <v>8.6999999999999994E-2</v>
      </c>
      <c r="E77" s="1745">
        <v>7.9000000000000001E-2</v>
      </c>
      <c r="F77" s="1746">
        <v>0.1</v>
      </c>
    </row>
    <row r="78" spans="1:6" ht="14.25" thickBot="1">
      <c r="A78" s="1740" t="s">
        <v>1387</v>
      </c>
      <c r="B78" s="1744" t="s">
        <v>1068</v>
      </c>
      <c r="C78" s="1745">
        <v>8.6999999999999994E-2</v>
      </c>
      <c r="D78" s="1745">
        <v>8.4000000000000005E-2</v>
      </c>
      <c r="E78" s="1745">
        <v>9.6000000000000002E-2</v>
      </c>
      <c r="F78" s="1746">
        <v>0.1</v>
      </c>
    </row>
    <row r="79" spans="1:6" ht="14.25" thickBot="1">
      <c r="A79" s="1740" t="s">
        <v>1387</v>
      </c>
      <c r="B79" s="1744" t="s">
        <v>1081</v>
      </c>
      <c r="C79" s="1745">
        <v>9.8000000000000004E-2</v>
      </c>
      <c r="D79" s="1745">
        <v>9.8000000000000004E-2</v>
      </c>
      <c r="E79" s="1745">
        <v>9.0999999999999998E-2</v>
      </c>
      <c r="F79" s="1746">
        <v>0.1</v>
      </c>
    </row>
    <row r="80" spans="1:6" ht="14.25" thickBot="1">
      <c r="A80" s="1740" t="s">
        <v>1387</v>
      </c>
      <c r="B80" s="1744" t="s">
        <v>1095</v>
      </c>
      <c r="C80" s="1745">
        <v>9.6000000000000002E-2</v>
      </c>
      <c r="D80" s="1745">
        <v>9.6000000000000002E-2</v>
      </c>
      <c r="E80" s="1745">
        <v>0.1</v>
      </c>
      <c r="F80" s="1746">
        <v>0.1</v>
      </c>
    </row>
    <row r="81" spans="1:6" ht="14.25" thickBot="1">
      <c r="A81" s="1740" t="s">
        <v>1387</v>
      </c>
      <c r="B81" s="1744" t="s">
        <v>1106</v>
      </c>
      <c r="C81" s="1745">
        <v>9.9000000000000005E-2</v>
      </c>
      <c r="D81" s="1745">
        <v>9.9000000000000005E-2</v>
      </c>
      <c r="E81" s="1745">
        <v>9.8000000000000004E-2</v>
      </c>
      <c r="F81" s="1746">
        <v>0.1</v>
      </c>
    </row>
    <row r="82" spans="1:6" ht="14.25" thickBot="1">
      <c r="A82" s="1740" t="s">
        <v>1387</v>
      </c>
      <c r="B82" s="1744" t="s">
        <v>1117</v>
      </c>
      <c r="C82" s="1745">
        <v>9.9000000000000005E-2</v>
      </c>
      <c r="D82" s="1745">
        <v>9.9000000000000005E-2</v>
      </c>
      <c r="E82" s="1745">
        <v>9.7000000000000003E-2</v>
      </c>
      <c r="F82" s="1746">
        <v>0.1</v>
      </c>
    </row>
    <row r="83" spans="1:6" ht="14.25" thickBot="1">
      <c r="A83" s="1740" t="s">
        <v>1387</v>
      </c>
      <c r="B83" s="1744" t="s">
        <v>1128</v>
      </c>
      <c r="C83" s="1745">
        <v>9.8000000000000004E-2</v>
      </c>
      <c r="D83" s="1745">
        <v>9.8000000000000004E-2</v>
      </c>
      <c r="E83" s="1745">
        <v>9.8000000000000004E-2</v>
      </c>
      <c r="F83" s="1746">
        <v>0.1</v>
      </c>
    </row>
    <row r="84" spans="1:6" ht="14.25" thickBot="1">
      <c r="A84" s="1740" t="s">
        <v>1387</v>
      </c>
      <c r="B84" s="1744" t="s">
        <v>1140</v>
      </c>
      <c r="C84" s="1745">
        <v>9.9000000000000005E-2</v>
      </c>
      <c r="D84" s="1745">
        <v>9.9000000000000005E-2</v>
      </c>
      <c r="E84" s="1745">
        <v>9.9000000000000005E-2</v>
      </c>
      <c r="F84" s="1746">
        <v>0.1</v>
      </c>
    </row>
    <row r="85" spans="1:6" ht="14.25" thickBot="1">
      <c r="A85" s="1740" t="s">
        <v>1387</v>
      </c>
      <c r="B85" s="1744" t="s">
        <v>1150</v>
      </c>
      <c r="C85" s="1745">
        <v>9.9000000000000005E-2</v>
      </c>
      <c r="D85" s="1745">
        <v>9.9000000000000005E-2</v>
      </c>
      <c r="E85" s="1745">
        <v>9.9000000000000005E-2</v>
      </c>
      <c r="F85" s="1746">
        <v>0.1</v>
      </c>
    </row>
    <row r="86" spans="1:6" ht="14.25" thickBot="1">
      <c r="A86" s="1740" t="s">
        <v>1387</v>
      </c>
      <c r="B86" s="1744" t="s">
        <v>1160</v>
      </c>
      <c r="C86" s="1745">
        <v>0.1</v>
      </c>
      <c r="D86" s="1745">
        <v>0.1</v>
      </c>
      <c r="E86" s="1745">
        <v>7.6999999999999999E-2</v>
      </c>
      <c r="F86" s="1746">
        <v>0.1</v>
      </c>
    </row>
    <row r="87" spans="1:6" ht="14.25" thickBot="1">
      <c r="A87" s="1740" t="s">
        <v>1387</v>
      </c>
      <c r="B87" s="1744" t="s">
        <v>1170</v>
      </c>
      <c r="C87" s="1745">
        <v>0.1</v>
      </c>
      <c r="D87" s="1745">
        <v>0.1</v>
      </c>
      <c r="E87" s="1745">
        <v>9.8000000000000004E-2</v>
      </c>
      <c r="F87" s="1753"/>
    </row>
    <row r="88" spans="1:6" ht="14.25" thickBot="1">
      <c r="A88" s="1740" t="s">
        <v>1387</v>
      </c>
      <c r="B88" s="1744" t="s">
        <v>1180</v>
      </c>
      <c r="C88" s="1745">
        <v>9.1999999999999998E-2</v>
      </c>
      <c r="D88" s="1745">
        <v>8.5000000000000006E-2</v>
      </c>
      <c r="E88" s="1745">
        <v>9.6000000000000002E-2</v>
      </c>
      <c r="F88" s="1753"/>
    </row>
    <row r="89" spans="1:6" ht="14.25" thickBot="1">
      <c r="A89" s="1740" t="s">
        <v>1387</v>
      </c>
      <c r="B89" s="1744" t="s">
        <v>1190</v>
      </c>
      <c r="C89" s="1745">
        <v>0.1</v>
      </c>
      <c r="D89" s="1745">
        <v>0.1</v>
      </c>
      <c r="E89" s="1745">
        <v>9.7000000000000003E-2</v>
      </c>
      <c r="F89" s="1753"/>
    </row>
    <row r="90" spans="1:6" ht="14.25" thickBot="1">
      <c r="A90" s="1740" t="s">
        <v>1387</v>
      </c>
      <c r="B90" s="1744" t="s">
        <v>1200</v>
      </c>
      <c r="C90" s="1745">
        <v>9.8000000000000004E-2</v>
      </c>
      <c r="D90" s="1745">
        <v>9.8000000000000004E-2</v>
      </c>
      <c r="E90" s="1745">
        <v>8.7999999999999995E-2</v>
      </c>
      <c r="F90" s="1753"/>
    </row>
    <row r="91" spans="1:6" ht="14.25" thickBot="1">
      <c r="A91" s="1740" t="s">
        <v>1387</v>
      </c>
      <c r="B91" s="1744" t="s">
        <v>1210</v>
      </c>
      <c r="C91" s="1745">
        <v>9.9000000000000005E-2</v>
      </c>
      <c r="D91" s="1745">
        <v>9.9000000000000005E-2</v>
      </c>
      <c r="E91" s="1745">
        <v>9.0999999999999998E-2</v>
      </c>
      <c r="F91" s="1753"/>
    </row>
    <row r="92" spans="1:6" ht="14.25" thickBot="1">
      <c r="A92" s="1740" t="s">
        <v>1387</v>
      </c>
      <c r="B92" s="1744" t="s">
        <v>1220</v>
      </c>
      <c r="C92" s="1745">
        <v>9.6000000000000002E-2</v>
      </c>
      <c r="D92" s="1745">
        <v>9.6000000000000002E-2</v>
      </c>
      <c r="E92" s="1745">
        <v>7.2999999999999995E-2</v>
      </c>
      <c r="F92" s="1753"/>
    </row>
    <row r="93" spans="1:6" ht="14.25" thickBot="1">
      <c r="A93" s="1740" t="s">
        <v>1387</v>
      </c>
      <c r="B93" s="1744" t="s">
        <v>1230</v>
      </c>
      <c r="C93" s="1745">
        <v>9.6000000000000002E-2</v>
      </c>
      <c r="D93" s="1745">
        <v>9.6000000000000002E-2</v>
      </c>
      <c r="E93" s="1745">
        <v>9.9000000000000005E-2</v>
      </c>
      <c r="F93" s="1753"/>
    </row>
    <row r="94" spans="1:6" ht="14.25" thickBot="1">
      <c r="A94" s="1740" t="s">
        <v>1387</v>
      </c>
      <c r="B94" s="1744" t="s">
        <v>1240</v>
      </c>
      <c r="C94" s="1745">
        <v>7.5999999999999998E-2</v>
      </c>
      <c r="D94" s="1745">
        <v>7.3999999999999996E-2</v>
      </c>
      <c r="E94" s="1745">
        <v>9.7000000000000003E-2</v>
      </c>
      <c r="F94" s="1753"/>
    </row>
    <row r="95" spans="1:6" ht="14.25" thickBot="1">
      <c r="A95" s="1740" t="s">
        <v>1387</v>
      </c>
      <c r="B95" s="1744" t="s">
        <v>1249</v>
      </c>
      <c r="C95" s="1745">
        <v>9.9000000000000005E-2</v>
      </c>
      <c r="D95" s="1745">
        <v>9.4E-2</v>
      </c>
      <c r="E95" s="1745">
        <v>9.6000000000000002E-2</v>
      </c>
      <c r="F95" s="1753"/>
    </row>
    <row r="96" spans="1:6" ht="14.25" thickBot="1">
      <c r="A96" s="1740" t="s">
        <v>1387</v>
      </c>
      <c r="B96" s="1744" t="s">
        <v>1258</v>
      </c>
      <c r="C96" s="1745">
        <v>9.9000000000000005E-2</v>
      </c>
      <c r="D96" s="1745">
        <v>9.9000000000000005E-2</v>
      </c>
      <c r="E96" s="1745">
        <v>9.9000000000000005E-2</v>
      </c>
      <c r="F96" s="1753"/>
    </row>
    <row r="97" spans="1:6" ht="14.25" thickBot="1">
      <c r="A97" s="1740" t="s">
        <v>1387</v>
      </c>
      <c r="B97" s="1744" t="s">
        <v>1266</v>
      </c>
      <c r="C97" s="1745">
        <v>9.8000000000000004E-2</v>
      </c>
      <c r="D97" s="1745">
        <v>9.8000000000000004E-2</v>
      </c>
      <c r="E97" s="1745">
        <v>9.7000000000000003E-2</v>
      </c>
      <c r="F97" s="1753"/>
    </row>
    <row r="98" spans="1:6" ht="14.25" thickBot="1">
      <c r="A98" s="1740" t="s">
        <v>1387</v>
      </c>
      <c r="B98" s="1744" t="s">
        <v>1273</v>
      </c>
      <c r="C98" s="1745">
        <v>0.1</v>
      </c>
      <c r="D98" s="1745">
        <v>0.1</v>
      </c>
      <c r="E98" s="1745">
        <v>9.7000000000000003E-2</v>
      </c>
      <c r="F98" s="1753"/>
    </row>
    <row r="99" spans="1:6" ht="14.25" thickBot="1">
      <c r="A99" s="1740" t="s">
        <v>1387</v>
      </c>
      <c r="B99" s="1744" t="s">
        <v>1280</v>
      </c>
      <c r="C99" s="1745">
        <v>0.1</v>
      </c>
      <c r="D99" s="1745">
        <v>0.1</v>
      </c>
      <c r="E99" s="1754"/>
      <c r="F99" s="1753"/>
    </row>
    <row r="100" spans="1:6" ht="14.25" thickBot="1">
      <c r="A100" s="1740" t="s">
        <v>1387</v>
      </c>
      <c r="B100" s="1744" t="s">
        <v>1287</v>
      </c>
      <c r="C100" s="1745">
        <v>0.09</v>
      </c>
      <c r="D100" s="1745">
        <v>8.8999999999999996E-2</v>
      </c>
      <c r="E100" s="1754"/>
      <c r="F100" s="1753"/>
    </row>
    <row r="101" spans="1:6" ht="14.25" thickBot="1">
      <c r="A101" s="1740" t="s">
        <v>1387</v>
      </c>
      <c r="B101" s="1744" t="s">
        <v>1294</v>
      </c>
      <c r="C101" s="1745">
        <v>9.8000000000000004E-2</v>
      </c>
      <c r="D101" s="1745">
        <v>9.7000000000000003E-2</v>
      </c>
      <c r="E101" s="1754"/>
      <c r="F101" s="1753"/>
    </row>
    <row r="102" spans="1:6" ht="14.25" thickBot="1">
      <c r="A102" s="1740" t="s">
        <v>1387</v>
      </c>
      <c r="B102" s="1744" t="s">
        <v>2072</v>
      </c>
      <c r="C102" s="1754"/>
      <c r="D102" s="1754"/>
      <c r="E102" s="1754"/>
      <c r="F102" s="1746">
        <v>0.05</v>
      </c>
    </row>
    <row r="103" spans="1:6" ht="24.75" thickBot="1">
      <c r="A103" s="1740" t="s">
        <v>1387</v>
      </c>
      <c r="B103" s="1744" t="s">
        <v>2073</v>
      </c>
      <c r="C103" s="1754"/>
      <c r="D103" s="1754"/>
      <c r="E103" s="1754"/>
      <c r="F103" s="1746">
        <v>0.05</v>
      </c>
    </row>
    <row r="104" spans="1:6" ht="14.25" thickBot="1">
      <c r="A104" s="1740" t="s">
        <v>1387</v>
      </c>
      <c r="B104" s="1744" t="s">
        <v>2074</v>
      </c>
      <c r="C104" s="1754"/>
      <c r="D104" s="1754"/>
      <c r="E104" s="1754"/>
      <c r="F104" s="1746">
        <v>0.05</v>
      </c>
    </row>
    <row r="105" spans="1:6" ht="14.25" thickBot="1">
      <c r="A105" s="1740" t="s">
        <v>1387</v>
      </c>
      <c r="B105" s="1744" t="s">
        <v>2075</v>
      </c>
      <c r="C105" s="1754"/>
      <c r="D105" s="1754"/>
      <c r="E105" s="1754"/>
      <c r="F105" s="1746">
        <v>0.05</v>
      </c>
    </row>
    <row r="106" spans="1:6" ht="14.25" thickBot="1">
      <c r="A106" s="1740" t="s">
        <v>1387</v>
      </c>
      <c r="B106" s="1744" t="s">
        <v>2076</v>
      </c>
      <c r="C106" s="1754"/>
      <c r="D106" s="1754"/>
      <c r="E106" s="1754"/>
      <c r="F106" s="1746">
        <v>0.05</v>
      </c>
    </row>
    <row r="107" spans="1:6" ht="24.75" thickBot="1">
      <c r="A107" s="1740" t="s">
        <v>1387</v>
      </c>
      <c r="B107" s="1744" t="s">
        <v>2077</v>
      </c>
      <c r="C107" s="1754"/>
      <c r="D107" s="1754"/>
      <c r="E107" s="1754"/>
      <c r="F107" s="1746">
        <v>0.05</v>
      </c>
    </row>
    <row r="108" spans="1:6" ht="24.75" thickBot="1">
      <c r="A108" s="1740" t="s">
        <v>1387</v>
      </c>
      <c r="B108" s="1744" t="s">
        <v>2078</v>
      </c>
      <c r="C108" s="1754"/>
      <c r="D108" s="1754"/>
      <c r="E108" s="1754"/>
      <c r="F108" s="1746">
        <v>0.05</v>
      </c>
    </row>
    <row r="109" spans="1:6" ht="24.75" thickBot="1">
      <c r="A109" s="1748" t="s">
        <v>1387</v>
      </c>
      <c r="B109" s="1755" t="s">
        <v>2079</v>
      </c>
      <c r="C109" s="1751"/>
      <c r="D109" s="1751"/>
      <c r="E109" s="1751"/>
      <c r="F109" s="1756">
        <v>0.05</v>
      </c>
    </row>
    <row r="110" spans="1:6" ht="14.25" thickBot="1">
      <c r="A110" s="1740" t="s">
        <v>1389</v>
      </c>
      <c r="B110" s="1741" t="s">
        <v>2080</v>
      </c>
      <c r="C110" s="1742">
        <v>0.129</v>
      </c>
      <c r="D110" s="1742">
        <v>0.129</v>
      </c>
      <c r="E110" s="1742">
        <v>0.126</v>
      </c>
      <c r="F110" s="1743">
        <v>0.13</v>
      </c>
    </row>
    <row r="111" spans="1:6" ht="14.25" thickBot="1">
      <c r="A111" s="1740" t="s">
        <v>1389</v>
      </c>
      <c r="B111" s="1744" t="s">
        <v>1055</v>
      </c>
      <c r="C111" s="1745">
        <v>0.11</v>
      </c>
      <c r="D111" s="1745">
        <v>0.11</v>
      </c>
      <c r="E111" s="1745">
        <v>9.9000000000000005E-2</v>
      </c>
      <c r="F111" s="1746">
        <v>0.128</v>
      </c>
    </row>
    <row r="112" spans="1:6" ht="14.25" thickBot="1">
      <c r="A112" s="1740" t="s">
        <v>1389</v>
      </c>
      <c r="B112" s="1744" t="s">
        <v>1069</v>
      </c>
      <c r="C112" s="1745">
        <v>0.125</v>
      </c>
      <c r="D112" s="1745">
        <v>0.125</v>
      </c>
      <c r="E112" s="1745">
        <v>0.12</v>
      </c>
      <c r="F112" s="1746">
        <v>0.125</v>
      </c>
    </row>
    <row r="113" spans="1:6" ht="14.25" thickBot="1">
      <c r="A113" s="1740" t="s">
        <v>1389</v>
      </c>
      <c r="B113" s="1744" t="s">
        <v>1082</v>
      </c>
      <c r="C113" s="1745">
        <v>0.13</v>
      </c>
      <c r="D113" s="1745">
        <v>0.13</v>
      </c>
      <c r="E113" s="1745">
        <v>0.13</v>
      </c>
      <c r="F113" s="1746">
        <v>0.13</v>
      </c>
    </row>
    <row r="114" spans="1:6" ht="14.25" thickBot="1">
      <c r="A114" s="1740" t="s">
        <v>1389</v>
      </c>
      <c r="B114" s="1744" t="s">
        <v>1096</v>
      </c>
      <c r="C114" s="1745">
        <v>0.123</v>
      </c>
      <c r="D114" s="1745">
        <v>0.123</v>
      </c>
      <c r="E114" s="1745">
        <v>0.12</v>
      </c>
      <c r="F114" s="1746">
        <v>0.13</v>
      </c>
    </row>
    <row r="115" spans="1:6" ht="14.25" thickBot="1">
      <c r="A115" s="1740" t="s">
        <v>1389</v>
      </c>
      <c r="B115" s="1744" t="s">
        <v>1107</v>
      </c>
      <c r="C115" s="1745">
        <v>0.125</v>
      </c>
      <c r="D115" s="1745">
        <v>0.125</v>
      </c>
      <c r="E115" s="1745">
        <v>0.11700000000000001</v>
      </c>
      <c r="F115" s="1746">
        <v>0.13</v>
      </c>
    </row>
    <row r="116" spans="1:6" ht="14.25" thickBot="1">
      <c r="A116" s="1740" t="s">
        <v>1389</v>
      </c>
      <c r="B116" s="1744" t="s">
        <v>1118</v>
      </c>
      <c r="C116" s="1745">
        <v>0.11700000000000001</v>
      </c>
      <c r="D116" s="1745">
        <v>0.11700000000000001</v>
      </c>
      <c r="E116" s="1745">
        <v>8.7999999999999995E-2</v>
      </c>
      <c r="F116" s="1746">
        <v>0.13</v>
      </c>
    </row>
    <row r="117" spans="1:6" ht="14.25" thickBot="1">
      <c r="A117" s="1740" t="s">
        <v>1389</v>
      </c>
      <c r="B117" s="1744" t="s">
        <v>1129</v>
      </c>
      <c r="C117" s="1745">
        <v>0.13</v>
      </c>
      <c r="D117" s="1745">
        <v>0.13</v>
      </c>
      <c r="E117" s="1745">
        <v>0.129</v>
      </c>
      <c r="F117" s="1746">
        <v>0.13</v>
      </c>
    </row>
    <row r="118" spans="1:6" ht="14.25" thickBot="1">
      <c r="A118" s="1740" t="s">
        <v>1389</v>
      </c>
      <c r="B118" s="1744" t="s">
        <v>1141</v>
      </c>
      <c r="C118" s="1745">
        <v>0.123</v>
      </c>
      <c r="D118" s="1745">
        <v>0.123</v>
      </c>
      <c r="E118" s="1745">
        <v>0.11600000000000001</v>
      </c>
      <c r="F118" s="1746">
        <v>0.13</v>
      </c>
    </row>
    <row r="119" spans="1:6" ht="14.25" thickBot="1">
      <c r="A119" s="1740" t="s">
        <v>1389</v>
      </c>
      <c r="B119" s="1744" t="s">
        <v>1151</v>
      </c>
      <c r="C119" s="1745">
        <v>0.127</v>
      </c>
      <c r="D119" s="1745">
        <v>0.127</v>
      </c>
      <c r="E119" s="1745">
        <v>0.124</v>
      </c>
      <c r="F119" s="1746">
        <v>0.13</v>
      </c>
    </row>
    <row r="120" spans="1:6" ht="14.25" thickBot="1">
      <c r="A120" s="1740" t="s">
        <v>1389</v>
      </c>
      <c r="B120" s="1744" t="s">
        <v>1161</v>
      </c>
      <c r="C120" s="1745">
        <v>0.125</v>
      </c>
      <c r="D120" s="1745">
        <v>0.125</v>
      </c>
      <c r="E120" s="1745">
        <v>0.122</v>
      </c>
      <c r="F120" s="1746">
        <v>0.13</v>
      </c>
    </row>
    <row r="121" spans="1:6" ht="14.25" thickBot="1">
      <c r="A121" s="1740" t="s">
        <v>1389</v>
      </c>
      <c r="B121" s="1744" t="s">
        <v>1171</v>
      </c>
      <c r="C121" s="1745">
        <v>0.13</v>
      </c>
      <c r="D121" s="1745">
        <v>0.13</v>
      </c>
      <c r="E121" s="1745">
        <v>0.13</v>
      </c>
      <c r="F121" s="1746">
        <v>0.13</v>
      </c>
    </row>
    <row r="122" spans="1:6" ht="14.25" thickBot="1">
      <c r="A122" s="1740" t="s">
        <v>1389</v>
      </c>
      <c r="B122" s="1744" t="s">
        <v>1181</v>
      </c>
      <c r="C122" s="1745">
        <v>0.13</v>
      </c>
      <c r="D122" s="1745">
        <v>0.13</v>
      </c>
      <c r="E122" s="1745">
        <v>0.125</v>
      </c>
      <c r="F122" s="1746">
        <v>0.13</v>
      </c>
    </row>
    <row r="123" spans="1:6" ht="14.25" thickBot="1">
      <c r="A123" s="1740" t="s">
        <v>1389</v>
      </c>
      <c r="B123" s="1744" t="s">
        <v>1191</v>
      </c>
      <c r="C123" s="1745">
        <v>0.129</v>
      </c>
      <c r="D123" s="1745">
        <v>0.129</v>
      </c>
      <c r="E123" s="1745">
        <v>0.123</v>
      </c>
      <c r="F123" s="1746">
        <v>0.13</v>
      </c>
    </row>
    <row r="124" spans="1:6" ht="14.25" thickBot="1">
      <c r="A124" s="1740" t="s">
        <v>1389</v>
      </c>
      <c r="B124" s="1744" t="s">
        <v>1201</v>
      </c>
      <c r="C124" s="1745">
        <v>0.10199999999999999</v>
      </c>
      <c r="D124" s="1745">
        <v>0.10100000000000001</v>
      </c>
      <c r="E124" s="1745">
        <v>0.08</v>
      </c>
      <c r="F124" s="1753"/>
    </row>
    <row r="125" spans="1:6" ht="14.25" thickBot="1">
      <c r="A125" s="1740" t="s">
        <v>1389</v>
      </c>
      <c r="B125" s="1744" t="s">
        <v>1211</v>
      </c>
      <c r="C125" s="1745">
        <v>0.13</v>
      </c>
      <c r="D125" s="1745">
        <v>0.13</v>
      </c>
      <c r="E125" s="1745">
        <v>0.129</v>
      </c>
      <c r="F125" s="1753"/>
    </row>
    <row r="126" spans="1:6" ht="14.25" thickBot="1">
      <c r="A126" s="1740" t="s">
        <v>1389</v>
      </c>
      <c r="B126" s="1744" t="s">
        <v>1221</v>
      </c>
      <c r="C126" s="1745">
        <v>0.13</v>
      </c>
      <c r="D126" s="1745">
        <v>0.13</v>
      </c>
      <c r="E126" s="1745">
        <v>0.126</v>
      </c>
      <c r="F126" s="1753"/>
    </row>
    <row r="127" spans="1:6" ht="14.25" thickBot="1">
      <c r="A127" s="1740" t="s">
        <v>1389</v>
      </c>
      <c r="B127" s="1744" t="s">
        <v>1231</v>
      </c>
      <c r="C127" s="1745">
        <v>0.125</v>
      </c>
      <c r="D127" s="1745">
        <v>0.125</v>
      </c>
      <c r="E127" s="1745">
        <v>0.121</v>
      </c>
      <c r="F127" s="1753"/>
    </row>
    <row r="128" spans="1:6" ht="14.25" thickBot="1">
      <c r="A128" s="1740" t="s">
        <v>1389</v>
      </c>
      <c r="B128" s="1744" t="s">
        <v>1241</v>
      </c>
      <c r="C128" s="1745">
        <v>0.12</v>
      </c>
      <c r="D128" s="1745">
        <v>0.12</v>
      </c>
      <c r="E128" s="1745">
        <v>0.105</v>
      </c>
      <c r="F128" s="1753"/>
    </row>
    <row r="129" spans="1:6" ht="14.25" thickBot="1">
      <c r="A129" s="1740" t="s">
        <v>1389</v>
      </c>
      <c r="B129" s="1744" t="s">
        <v>1250</v>
      </c>
      <c r="C129" s="1745">
        <v>0.13</v>
      </c>
      <c r="D129" s="1745">
        <v>0.13</v>
      </c>
      <c r="E129" s="1745">
        <v>0.126</v>
      </c>
      <c r="F129" s="1753"/>
    </row>
    <row r="130" spans="1:6" ht="14.25" thickBot="1">
      <c r="A130" s="1740" t="s">
        <v>1389</v>
      </c>
      <c r="B130" s="1744" t="s">
        <v>1259</v>
      </c>
      <c r="C130" s="1745">
        <v>0.125</v>
      </c>
      <c r="D130" s="1745">
        <v>0.125</v>
      </c>
      <c r="E130" s="1745">
        <v>0.122</v>
      </c>
      <c r="F130" s="1753"/>
    </row>
    <row r="131" spans="1:6" ht="14.25" thickBot="1">
      <c r="A131" s="1740" t="s">
        <v>1389</v>
      </c>
      <c r="B131" s="1744" t="s">
        <v>1267</v>
      </c>
      <c r="C131" s="1745">
        <v>0.127</v>
      </c>
      <c r="D131" s="1745">
        <v>0.126</v>
      </c>
      <c r="E131" s="1745">
        <v>0.123</v>
      </c>
      <c r="F131" s="1753"/>
    </row>
    <row r="132" spans="1:6" ht="14.25" thickBot="1">
      <c r="A132" s="1740" t="s">
        <v>1389</v>
      </c>
      <c r="B132" s="1744" t="s">
        <v>1274</v>
      </c>
      <c r="C132" s="1745">
        <v>9.0999999999999998E-2</v>
      </c>
      <c r="D132" s="1745">
        <v>0.121</v>
      </c>
      <c r="E132" s="1745">
        <v>9.9000000000000005E-2</v>
      </c>
      <c r="F132" s="1753"/>
    </row>
    <row r="133" spans="1:6" ht="14.25" thickBot="1">
      <c r="A133" s="1740" t="s">
        <v>1389</v>
      </c>
      <c r="B133" s="1744" t="s">
        <v>1281</v>
      </c>
      <c r="C133" s="1745">
        <v>0.13</v>
      </c>
      <c r="D133" s="1745">
        <v>0.13</v>
      </c>
      <c r="E133" s="1745">
        <v>0.129</v>
      </c>
      <c r="F133" s="1753"/>
    </row>
    <row r="134" spans="1:6" ht="14.25" thickBot="1">
      <c r="A134" s="1740" t="s">
        <v>1389</v>
      </c>
      <c r="B134" s="1744" t="s">
        <v>2081</v>
      </c>
      <c r="C134" s="1745">
        <v>6.8000000000000005E-2</v>
      </c>
      <c r="D134" s="1745">
        <v>6.5000000000000002E-2</v>
      </c>
      <c r="E134" s="1745">
        <v>6.5000000000000002E-2</v>
      </c>
      <c r="F134" s="1746">
        <v>0.13</v>
      </c>
    </row>
    <row r="135" spans="1:6" ht="14.25" thickBot="1">
      <c r="A135" s="1740" t="s">
        <v>1389</v>
      </c>
      <c r="B135" s="1744" t="s">
        <v>1295</v>
      </c>
      <c r="C135" s="1745">
        <v>0.123</v>
      </c>
      <c r="D135" s="1745">
        <v>0.123</v>
      </c>
      <c r="E135" s="1745">
        <v>0.11</v>
      </c>
      <c r="F135" s="1753"/>
    </row>
    <row r="136" spans="1:6" ht="14.25" thickBot="1">
      <c r="A136" s="1740" t="s">
        <v>1389</v>
      </c>
      <c r="B136" s="1744" t="s">
        <v>1302</v>
      </c>
      <c r="C136" s="1745">
        <v>0.13</v>
      </c>
      <c r="D136" s="1745">
        <v>0.13</v>
      </c>
      <c r="E136" s="1745">
        <v>0.125</v>
      </c>
      <c r="F136" s="1753"/>
    </row>
    <row r="137" spans="1:6" ht="14.25" thickBot="1">
      <c r="A137" s="1740" t="s">
        <v>1389</v>
      </c>
      <c r="B137" s="1744" t="s">
        <v>1309</v>
      </c>
      <c r="C137" s="1745">
        <v>0.121</v>
      </c>
      <c r="D137" s="1745">
        <v>0.122</v>
      </c>
      <c r="E137" s="1745">
        <v>0.115</v>
      </c>
      <c r="F137" s="1753"/>
    </row>
    <row r="138" spans="1:6" ht="14.25" thickBot="1">
      <c r="A138" s="1740" t="s">
        <v>1389</v>
      </c>
      <c r="B138" s="1744" t="s">
        <v>2082</v>
      </c>
      <c r="C138" s="1745">
        <v>0.105</v>
      </c>
      <c r="D138" s="1745">
        <v>0.125</v>
      </c>
      <c r="E138" s="1745">
        <v>0.112</v>
      </c>
      <c r="F138" s="1753"/>
    </row>
    <row r="139" spans="1:6" ht="14.25" thickBot="1">
      <c r="A139" s="1740" t="s">
        <v>1389</v>
      </c>
      <c r="B139" s="1744" t="s">
        <v>2083</v>
      </c>
      <c r="C139" s="1745">
        <v>0.127</v>
      </c>
      <c r="D139" s="1745">
        <v>0.127</v>
      </c>
      <c r="E139" s="1745">
        <v>0.122</v>
      </c>
      <c r="F139" s="1746">
        <v>0.13</v>
      </c>
    </row>
    <row r="140" spans="1:6" ht="14.25" thickBot="1">
      <c r="A140" s="1740" t="s">
        <v>1389</v>
      </c>
      <c r="B140" s="1744" t="s">
        <v>2084</v>
      </c>
      <c r="C140" s="1745">
        <v>0.125</v>
      </c>
      <c r="D140" s="1745">
        <v>0.125</v>
      </c>
      <c r="E140" s="1745">
        <v>0.11899999999999999</v>
      </c>
      <c r="F140" s="1746">
        <v>0.13</v>
      </c>
    </row>
    <row r="141" spans="1:6" ht="14.25" thickBot="1">
      <c r="A141" s="1740" t="s">
        <v>1389</v>
      </c>
      <c r="B141" s="1744" t="s">
        <v>1328</v>
      </c>
      <c r="C141" s="1745">
        <v>0.125</v>
      </c>
      <c r="D141" s="1745">
        <v>0.125</v>
      </c>
      <c r="E141" s="1745">
        <v>0.11700000000000001</v>
      </c>
      <c r="F141" s="1753"/>
    </row>
    <row r="142" spans="1:6" ht="14.25" thickBot="1">
      <c r="A142" s="1740" t="s">
        <v>1389</v>
      </c>
      <c r="B142" s="1744" t="s">
        <v>1333</v>
      </c>
      <c r="C142" s="1745">
        <v>0.125</v>
      </c>
      <c r="D142" s="1745">
        <v>0.125</v>
      </c>
      <c r="E142" s="1745">
        <v>0.115</v>
      </c>
      <c r="F142" s="1753"/>
    </row>
    <row r="143" spans="1:6" ht="14.25" thickBot="1">
      <c r="A143" s="1740" t="s">
        <v>1389</v>
      </c>
      <c r="B143" s="1744" t="s">
        <v>1338</v>
      </c>
      <c r="C143" s="1745">
        <v>0.121</v>
      </c>
      <c r="D143" s="1745">
        <v>0.121</v>
      </c>
      <c r="E143" s="1745">
        <v>0.108</v>
      </c>
      <c r="F143" s="1753"/>
    </row>
    <row r="144" spans="1:6" ht="14.25" thickBot="1">
      <c r="A144" s="1740" t="s">
        <v>1389</v>
      </c>
      <c r="B144" s="1757" t="s">
        <v>2085</v>
      </c>
      <c r="C144" s="1758">
        <v>0.126</v>
      </c>
      <c r="D144" s="1758">
        <v>0.126</v>
      </c>
      <c r="E144" s="1758">
        <v>0.121</v>
      </c>
      <c r="F144" s="1753"/>
    </row>
    <row r="145" spans="1:6" ht="14.25" thickBot="1">
      <c r="A145" s="1748" t="s">
        <v>1389</v>
      </c>
      <c r="B145" s="1759" t="s">
        <v>2086</v>
      </c>
      <c r="C145" s="1760"/>
      <c r="D145" s="1760"/>
      <c r="E145" s="1760"/>
      <c r="F145" s="1761">
        <v>0.05</v>
      </c>
    </row>
    <row r="146" spans="1:6" ht="24.75" thickBot="1">
      <c r="A146" s="1762" t="s">
        <v>1389</v>
      </c>
      <c r="B146" s="1747" t="s">
        <v>2087</v>
      </c>
      <c r="C146" s="1754"/>
      <c r="D146" s="1754"/>
      <c r="E146" s="1754"/>
      <c r="F146" s="1763">
        <v>0.05</v>
      </c>
    </row>
    <row r="147" spans="1:6" ht="24.75" thickBot="1">
      <c r="A147" s="1740" t="s">
        <v>1389</v>
      </c>
      <c r="B147" s="1744" t="s">
        <v>2088</v>
      </c>
      <c r="C147" s="1754"/>
      <c r="D147" s="1754"/>
      <c r="E147" s="1754"/>
      <c r="F147" s="1746">
        <v>0.05</v>
      </c>
    </row>
    <row r="148" spans="1:6" ht="24.75" thickBot="1">
      <c r="A148" s="1740" t="s">
        <v>1389</v>
      </c>
      <c r="B148" s="1744" t="s">
        <v>2089</v>
      </c>
      <c r="C148" s="1754"/>
      <c r="D148" s="1754"/>
      <c r="E148" s="1754"/>
      <c r="F148" s="1746">
        <v>0.05</v>
      </c>
    </row>
    <row r="149" spans="1:6" ht="24.75" thickBot="1">
      <c r="A149" s="1740" t="s">
        <v>1389</v>
      </c>
      <c r="B149" s="1744" t="s">
        <v>2090</v>
      </c>
      <c r="C149" s="1754"/>
      <c r="D149" s="1754"/>
      <c r="E149" s="1754"/>
      <c r="F149" s="1746">
        <v>0.05</v>
      </c>
    </row>
    <row r="150" spans="1:6" ht="24.75" thickBot="1">
      <c r="A150" s="1740" t="s">
        <v>1389</v>
      </c>
      <c r="B150" s="1744" t="s">
        <v>2091</v>
      </c>
      <c r="C150" s="1754"/>
      <c r="D150" s="1754"/>
      <c r="E150" s="1754"/>
      <c r="F150" s="1746">
        <v>0.05</v>
      </c>
    </row>
    <row r="151" spans="1:6" ht="24.75" thickBot="1">
      <c r="A151" s="1740" t="s">
        <v>1389</v>
      </c>
      <c r="B151" s="1744" t="s">
        <v>2092</v>
      </c>
      <c r="C151" s="1754"/>
      <c r="D151" s="1754"/>
      <c r="E151" s="1754"/>
      <c r="F151" s="1746">
        <v>0.05</v>
      </c>
    </row>
    <row r="152" spans="1:6" ht="24.75" thickBot="1">
      <c r="A152" s="1740" t="s">
        <v>1389</v>
      </c>
      <c r="B152" s="1744" t="s">
        <v>1371</v>
      </c>
      <c r="C152" s="1754"/>
      <c r="D152" s="1754"/>
      <c r="E152" s="1754"/>
      <c r="F152" s="1746">
        <v>0.05</v>
      </c>
    </row>
    <row r="153" spans="1:6" ht="14.25" thickBot="1">
      <c r="A153" s="1740" t="s">
        <v>1389</v>
      </c>
      <c r="B153" s="1744" t="s">
        <v>2093</v>
      </c>
      <c r="C153" s="1754"/>
      <c r="D153" s="1754"/>
      <c r="E153" s="1754"/>
      <c r="F153" s="1746">
        <v>0.05</v>
      </c>
    </row>
    <row r="154" spans="1:6" ht="14.25" thickBot="1">
      <c r="A154" s="1740" t="s">
        <v>1389</v>
      </c>
      <c r="B154" s="1744" t="s">
        <v>2094</v>
      </c>
      <c r="C154" s="1754"/>
      <c r="D154" s="1754"/>
      <c r="E154" s="1754"/>
      <c r="F154" s="1746">
        <v>0.05</v>
      </c>
    </row>
    <row r="155" spans="1:6" ht="24.75" thickBot="1">
      <c r="A155" s="1740" t="s">
        <v>1389</v>
      </c>
      <c r="B155" s="1744" t="s">
        <v>2095</v>
      </c>
      <c r="C155" s="1754"/>
      <c r="D155" s="1754"/>
      <c r="E155" s="1754"/>
      <c r="F155" s="1746">
        <v>0.05</v>
      </c>
    </row>
    <row r="156" spans="1:6" ht="24.75" thickBot="1">
      <c r="A156" s="1740" t="s">
        <v>1389</v>
      </c>
      <c r="B156" s="1744" t="s">
        <v>2096</v>
      </c>
      <c r="C156" s="1754"/>
      <c r="D156" s="1754"/>
      <c r="E156" s="1754"/>
      <c r="F156" s="1746">
        <v>0.05</v>
      </c>
    </row>
    <row r="157" spans="1:6" ht="14.25" thickBot="1">
      <c r="A157" s="1748" t="s">
        <v>1389</v>
      </c>
      <c r="B157" s="1755" t="s">
        <v>2097</v>
      </c>
      <c r="C157" s="1751"/>
      <c r="D157" s="1751"/>
      <c r="E157" s="1751"/>
      <c r="F157" s="1756">
        <v>0.05</v>
      </c>
    </row>
    <row r="158" spans="1:6" ht="14.25" thickBot="1">
      <c r="A158" s="1740" t="s">
        <v>1391</v>
      </c>
      <c r="B158" s="1741" t="s">
        <v>2098</v>
      </c>
      <c r="C158" s="1742">
        <v>0.13</v>
      </c>
      <c r="D158" s="1742">
        <v>0.13</v>
      </c>
      <c r="E158" s="1742">
        <v>0.13</v>
      </c>
      <c r="F158" s="1743">
        <v>0.13</v>
      </c>
    </row>
    <row r="159" spans="1:6" ht="14.25" thickBot="1">
      <c r="A159" s="1740" t="s">
        <v>1391</v>
      </c>
      <c r="B159" s="1744" t="s">
        <v>1056</v>
      </c>
      <c r="C159" s="1745">
        <v>0.13</v>
      </c>
      <c r="D159" s="1745">
        <v>0.13</v>
      </c>
      <c r="E159" s="1745">
        <v>0.13</v>
      </c>
      <c r="F159" s="1746">
        <v>0.13</v>
      </c>
    </row>
    <row r="160" spans="1:6" ht="14.25" thickBot="1">
      <c r="A160" s="1740" t="s">
        <v>1391</v>
      </c>
      <c r="B160" s="1744" t="s">
        <v>1070</v>
      </c>
      <c r="C160" s="1745">
        <v>0.13</v>
      </c>
      <c r="D160" s="1745">
        <v>0.13</v>
      </c>
      <c r="E160" s="1745">
        <v>0.129</v>
      </c>
      <c r="F160" s="1746">
        <v>0.13</v>
      </c>
    </row>
    <row r="161" spans="1:6" ht="14.25" thickBot="1">
      <c r="A161" s="1740" t="s">
        <v>1391</v>
      </c>
      <c r="B161" s="1744" t="s">
        <v>1083</v>
      </c>
      <c r="C161" s="1745">
        <v>0.128</v>
      </c>
      <c r="D161" s="1745">
        <v>0.128</v>
      </c>
      <c r="E161" s="1745">
        <v>0.125</v>
      </c>
      <c r="F161" s="1746">
        <v>0.13</v>
      </c>
    </row>
    <row r="162" spans="1:6" ht="14.25" thickBot="1">
      <c r="A162" s="1740" t="s">
        <v>1391</v>
      </c>
      <c r="B162" s="1744" t="s">
        <v>1097</v>
      </c>
      <c r="C162" s="1745">
        <v>0.122</v>
      </c>
      <c r="D162" s="1745">
        <v>0.122</v>
      </c>
      <c r="E162" s="1745">
        <v>0.126</v>
      </c>
      <c r="F162" s="1746">
        <v>0.122</v>
      </c>
    </row>
    <row r="163" spans="1:6" ht="14.25" thickBot="1">
      <c r="A163" s="1740" t="s">
        <v>1391</v>
      </c>
      <c r="B163" s="1744" t="s">
        <v>1108</v>
      </c>
      <c r="C163" s="1745">
        <v>0.13</v>
      </c>
      <c r="D163" s="1745">
        <v>0.13</v>
      </c>
      <c r="E163" s="1745">
        <v>0.125</v>
      </c>
      <c r="F163" s="1746">
        <v>0.13</v>
      </c>
    </row>
    <row r="164" spans="1:6" ht="14.25" thickBot="1">
      <c r="A164" s="1740" t="s">
        <v>1391</v>
      </c>
      <c r="B164" s="1744" t="s">
        <v>1119</v>
      </c>
      <c r="C164" s="1745">
        <v>0.13</v>
      </c>
      <c r="D164" s="1745">
        <v>0.13</v>
      </c>
      <c r="E164" s="1745">
        <v>0.13</v>
      </c>
      <c r="F164" s="1746">
        <v>0.13</v>
      </c>
    </row>
    <row r="165" spans="1:6" ht="14.25" thickBot="1">
      <c r="A165" s="1740" t="s">
        <v>1391</v>
      </c>
      <c r="B165" s="1744" t="s">
        <v>1130</v>
      </c>
      <c r="C165" s="1745">
        <v>0.13</v>
      </c>
      <c r="D165" s="1745">
        <v>0.13</v>
      </c>
      <c r="E165" s="1745">
        <v>0.124</v>
      </c>
      <c r="F165" s="1746">
        <v>0.13</v>
      </c>
    </row>
    <row r="166" spans="1:6" ht="14.25" thickBot="1">
      <c r="A166" s="1740" t="s">
        <v>1391</v>
      </c>
      <c r="B166" s="1744" t="s">
        <v>1142</v>
      </c>
      <c r="C166" s="1745">
        <v>0.13</v>
      </c>
      <c r="D166" s="1745">
        <v>0.13</v>
      </c>
      <c r="E166" s="1745">
        <v>0.13</v>
      </c>
      <c r="F166" s="1746">
        <v>0.13</v>
      </c>
    </row>
    <row r="167" spans="1:6" ht="14.25" thickBot="1">
      <c r="A167" s="1740" t="s">
        <v>1391</v>
      </c>
      <c r="B167" s="1744" t="s">
        <v>1152</v>
      </c>
      <c r="C167" s="1745">
        <v>0.125</v>
      </c>
      <c r="D167" s="1745">
        <v>0.125</v>
      </c>
      <c r="E167" s="1745">
        <v>0.121</v>
      </c>
      <c r="F167" s="1753"/>
    </row>
    <row r="168" spans="1:6" ht="14.25" thickBot="1">
      <c r="A168" s="1740" t="s">
        <v>1391</v>
      </c>
      <c r="B168" s="1744" t="s">
        <v>1162</v>
      </c>
      <c r="C168" s="1745">
        <v>0.13</v>
      </c>
      <c r="D168" s="1745">
        <v>0.13</v>
      </c>
      <c r="E168" s="1745">
        <v>0.126</v>
      </c>
      <c r="F168" s="1753"/>
    </row>
    <row r="169" spans="1:6" ht="14.25" thickBot="1">
      <c r="A169" s="1740" t="s">
        <v>1391</v>
      </c>
      <c r="B169" s="1744" t="s">
        <v>1172</v>
      </c>
      <c r="C169" s="1745">
        <v>0.128</v>
      </c>
      <c r="D169" s="1745">
        <v>0.129</v>
      </c>
      <c r="E169" s="1745">
        <v>0.13</v>
      </c>
      <c r="F169" s="1753"/>
    </row>
    <row r="170" spans="1:6" ht="14.25" thickBot="1">
      <c r="A170" s="1740" t="s">
        <v>1391</v>
      </c>
      <c r="B170" s="1744" t="s">
        <v>1182</v>
      </c>
      <c r="C170" s="1745">
        <v>0.14099999999999999</v>
      </c>
      <c r="D170" s="1745">
        <v>0.13</v>
      </c>
      <c r="E170" s="1745">
        <v>0.125</v>
      </c>
      <c r="F170" s="1753"/>
    </row>
    <row r="171" spans="1:6" ht="14.25" thickBot="1">
      <c r="A171" s="1740" t="s">
        <v>1391</v>
      </c>
      <c r="B171" s="1744" t="s">
        <v>2099</v>
      </c>
      <c r="C171" s="1745">
        <v>0.127</v>
      </c>
      <c r="D171" s="1745">
        <v>0.126</v>
      </c>
      <c r="E171" s="1745">
        <v>0.126</v>
      </c>
      <c r="F171" s="1746">
        <v>0.11799999999999999</v>
      </c>
    </row>
    <row r="172" spans="1:6" ht="14.25" thickBot="1">
      <c r="A172" s="1740" t="s">
        <v>1391</v>
      </c>
      <c r="B172" s="1744" t="s">
        <v>2100</v>
      </c>
      <c r="C172" s="1745">
        <v>0.13</v>
      </c>
      <c r="D172" s="1745">
        <v>0.13</v>
      </c>
      <c r="E172" s="1745">
        <v>0.13</v>
      </c>
      <c r="F172" s="1753"/>
    </row>
    <row r="173" spans="1:6" ht="14.25" thickBot="1">
      <c r="A173" s="1740" t="s">
        <v>1391</v>
      </c>
      <c r="B173" s="1744" t="s">
        <v>1212</v>
      </c>
      <c r="C173" s="1745">
        <v>0.13</v>
      </c>
      <c r="D173" s="1745">
        <v>0.13</v>
      </c>
      <c r="E173" s="1745">
        <v>0.13</v>
      </c>
      <c r="F173" s="1753"/>
    </row>
    <row r="174" spans="1:6" ht="14.25" thickBot="1">
      <c r="A174" s="1740" t="s">
        <v>1391</v>
      </c>
      <c r="B174" s="1744" t="s">
        <v>2101</v>
      </c>
      <c r="C174" s="1745">
        <v>0.13</v>
      </c>
      <c r="D174" s="1745">
        <v>0.13</v>
      </c>
      <c r="E174" s="1745">
        <v>0.13</v>
      </c>
      <c r="F174" s="1746">
        <v>0.13</v>
      </c>
    </row>
    <row r="175" spans="1:6" ht="14.25" thickBot="1">
      <c r="A175" s="1740" t="s">
        <v>1391</v>
      </c>
      <c r="B175" s="1744" t="s">
        <v>2102</v>
      </c>
      <c r="C175" s="1745">
        <v>0.13</v>
      </c>
      <c r="D175" s="1745">
        <v>0.13</v>
      </c>
      <c r="E175" s="1745">
        <v>0.13</v>
      </c>
      <c r="F175" s="1746">
        <v>0.13</v>
      </c>
    </row>
    <row r="176" spans="1:6" ht="14.25" thickBot="1">
      <c r="A176" s="1740" t="s">
        <v>1391</v>
      </c>
      <c r="B176" s="1744" t="s">
        <v>1242</v>
      </c>
      <c r="C176" s="1745">
        <v>0.13</v>
      </c>
      <c r="D176" s="1745">
        <v>0.13</v>
      </c>
      <c r="E176" s="1745">
        <v>0.13</v>
      </c>
      <c r="F176" s="1746">
        <v>0.13</v>
      </c>
    </row>
    <row r="177" spans="1:6" ht="14.25" thickBot="1">
      <c r="A177" s="1740" t="s">
        <v>1391</v>
      </c>
      <c r="B177" s="1744" t="s">
        <v>2103</v>
      </c>
      <c r="C177" s="1745">
        <v>0.13</v>
      </c>
      <c r="D177" s="1745">
        <v>0.13</v>
      </c>
      <c r="E177" s="1745">
        <v>0.13</v>
      </c>
      <c r="F177" s="1746">
        <v>0.13</v>
      </c>
    </row>
    <row r="178" spans="1:6" ht="14.25" thickBot="1">
      <c r="A178" s="1740" t="s">
        <v>1391</v>
      </c>
      <c r="B178" s="1744" t="s">
        <v>1260</v>
      </c>
      <c r="C178" s="1745">
        <v>0.13</v>
      </c>
      <c r="D178" s="1745">
        <v>0.13</v>
      </c>
      <c r="E178" s="1745">
        <v>0.13</v>
      </c>
      <c r="F178" s="1746">
        <v>0.127</v>
      </c>
    </row>
    <row r="179" spans="1:6" ht="14.25" thickBot="1">
      <c r="A179" s="1740" t="s">
        <v>1391</v>
      </c>
      <c r="B179" s="1744" t="s">
        <v>1268</v>
      </c>
      <c r="C179" s="1745">
        <v>0.13</v>
      </c>
      <c r="D179" s="1745">
        <v>0.13</v>
      </c>
      <c r="E179" s="1745">
        <v>0.13</v>
      </c>
      <c r="F179" s="1753"/>
    </row>
    <row r="180" spans="1:6" ht="14.25" thickBot="1">
      <c r="A180" s="1740" t="s">
        <v>1391</v>
      </c>
      <c r="B180" s="1744" t="s">
        <v>2104</v>
      </c>
      <c r="C180" s="1745">
        <v>0.13</v>
      </c>
      <c r="D180" s="1745">
        <v>0.13</v>
      </c>
      <c r="E180" s="1745">
        <v>0.125</v>
      </c>
      <c r="F180" s="1746">
        <v>0.13</v>
      </c>
    </row>
    <row r="181" spans="1:6" ht="14.25" thickBot="1">
      <c r="A181" s="1740" t="s">
        <v>1391</v>
      </c>
      <c r="B181" s="1744" t="s">
        <v>1282</v>
      </c>
      <c r="C181" s="1745">
        <v>0.122</v>
      </c>
      <c r="D181" s="1745">
        <v>0.123</v>
      </c>
      <c r="E181" s="1745">
        <v>0.126</v>
      </c>
      <c r="F181" s="1746">
        <v>0.121</v>
      </c>
    </row>
    <row r="182" spans="1:6" ht="14.25" thickBot="1">
      <c r="A182" s="1740" t="s">
        <v>1391</v>
      </c>
      <c r="B182" s="1744" t="s">
        <v>1289</v>
      </c>
      <c r="C182" s="1745">
        <v>0.125</v>
      </c>
      <c r="D182" s="1745">
        <v>0.125</v>
      </c>
      <c r="E182" s="1745">
        <v>0.11700000000000001</v>
      </c>
      <c r="F182" s="1746">
        <v>0.13</v>
      </c>
    </row>
    <row r="183" spans="1:6" ht="14.25" thickBot="1">
      <c r="A183" s="1740" t="s">
        <v>1391</v>
      </c>
      <c r="B183" s="1744" t="s">
        <v>1296</v>
      </c>
      <c r="C183" s="1745">
        <v>0.127</v>
      </c>
      <c r="D183" s="1745">
        <v>0.127</v>
      </c>
      <c r="E183" s="1745">
        <v>0.128</v>
      </c>
      <c r="F183" s="1753"/>
    </row>
    <row r="184" spans="1:6" ht="14.25" thickBot="1">
      <c r="A184" s="1740" t="s">
        <v>1391</v>
      </c>
      <c r="B184" s="1744" t="s">
        <v>1303</v>
      </c>
      <c r="C184" s="1745">
        <v>0.125</v>
      </c>
      <c r="D184" s="1745">
        <v>0.125</v>
      </c>
      <c r="E184" s="1745">
        <v>0.127</v>
      </c>
      <c r="F184" s="1753"/>
    </row>
    <row r="185" spans="1:6" ht="14.25" thickBot="1">
      <c r="A185" s="1740" t="s">
        <v>1391</v>
      </c>
      <c r="B185" s="1744" t="s">
        <v>2105</v>
      </c>
      <c r="C185" s="1745">
        <v>0.127</v>
      </c>
      <c r="D185" s="1745">
        <v>0.127</v>
      </c>
      <c r="E185" s="1745">
        <v>0.128</v>
      </c>
      <c r="F185" s="1746">
        <v>0.13</v>
      </c>
    </row>
    <row r="186" spans="1:6" ht="24.75" thickBot="1">
      <c r="A186" s="1740" t="s">
        <v>1391</v>
      </c>
      <c r="B186" s="1744" t="s">
        <v>2106</v>
      </c>
      <c r="C186" s="1754"/>
      <c r="D186" s="1754"/>
      <c r="E186" s="1754"/>
      <c r="F186" s="1746">
        <v>0.05</v>
      </c>
    </row>
    <row r="187" spans="1:6" ht="14.25" thickBot="1">
      <c r="A187" s="1740" t="s">
        <v>1391</v>
      </c>
      <c r="B187" s="1744" t="s">
        <v>2107</v>
      </c>
      <c r="C187" s="1754"/>
      <c r="D187" s="1754"/>
      <c r="E187" s="1754"/>
      <c r="F187" s="1746">
        <v>0.05</v>
      </c>
    </row>
    <row r="188" spans="1:6" ht="14.25" thickBot="1">
      <c r="A188" s="1740" t="s">
        <v>1391</v>
      </c>
      <c r="B188" s="1744" t="s">
        <v>2108</v>
      </c>
      <c r="C188" s="1754"/>
      <c r="D188" s="1754"/>
      <c r="E188" s="1754"/>
      <c r="F188" s="1746">
        <v>0.05</v>
      </c>
    </row>
    <row r="189" spans="1:6" ht="24.75" thickBot="1">
      <c r="A189" s="1740" t="s">
        <v>1391</v>
      </c>
      <c r="B189" s="1744" t="s">
        <v>2109</v>
      </c>
      <c r="C189" s="1754"/>
      <c r="D189" s="1754"/>
      <c r="E189" s="1754"/>
      <c r="F189" s="1746">
        <v>0.05</v>
      </c>
    </row>
    <row r="190" spans="1:6" ht="24.75" thickBot="1">
      <c r="A190" s="1740" t="s">
        <v>1391</v>
      </c>
      <c r="B190" s="1744" t="s">
        <v>2110</v>
      </c>
      <c r="C190" s="1754"/>
      <c r="D190" s="1754"/>
      <c r="E190" s="1754"/>
      <c r="F190" s="1746">
        <v>0.05</v>
      </c>
    </row>
    <row r="191" spans="1:6" ht="24.75" thickBot="1">
      <c r="A191" s="1740" t="s">
        <v>1391</v>
      </c>
      <c r="B191" s="1744" t="s">
        <v>2111</v>
      </c>
      <c r="C191" s="1754"/>
      <c r="D191" s="1754"/>
      <c r="E191" s="1754"/>
      <c r="F191" s="1746">
        <v>0.05</v>
      </c>
    </row>
    <row r="192" spans="1:6" ht="24.75" thickBot="1">
      <c r="A192" s="1740" t="s">
        <v>1391</v>
      </c>
      <c r="B192" s="1744" t="s">
        <v>2112</v>
      </c>
      <c r="C192" s="1754"/>
      <c r="D192" s="1754"/>
      <c r="E192" s="1754"/>
      <c r="F192" s="1746">
        <v>0.05</v>
      </c>
    </row>
    <row r="193" spans="1:6" ht="24.75" thickBot="1">
      <c r="A193" s="1740" t="s">
        <v>1391</v>
      </c>
      <c r="B193" s="1744" t="s">
        <v>2113</v>
      </c>
      <c r="C193" s="1754"/>
      <c r="D193" s="1754"/>
      <c r="E193" s="1754"/>
      <c r="F193" s="1746">
        <v>0.05</v>
      </c>
    </row>
    <row r="194" spans="1:6" ht="24.75" thickBot="1">
      <c r="A194" s="1740" t="s">
        <v>1391</v>
      </c>
      <c r="B194" s="1744" t="s">
        <v>2114</v>
      </c>
      <c r="C194" s="1754"/>
      <c r="D194" s="1754"/>
      <c r="E194" s="1754"/>
      <c r="F194" s="1746">
        <v>0.05</v>
      </c>
    </row>
    <row r="195" spans="1:6" ht="14.25" thickBot="1">
      <c r="A195" s="1740" t="s">
        <v>1391</v>
      </c>
      <c r="B195" s="1744" t="s">
        <v>2115</v>
      </c>
      <c r="C195" s="1754"/>
      <c r="D195" s="1754"/>
      <c r="E195" s="1754"/>
      <c r="F195" s="1746">
        <v>0.05</v>
      </c>
    </row>
    <row r="196" spans="1:6" ht="24.75" thickBot="1">
      <c r="A196" s="1740" t="s">
        <v>1391</v>
      </c>
      <c r="B196" s="1744" t="s">
        <v>2116</v>
      </c>
      <c r="C196" s="1754"/>
      <c r="D196" s="1754"/>
      <c r="E196" s="1754"/>
      <c r="F196" s="1746">
        <v>0.05</v>
      </c>
    </row>
    <row r="197" spans="1:6" ht="24.75" thickBot="1">
      <c r="A197" s="1740" t="s">
        <v>1391</v>
      </c>
      <c r="B197" s="1744" t="s">
        <v>2117</v>
      </c>
      <c r="C197" s="1754"/>
      <c r="D197" s="1754"/>
      <c r="E197" s="1754"/>
      <c r="F197" s="1746">
        <v>0.05</v>
      </c>
    </row>
    <row r="198" spans="1:6" ht="24.75" thickBot="1">
      <c r="A198" s="1740" t="s">
        <v>1391</v>
      </c>
      <c r="B198" s="1744" t="s">
        <v>2118</v>
      </c>
      <c r="C198" s="1754"/>
      <c r="D198" s="1754"/>
      <c r="E198" s="1754"/>
      <c r="F198" s="1746">
        <v>0.05</v>
      </c>
    </row>
    <row r="199" spans="1:6" ht="24.75" thickBot="1">
      <c r="A199" s="1740" t="s">
        <v>1391</v>
      </c>
      <c r="B199" s="1744" t="s">
        <v>2119</v>
      </c>
      <c r="C199" s="1754"/>
      <c r="D199" s="1754"/>
      <c r="E199" s="1754"/>
      <c r="F199" s="1746">
        <v>0.05</v>
      </c>
    </row>
    <row r="200" spans="1:6" ht="24.75" thickBot="1">
      <c r="A200" s="1740" t="s">
        <v>1391</v>
      </c>
      <c r="B200" s="1744" t="s">
        <v>2120</v>
      </c>
      <c r="C200" s="1754"/>
      <c r="D200" s="1754"/>
      <c r="E200" s="1754"/>
      <c r="F200" s="1746">
        <v>0.05</v>
      </c>
    </row>
    <row r="201" spans="1:6" ht="24.75" thickBot="1">
      <c r="A201" s="1740" t="s">
        <v>1391</v>
      </c>
      <c r="B201" s="1744" t="s">
        <v>2121</v>
      </c>
      <c r="C201" s="1754"/>
      <c r="D201" s="1754"/>
      <c r="E201" s="1754"/>
      <c r="F201" s="1746">
        <v>0.05</v>
      </c>
    </row>
    <row r="202" spans="1:6" ht="24.75" thickBot="1">
      <c r="A202" s="1740" t="s">
        <v>1391</v>
      </c>
      <c r="B202" s="1744" t="s">
        <v>2122</v>
      </c>
      <c r="C202" s="1754"/>
      <c r="D202" s="1754"/>
      <c r="E202" s="1754"/>
      <c r="F202" s="1746">
        <v>0.05</v>
      </c>
    </row>
    <row r="203" spans="1:6" ht="24.75" thickBot="1">
      <c r="A203" s="1740" t="s">
        <v>1391</v>
      </c>
      <c r="B203" s="1744" t="s">
        <v>2123</v>
      </c>
      <c r="C203" s="1754"/>
      <c r="D203" s="1754"/>
      <c r="E203" s="1754"/>
      <c r="F203" s="1746">
        <v>0.05</v>
      </c>
    </row>
    <row r="204" spans="1:6" ht="14.25" thickBot="1">
      <c r="A204" s="1740" t="s">
        <v>1391</v>
      </c>
      <c r="B204" s="1744" t="s">
        <v>2124</v>
      </c>
      <c r="C204" s="1754"/>
      <c r="D204" s="1754"/>
      <c r="E204" s="1754"/>
      <c r="F204" s="1746">
        <v>0.05</v>
      </c>
    </row>
    <row r="205" spans="1:6" ht="14.25" thickBot="1">
      <c r="A205" s="1748" t="s">
        <v>1391</v>
      </c>
      <c r="B205" s="1755" t="s">
        <v>2125</v>
      </c>
      <c r="C205" s="1751"/>
      <c r="D205" s="1751"/>
      <c r="E205" s="1751"/>
      <c r="F205" s="1756">
        <v>0.05</v>
      </c>
    </row>
    <row r="206" spans="1:6" ht="14.25" thickBot="1">
      <c r="A206" s="1740" t="s">
        <v>1393</v>
      </c>
      <c r="B206" s="1741" t="s">
        <v>2126</v>
      </c>
      <c r="C206" s="1742">
        <v>0.15</v>
      </c>
      <c r="D206" s="1742">
        <v>0.15</v>
      </c>
      <c r="E206" s="1742">
        <v>0.15</v>
      </c>
      <c r="F206" s="1743">
        <v>0.15</v>
      </c>
    </row>
    <row r="207" spans="1:6" ht="14.25" thickBot="1">
      <c r="A207" s="1740" t="s">
        <v>1393</v>
      </c>
      <c r="B207" s="1744" t="s">
        <v>1057</v>
      </c>
      <c r="C207" s="1745">
        <v>0.15</v>
      </c>
      <c r="D207" s="1745">
        <v>0.15</v>
      </c>
      <c r="E207" s="1745">
        <v>0.15</v>
      </c>
      <c r="F207" s="1746">
        <v>0.14399999999999999</v>
      </c>
    </row>
    <row r="208" spans="1:6" ht="14.25" thickBot="1">
      <c r="A208" s="1740" t="s">
        <v>1393</v>
      </c>
      <c r="B208" s="1744" t="s">
        <v>1071</v>
      </c>
      <c r="C208" s="1745">
        <v>0.15</v>
      </c>
      <c r="D208" s="1745">
        <v>0.15</v>
      </c>
      <c r="E208" s="1745">
        <v>0.15</v>
      </c>
      <c r="F208" s="1746">
        <v>0.15</v>
      </c>
    </row>
    <row r="209" spans="1:6" ht="14.25" thickBot="1">
      <c r="A209" s="1740" t="s">
        <v>1393</v>
      </c>
      <c r="B209" s="1744" t="s">
        <v>1084</v>
      </c>
      <c r="C209" s="1745">
        <v>0.13700000000000001</v>
      </c>
      <c r="D209" s="1745">
        <v>0.13700000000000001</v>
      </c>
      <c r="E209" s="1745">
        <v>0.14000000000000001</v>
      </c>
      <c r="F209" s="1746">
        <v>0.11700000000000001</v>
      </c>
    </row>
    <row r="210" spans="1:6" ht="14.25" thickBot="1">
      <c r="A210" s="1740" t="s">
        <v>1393</v>
      </c>
      <c r="B210" s="1744" t="s">
        <v>2127</v>
      </c>
      <c r="C210" s="1745">
        <v>0.15</v>
      </c>
      <c r="D210" s="1745">
        <v>0.15</v>
      </c>
      <c r="E210" s="1745">
        <v>0.15</v>
      </c>
      <c r="F210" s="1746">
        <v>0.13800000000000001</v>
      </c>
    </row>
    <row r="211" spans="1:6" ht="14.25" thickBot="1">
      <c r="A211" s="1740" t="s">
        <v>1393</v>
      </c>
      <c r="B211" s="1744" t="s">
        <v>2128</v>
      </c>
      <c r="C211" s="1745">
        <v>0.13700000000000001</v>
      </c>
      <c r="D211" s="1745">
        <v>0.13500000000000001</v>
      </c>
      <c r="E211" s="1745">
        <v>0.13600000000000001</v>
      </c>
      <c r="F211" s="1746">
        <v>0.1</v>
      </c>
    </row>
    <row r="212" spans="1:6" ht="14.25" thickBot="1">
      <c r="A212" s="1740" t="s">
        <v>1393</v>
      </c>
      <c r="B212" s="1744" t="s">
        <v>2129</v>
      </c>
      <c r="C212" s="1745">
        <v>0.15</v>
      </c>
      <c r="D212" s="1745">
        <v>0.15</v>
      </c>
      <c r="E212" s="1745">
        <v>0.14799999999999999</v>
      </c>
      <c r="F212" s="1746">
        <v>0.13600000000000001</v>
      </c>
    </row>
    <row r="213" spans="1:6" ht="14.25" thickBot="1">
      <c r="A213" s="1740" t="s">
        <v>1393</v>
      </c>
      <c r="B213" s="1744" t="s">
        <v>1131</v>
      </c>
      <c r="C213" s="1745">
        <v>0.15</v>
      </c>
      <c r="D213" s="1745">
        <v>0.15</v>
      </c>
      <c r="E213" s="1745">
        <v>0.15</v>
      </c>
      <c r="F213" s="1746">
        <v>0.13800000000000001</v>
      </c>
    </row>
    <row r="214" spans="1:6" ht="14.25" thickBot="1">
      <c r="A214" s="1740" t="s">
        <v>1393</v>
      </c>
      <c r="B214" s="1744" t="s">
        <v>1143</v>
      </c>
      <c r="C214" s="1745">
        <v>9.0999999999999998E-2</v>
      </c>
      <c r="D214" s="1745">
        <v>0.09</v>
      </c>
      <c r="E214" s="1745">
        <v>9.1999999999999998E-2</v>
      </c>
      <c r="F214" s="1753"/>
    </row>
    <row r="215" spans="1:6" ht="14.25" thickBot="1">
      <c r="A215" s="1740" t="s">
        <v>1393</v>
      </c>
      <c r="B215" s="1744" t="s">
        <v>2130</v>
      </c>
      <c r="C215" s="1745">
        <v>0.15</v>
      </c>
      <c r="D215" s="1745">
        <v>0.15</v>
      </c>
      <c r="E215" s="1745">
        <v>0.15</v>
      </c>
      <c r="F215" s="1746">
        <v>0.15</v>
      </c>
    </row>
    <row r="216" spans="1:6" ht="14.25" thickBot="1">
      <c r="A216" s="1740" t="s">
        <v>1393</v>
      </c>
      <c r="B216" s="1744" t="s">
        <v>1163</v>
      </c>
      <c r="C216" s="1745">
        <v>0.14699999999999999</v>
      </c>
      <c r="D216" s="1745">
        <v>0.14699999999999999</v>
      </c>
      <c r="E216" s="1745">
        <v>0.15</v>
      </c>
      <c r="F216" s="1746">
        <v>0.14000000000000001</v>
      </c>
    </row>
    <row r="217" spans="1:6" ht="14.25" thickBot="1">
      <c r="A217" s="1740" t="s">
        <v>1393</v>
      </c>
      <c r="B217" s="1744" t="s">
        <v>1173</v>
      </c>
      <c r="C217" s="1745">
        <v>0.15</v>
      </c>
      <c r="D217" s="1745">
        <v>0.15</v>
      </c>
      <c r="E217" s="1745">
        <v>0.15</v>
      </c>
      <c r="F217" s="1746">
        <v>0.15</v>
      </c>
    </row>
    <row r="218" spans="1:6" ht="14.25" thickBot="1">
      <c r="A218" s="1740" t="s">
        <v>1393</v>
      </c>
      <c r="B218" s="1744" t="s">
        <v>2131</v>
      </c>
      <c r="C218" s="1745">
        <v>0.15</v>
      </c>
      <c r="D218" s="1745">
        <v>0.15</v>
      </c>
      <c r="E218" s="1745">
        <v>0.15</v>
      </c>
      <c r="F218" s="1746">
        <v>0.15</v>
      </c>
    </row>
    <row r="219" spans="1:6" ht="14.25" thickBot="1">
      <c r="A219" s="1740" t="s">
        <v>1393</v>
      </c>
      <c r="B219" s="1744" t="s">
        <v>1193</v>
      </c>
      <c r="C219" s="1745">
        <v>0.15</v>
      </c>
      <c r="D219" s="1745">
        <v>0.15</v>
      </c>
      <c r="E219" s="1745">
        <v>0.15</v>
      </c>
      <c r="F219" s="1746">
        <v>0.14799999999999999</v>
      </c>
    </row>
    <row r="220" spans="1:6" ht="14.25" thickBot="1">
      <c r="A220" s="1740" t="s">
        <v>1393</v>
      </c>
      <c r="B220" s="1744" t="s">
        <v>2132</v>
      </c>
      <c r="C220" s="1745">
        <v>0.15</v>
      </c>
      <c r="D220" s="1745">
        <v>0.15</v>
      </c>
      <c r="E220" s="1745">
        <v>0.15</v>
      </c>
      <c r="F220" s="1746">
        <v>0.15</v>
      </c>
    </row>
    <row r="221" spans="1:6" ht="14.25" thickBot="1">
      <c r="A221" s="1740" t="s">
        <v>1393</v>
      </c>
      <c r="B221" s="1744" t="s">
        <v>1213</v>
      </c>
      <c r="C221" s="1745"/>
      <c r="D221" s="1754"/>
      <c r="E221" s="1754"/>
      <c r="F221" s="1746">
        <v>0.14799999999999999</v>
      </c>
    </row>
    <row r="222" spans="1:6" ht="14.25" thickBot="1">
      <c r="A222" s="1740" t="s">
        <v>1393</v>
      </c>
      <c r="B222" s="1744" t="s">
        <v>1223</v>
      </c>
      <c r="C222" s="1745"/>
      <c r="D222" s="1754"/>
      <c r="E222" s="1754"/>
      <c r="F222" s="1746">
        <v>0.1</v>
      </c>
    </row>
    <row r="223" spans="1:6" ht="14.25" thickBot="1">
      <c r="A223" s="1740" t="s">
        <v>1393</v>
      </c>
      <c r="B223" s="1744" t="s">
        <v>1233</v>
      </c>
      <c r="C223" s="1745"/>
      <c r="D223" s="1754"/>
      <c r="E223" s="1754"/>
      <c r="F223" s="1746">
        <v>0.15</v>
      </c>
    </row>
    <row r="224" spans="1:6" ht="14.25" thickBot="1">
      <c r="A224" s="1740" t="s">
        <v>1393</v>
      </c>
      <c r="B224" s="1744" t="s">
        <v>1243</v>
      </c>
      <c r="C224" s="1745"/>
      <c r="D224" s="1754"/>
      <c r="E224" s="1754"/>
      <c r="F224" s="1746">
        <v>0.15</v>
      </c>
    </row>
    <row r="225" spans="1:6" ht="14.25" thickBot="1">
      <c r="A225" s="1740" t="s">
        <v>1393</v>
      </c>
      <c r="B225" s="1744" t="s">
        <v>2133</v>
      </c>
      <c r="C225" s="1745">
        <v>0.15</v>
      </c>
      <c r="D225" s="1745">
        <v>0.15</v>
      </c>
      <c r="E225" s="1745">
        <v>0.15</v>
      </c>
      <c r="F225" s="1746">
        <v>0.15</v>
      </c>
    </row>
    <row r="226" spans="1:6" ht="14.25" thickBot="1">
      <c r="A226" s="1740" t="s">
        <v>1393</v>
      </c>
      <c r="B226" s="1744" t="s">
        <v>1261</v>
      </c>
      <c r="C226" s="1745">
        <v>0.15</v>
      </c>
      <c r="D226" s="1745">
        <v>0.15</v>
      </c>
      <c r="E226" s="1745">
        <v>0.15</v>
      </c>
      <c r="F226" s="1746">
        <v>0.14799999999999999</v>
      </c>
    </row>
    <row r="227" spans="1:6" ht="14.25" thickBot="1">
      <c r="A227" s="1740" t="s">
        <v>1393</v>
      </c>
      <c r="B227" s="1744" t="s">
        <v>2134</v>
      </c>
      <c r="C227" s="1745">
        <v>0.15</v>
      </c>
      <c r="D227" s="1745">
        <v>0.15</v>
      </c>
      <c r="E227" s="1745">
        <v>0.15</v>
      </c>
      <c r="F227" s="1746">
        <v>0.15</v>
      </c>
    </row>
    <row r="228" spans="1:6" ht="14.25" thickBot="1">
      <c r="A228" s="1740" t="s">
        <v>1393</v>
      </c>
      <c r="B228" s="1744" t="s">
        <v>1276</v>
      </c>
      <c r="C228" s="1745">
        <v>0.15</v>
      </c>
      <c r="D228" s="1745">
        <v>0.15</v>
      </c>
      <c r="E228" s="1745">
        <v>0.15</v>
      </c>
      <c r="F228" s="1746">
        <v>0.15</v>
      </c>
    </row>
    <row r="229" spans="1:6" ht="14.25" thickBot="1">
      <c r="A229" s="1740" t="s">
        <v>1393</v>
      </c>
      <c r="B229" s="1744" t="s">
        <v>1283</v>
      </c>
      <c r="C229" s="1745">
        <v>0.15</v>
      </c>
      <c r="D229" s="1745">
        <v>0.15</v>
      </c>
      <c r="E229" s="1745">
        <v>0.15</v>
      </c>
      <c r="F229" s="1753"/>
    </row>
    <row r="230" spans="1:6" ht="14.25" thickBot="1">
      <c r="A230" s="1740" t="s">
        <v>1393</v>
      </c>
      <c r="B230" s="1744" t="s">
        <v>1290</v>
      </c>
      <c r="C230" s="1745">
        <v>0.14499999999999999</v>
      </c>
      <c r="D230" s="1745">
        <v>0.14499999999999999</v>
      </c>
      <c r="E230" s="1745">
        <v>0.14399999999999999</v>
      </c>
      <c r="F230" s="1753"/>
    </row>
    <row r="231" spans="1:6" ht="14.25" thickBot="1">
      <c r="A231" s="1740" t="s">
        <v>1393</v>
      </c>
      <c r="B231" s="1744" t="s">
        <v>2135</v>
      </c>
      <c r="C231" s="1745">
        <v>0.128</v>
      </c>
      <c r="D231" s="1745">
        <v>0.125</v>
      </c>
      <c r="E231" s="1745">
        <v>0.13200000000000001</v>
      </c>
      <c r="F231" s="1753"/>
    </row>
    <row r="232" spans="1:6" ht="14.25" thickBot="1">
      <c r="A232" s="1740" t="s">
        <v>1393</v>
      </c>
      <c r="B232" s="1744" t="s">
        <v>2136</v>
      </c>
      <c r="C232" s="1745">
        <v>0.14499999999999999</v>
      </c>
      <c r="D232" s="1745">
        <v>0.14399999999999999</v>
      </c>
      <c r="E232" s="1745">
        <v>0.14599999999999999</v>
      </c>
      <c r="F232" s="1746">
        <v>0.13800000000000001</v>
      </c>
    </row>
    <row r="233" spans="1:6" ht="14.25" thickBot="1">
      <c r="A233" s="1740" t="s">
        <v>1393</v>
      </c>
      <c r="B233" s="1744" t="s">
        <v>2137</v>
      </c>
      <c r="C233" s="1745">
        <v>0.14499999999999999</v>
      </c>
      <c r="D233" s="1745">
        <v>0.14299999999999999</v>
      </c>
      <c r="E233" s="1745">
        <v>0.14199999999999999</v>
      </c>
      <c r="F233" s="1753"/>
    </row>
    <row r="234" spans="1:6" ht="14.25" thickBot="1">
      <c r="A234" s="1740" t="s">
        <v>1393</v>
      </c>
      <c r="B234" s="1744" t="s">
        <v>2138</v>
      </c>
      <c r="C234" s="1745">
        <v>0.14000000000000001</v>
      </c>
      <c r="D234" s="1745">
        <v>0.14000000000000001</v>
      </c>
      <c r="E234" s="1745">
        <v>0.14399999999999999</v>
      </c>
      <c r="F234" s="1753"/>
    </row>
    <row r="235" spans="1:6" ht="14.25" thickBot="1">
      <c r="A235" s="1740" t="s">
        <v>1393</v>
      </c>
      <c r="B235" s="1744" t="s">
        <v>2139</v>
      </c>
      <c r="C235" s="1745">
        <v>0.14099999999999999</v>
      </c>
      <c r="D235" s="1745">
        <v>0.14199999999999999</v>
      </c>
      <c r="E235" s="1745">
        <v>0.14499999999999999</v>
      </c>
      <c r="F235" s="1746">
        <v>0.15</v>
      </c>
    </row>
    <row r="236" spans="1:6" ht="14.25" thickBot="1">
      <c r="A236" s="1740" t="s">
        <v>1393</v>
      </c>
      <c r="B236" s="1744" t="s">
        <v>1325</v>
      </c>
      <c r="C236" s="1754"/>
      <c r="D236" s="1754"/>
      <c r="E236" s="1754"/>
      <c r="F236" s="1746">
        <v>0.14299999999999999</v>
      </c>
    </row>
    <row r="237" spans="1:6" ht="24.75" thickBot="1">
      <c r="A237" s="1740" t="s">
        <v>1393</v>
      </c>
      <c r="B237" s="1744" t="s">
        <v>2140</v>
      </c>
      <c r="C237" s="1754"/>
      <c r="D237" s="1754"/>
      <c r="E237" s="1754"/>
      <c r="F237" s="1746">
        <v>0.05</v>
      </c>
    </row>
    <row r="238" spans="1:6" ht="24.75" thickBot="1">
      <c r="A238" s="1740" t="s">
        <v>1393</v>
      </c>
      <c r="B238" s="1744" t="s">
        <v>2141</v>
      </c>
      <c r="C238" s="1754"/>
      <c r="D238" s="1754"/>
      <c r="E238" s="1754"/>
      <c r="F238" s="1746">
        <v>0.05</v>
      </c>
    </row>
    <row r="239" spans="1:6" ht="24.75" thickBot="1">
      <c r="A239" s="1740" t="s">
        <v>1393</v>
      </c>
      <c r="B239" s="1744" t="s">
        <v>2142</v>
      </c>
      <c r="C239" s="1754"/>
      <c r="D239" s="1754"/>
      <c r="E239" s="1754"/>
      <c r="F239" s="1746">
        <v>0.05</v>
      </c>
    </row>
    <row r="240" spans="1:6" ht="24.75" thickBot="1">
      <c r="A240" s="1740" t="s">
        <v>1393</v>
      </c>
      <c r="B240" s="1744" t="s">
        <v>2143</v>
      </c>
      <c r="C240" s="1754"/>
      <c r="D240" s="1754"/>
      <c r="E240" s="1754"/>
      <c r="F240" s="1746">
        <v>0.05</v>
      </c>
    </row>
    <row r="241" spans="1:6" ht="24.75" thickBot="1">
      <c r="A241" s="1740" t="s">
        <v>1393</v>
      </c>
      <c r="B241" s="1744" t="s">
        <v>2144</v>
      </c>
      <c r="C241" s="1754"/>
      <c r="D241" s="1754"/>
      <c r="E241" s="1754"/>
      <c r="F241" s="1746">
        <v>0.05</v>
      </c>
    </row>
    <row r="242" spans="1:6" ht="24.75" thickBot="1">
      <c r="A242" s="1740" t="s">
        <v>1393</v>
      </c>
      <c r="B242" s="1744" t="s">
        <v>2145</v>
      </c>
      <c r="C242" s="1754"/>
      <c r="D242" s="1754"/>
      <c r="E242" s="1754"/>
      <c r="F242" s="1746">
        <v>0.05</v>
      </c>
    </row>
    <row r="243" spans="1:6" ht="24.75" thickBot="1">
      <c r="A243" s="1740" t="s">
        <v>1393</v>
      </c>
      <c r="B243" s="1744" t="s">
        <v>2146</v>
      </c>
      <c r="C243" s="1754"/>
      <c r="D243" s="1754"/>
      <c r="E243" s="1754"/>
      <c r="F243" s="1746">
        <v>0.05</v>
      </c>
    </row>
    <row r="244" spans="1:6" ht="24.75" thickBot="1">
      <c r="A244" s="1748" t="s">
        <v>1393</v>
      </c>
      <c r="B244" s="1755" t="s">
        <v>2147</v>
      </c>
      <c r="C244" s="1751"/>
      <c r="D244" s="1751"/>
      <c r="E244" s="1751"/>
      <c r="F244" s="1756">
        <v>0.05</v>
      </c>
    </row>
    <row r="245" spans="1:6" ht="14.25" thickBot="1">
      <c r="A245" s="1740" t="s">
        <v>1395</v>
      </c>
      <c r="B245" s="1741" t="s">
        <v>2148</v>
      </c>
      <c r="C245" s="1742">
        <v>0.15</v>
      </c>
      <c r="D245" s="1742">
        <v>0.15</v>
      </c>
      <c r="E245" s="1742">
        <v>0.15</v>
      </c>
      <c r="F245" s="1743">
        <v>0.14299999999999999</v>
      </c>
    </row>
    <row r="246" spans="1:6" ht="14.25" thickBot="1">
      <c r="A246" s="1740" t="s">
        <v>1395</v>
      </c>
      <c r="B246" s="1744" t="s">
        <v>1058</v>
      </c>
      <c r="C246" s="1745">
        <v>0.15</v>
      </c>
      <c r="D246" s="1745">
        <v>0.15</v>
      </c>
      <c r="E246" s="1745">
        <v>0.15</v>
      </c>
      <c r="F246" s="1746">
        <v>0.114</v>
      </c>
    </row>
    <row r="247" spans="1:6" ht="14.25" thickBot="1">
      <c r="A247" s="1740" t="s">
        <v>1395</v>
      </c>
      <c r="B247" s="1744" t="s">
        <v>2149</v>
      </c>
      <c r="C247" s="1745">
        <v>0.15</v>
      </c>
      <c r="D247" s="1745">
        <v>0.15</v>
      </c>
      <c r="E247" s="1745">
        <v>0.15</v>
      </c>
      <c r="F247" s="1746">
        <v>0.15</v>
      </c>
    </row>
    <row r="248" spans="1:6" ht="14.25" thickBot="1">
      <c r="A248" s="1740" t="s">
        <v>1395</v>
      </c>
      <c r="B248" s="1744" t="s">
        <v>2150</v>
      </c>
      <c r="C248" s="1745">
        <v>0.15</v>
      </c>
      <c r="D248" s="1745">
        <v>0.15</v>
      </c>
      <c r="E248" s="1745">
        <v>0.15</v>
      </c>
      <c r="F248" s="1746">
        <v>0.14000000000000001</v>
      </c>
    </row>
    <row r="249" spans="1:6" ht="14.25" thickBot="1">
      <c r="A249" s="1740" t="s">
        <v>1395</v>
      </c>
      <c r="B249" s="1744" t="s">
        <v>2151</v>
      </c>
      <c r="C249" s="1745">
        <v>0.15</v>
      </c>
      <c r="D249" s="1745">
        <v>0.14899999999999999</v>
      </c>
      <c r="E249" s="1745">
        <v>0.15</v>
      </c>
      <c r="F249" s="1746">
        <v>0.1</v>
      </c>
    </row>
    <row r="250" spans="1:6" ht="14.25" thickBot="1">
      <c r="A250" s="1740" t="s">
        <v>1395</v>
      </c>
      <c r="B250" s="1744" t="s">
        <v>2152</v>
      </c>
      <c r="C250" s="1745">
        <v>0.15</v>
      </c>
      <c r="D250" s="1745">
        <v>0.15</v>
      </c>
      <c r="E250" s="1745">
        <v>0.15</v>
      </c>
      <c r="F250" s="1746">
        <v>0.14399999999999999</v>
      </c>
    </row>
    <row r="251" spans="1:6" ht="14.25" thickBot="1">
      <c r="A251" s="1740" t="s">
        <v>1395</v>
      </c>
      <c r="B251" s="1744" t="s">
        <v>1121</v>
      </c>
      <c r="C251" s="1745">
        <v>0.15</v>
      </c>
      <c r="D251" s="1745">
        <v>0.15</v>
      </c>
      <c r="E251" s="1745">
        <v>0.15</v>
      </c>
      <c r="F251" s="1746">
        <v>0.14299999999999999</v>
      </c>
    </row>
    <row r="252" spans="1:6" ht="14.25" thickBot="1">
      <c r="A252" s="1740" t="s">
        <v>1395</v>
      </c>
      <c r="B252" s="1744" t="s">
        <v>1132</v>
      </c>
      <c r="C252" s="1745">
        <v>0.15</v>
      </c>
      <c r="D252" s="1745">
        <v>0.15</v>
      </c>
      <c r="E252" s="1745">
        <v>0.15</v>
      </c>
      <c r="F252" s="1746">
        <v>0.1</v>
      </c>
    </row>
    <row r="253" spans="1:6" ht="14.25" thickBot="1">
      <c r="A253" s="1740" t="s">
        <v>1395</v>
      </c>
      <c r="B253" s="1744" t="s">
        <v>1144</v>
      </c>
      <c r="C253" s="1745">
        <v>0.15</v>
      </c>
      <c r="D253" s="1745">
        <v>0.15</v>
      </c>
      <c r="E253" s="1745">
        <v>0.15</v>
      </c>
      <c r="F253" s="1746">
        <v>0.1</v>
      </c>
    </row>
    <row r="254" spans="1:6" ht="14.25" thickBot="1">
      <c r="A254" s="1740" t="s">
        <v>1395</v>
      </c>
      <c r="B254" s="1744" t="s">
        <v>1154</v>
      </c>
      <c r="C254" s="1754"/>
      <c r="D254" s="1754"/>
      <c r="E254" s="1754"/>
      <c r="F254" s="1746">
        <v>0.15</v>
      </c>
    </row>
    <row r="255" spans="1:6" ht="14.25" thickBot="1">
      <c r="A255" s="1740" t="s">
        <v>1395</v>
      </c>
      <c r="B255" s="1744" t="s">
        <v>1164</v>
      </c>
      <c r="C255" s="1754"/>
      <c r="D255" s="1754"/>
      <c r="E255" s="1754"/>
      <c r="F255" s="1746">
        <v>0.14299999999999999</v>
      </c>
    </row>
    <row r="256" spans="1:6" ht="14.25" thickBot="1">
      <c r="A256" s="1740" t="s">
        <v>1395</v>
      </c>
      <c r="B256" s="1744" t="s">
        <v>2153</v>
      </c>
      <c r="C256" s="1745">
        <v>0.14599999999999999</v>
      </c>
      <c r="D256" s="1745">
        <v>0.14699999999999999</v>
      </c>
      <c r="E256" s="1745">
        <v>0.15</v>
      </c>
      <c r="F256" s="1746">
        <v>0.13200000000000001</v>
      </c>
    </row>
    <row r="257" spans="1:6" ht="14.25" thickBot="1">
      <c r="A257" s="1740" t="s">
        <v>1395</v>
      </c>
      <c r="B257" s="1744" t="s">
        <v>1184</v>
      </c>
      <c r="C257" s="1745">
        <v>0.15</v>
      </c>
      <c r="D257" s="1745">
        <v>0.15</v>
      </c>
      <c r="E257" s="1745">
        <v>0.15</v>
      </c>
      <c r="F257" s="1746">
        <v>0.13900000000000001</v>
      </c>
    </row>
    <row r="258" spans="1:6" ht="14.25" thickBot="1">
      <c r="A258" s="1740" t="s">
        <v>1395</v>
      </c>
      <c r="B258" s="1744" t="s">
        <v>1194</v>
      </c>
      <c r="C258" s="1745">
        <v>0.15</v>
      </c>
      <c r="D258" s="1745">
        <v>0.15</v>
      </c>
      <c r="E258" s="1745">
        <v>0.15</v>
      </c>
      <c r="F258" s="1746">
        <v>0.13</v>
      </c>
    </row>
    <row r="259" spans="1:6" ht="14.25" thickBot="1">
      <c r="A259" s="1740" t="s">
        <v>1395</v>
      </c>
      <c r="B259" s="1744" t="s">
        <v>2154</v>
      </c>
      <c r="C259" s="1745">
        <v>0.14799999999999999</v>
      </c>
      <c r="D259" s="1745">
        <v>0.14899999999999999</v>
      </c>
      <c r="E259" s="1745">
        <v>0.15</v>
      </c>
      <c r="F259" s="1746">
        <v>0.13700000000000001</v>
      </c>
    </row>
    <row r="260" spans="1:6" ht="14.25" thickBot="1">
      <c r="A260" s="1740" t="s">
        <v>1395</v>
      </c>
      <c r="B260" s="1744" t="s">
        <v>1214</v>
      </c>
      <c r="C260" s="1745">
        <v>0.15</v>
      </c>
      <c r="D260" s="1745">
        <v>0.15</v>
      </c>
      <c r="E260" s="1745">
        <v>0.15</v>
      </c>
      <c r="F260" s="1746">
        <v>0.14199999999999999</v>
      </c>
    </row>
    <row r="261" spans="1:6" ht="14.25" thickBot="1">
      <c r="A261" s="1740" t="s">
        <v>1395</v>
      </c>
      <c r="B261" s="1744" t="s">
        <v>1224</v>
      </c>
      <c r="C261" s="1745">
        <v>0.15</v>
      </c>
      <c r="D261" s="1745">
        <v>0.15</v>
      </c>
      <c r="E261" s="1745">
        <v>0.14899999999999999</v>
      </c>
      <c r="F261" s="1746">
        <v>0.14799999999999999</v>
      </c>
    </row>
    <row r="262" spans="1:6" ht="14.25" thickBot="1">
      <c r="A262" s="1740" t="s">
        <v>1395</v>
      </c>
      <c r="B262" s="1744" t="s">
        <v>1234</v>
      </c>
      <c r="C262" s="1745">
        <v>0.15</v>
      </c>
      <c r="D262" s="1745">
        <v>0.15</v>
      </c>
      <c r="E262" s="1745">
        <v>0.15</v>
      </c>
      <c r="F262" s="1753"/>
    </row>
    <row r="263" spans="1:6" ht="14.25" thickBot="1">
      <c r="A263" s="1740" t="s">
        <v>1395</v>
      </c>
      <c r="B263" s="1744" t="s">
        <v>2155</v>
      </c>
      <c r="C263" s="1745">
        <v>0.14899999999999999</v>
      </c>
      <c r="D263" s="1745">
        <v>0.14899999999999999</v>
      </c>
      <c r="E263" s="1745">
        <v>0.15</v>
      </c>
      <c r="F263" s="1746">
        <v>0.13</v>
      </c>
    </row>
    <row r="264" spans="1:6" ht="14.25" thickBot="1">
      <c r="A264" s="1740" t="s">
        <v>1395</v>
      </c>
      <c r="B264" s="1744" t="s">
        <v>1253</v>
      </c>
      <c r="C264" s="1745">
        <v>0.14799999999999999</v>
      </c>
      <c r="D264" s="1745">
        <v>0.14699999999999999</v>
      </c>
      <c r="E264" s="1745">
        <v>0.15</v>
      </c>
      <c r="F264" s="1746">
        <v>7.8E-2</v>
      </c>
    </row>
    <row r="265" spans="1:6" ht="14.25" thickBot="1">
      <c r="A265" s="1740" t="s">
        <v>1395</v>
      </c>
      <c r="B265" s="1744" t="s">
        <v>1262</v>
      </c>
      <c r="C265" s="1745">
        <v>0.15</v>
      </c>
      <c r="D265" s="1745">
        <v>0.15</v>
      </c>
      <c r="E265" s="1745">
        <v>0.15</v>
      </c>
      <c r="F265" s="1746">
        <v>7.3999999999999996E-2</v>
      </c>
    </row>
    <row r="266" spans="1:6" ht="14.25" thickBot="1">
      <c r="A266" s="1740" t="s">
        <v>1395</v>
      </c>
      <c r="B266" s="1744" t="s">
        <v>1270</v>
      </c>
      <c r="C266" s="1745">
        <v>0.14699999999999999</v>
      </c>
      <c r="D266" s="1745">
        <v>0.14699999999999999</v>
      </c>
      <c r="E266" s="1745">
        <v>0.15</v>
      </c>
      <c r="F266" s="1746">
        <v>0.14299999999999999</v>
      </c>
    </row>
    <row r="267" spans="1:6" ht="14.25" thickBot="1">
      <c r="A267" s="1740" t="s">
        <v>1395</v>
      </c>
      <c r="B267" s="1744" t="s">
        <v>1277</v>
      </c>
      <c r="C267" s="1745">
        <v>0.14199999999999999</v>
      </c>
      <c r="D267" s="1745">
        <v>0.14299999999999999</v>
      </c>
      <c r="E267" s="1745">
        <v>0.15</v>
      </c>
      <c r="F267" s="1753"/>
    </row>
    <row r="268" spans="1:6" ht="14.25" thickBot="1">
      <c r="A268" s="1740" t="s">
        <v>1395</v>
      </c>
      <c r="B268" s="1744" t="s">
        <v>2156</v>
      </c>
      <c r="C268" s="1745">
        <v>0.15</v>
      </c>
      <c r="D268" s="1745">
        <v>0.15</v>
      </c>
      <c r="E268" s="1745">
        <v>0.15</v>
      </c>
      <c r="F268" s="1746">
        <v>0.13</v>
      </c>
    </row>
    <row r="269" spans="1:6" ht="14.25" thickBot="1">
      <c r="A269" s="1740" t="s">
        <v>1395</v>
      </c>
      <c r="B269" s="1744" t="s">
        <v>1291</v>
      </c>
      <c r="C269" s="1745">
        <v>0.15</v>
      </c>
      <c r="D269" s="1745">
        <v>0.15</v>
      </c>
      <c r="E269" s="1745">
        <v>0.15</v>
      </c>
      <c r="F269" s="1746">
        <v>0.14299999999999999</v>
      </c>
    </row>
    <row r="270" spans="1:6" ht="14.25" thickBot="1">
      <c r="A270" s="1740" t="s">
        <v>1395</v>
      </c>
      <c r="B270" s="1744" t="s">
        <v>1298</v>
      </c>
      <c r="C270" s="1745">
        <v>0.14499999999999999</v>
      </c>
      <c r="D270" s="1745">
        <v>0.14499999999999999</v>
      </c>
      <c r="E270" s="1745">
        <v>0.15</v>
      </c>
      <c r="F270" s="1746">
        <v>0.14699999999999999</v>
      </c>
    </row>
    <row r="271" spans="1:6" ht="14.25" thickBot="1">
      <c r="A271" s="1740" t="s">
        <v>1395</v>
      </c>
      <c r="B271" s="1744" t="s">
        <v>1305</v>
      </c>
      <c r="C271" s="1745">
        <v>0.15</v>
      </c>
      <c r="D271" s="1745">
        <v>0.15</v>
      </c>
      <c r="E271" s="1745">
        <v>0.15</v>
      </c>
      <c r="F271" s="1746">
        <v>0.13800000000000001</v>
      </c>
    </row>
    <row r="272" spans="1:6" ht="14.25" thickBot="1">
      <c r="A272" s="1740" t="s">
        <v>1395</v>
      </c>
      <c r="B272" s="1744" t="s">
        <v>1312</v>
      </c>
      <c r="C272" s="1754"/>
      <c r="D272" s="1754"/>
      <c r="E272" s="1754"/>
      <c r="F272" s="1746">
        <v>0.14000000000000001</v>
      </c>
    </row>
    <row r="273" spans="1:6" ht="14.25" thickBot="1">
      <c r="A273" s="1740" t="s">
        <v>1395</v>
      </c>
      <c r="B273" s="1744" t="s">
        <v>2157</v>
      </c>
      <c r="C273" s="1745">
        <v>0.14199999999999999</v>
      </c>
      <c r="D273" s="1745">
        <v>0.14299999999999999</v>
      </c>
      <c r="E273" s="1745">
        <v>0.15</v>
      </c>
      <c r="F273" s="1746">
        <v>0.1</v>
      </c>
    </row>
    <row r="274" spans="1:6" ht="14.25" thickBot="1">
      <c r="A274" s="1740" t="s">
        <v>1395</v>
      </c>
      <c r="B274" s="1744" t="s">
        <v>2158</v>
      </c>
      <c r="C274" s="1745">
        <v>0.14799999999999999</v>
      </c>
      <c r="D274" s="1745">
        <v>0.14799999999999999</v>
      </c>
      <c r="E274" s="1745">
        <v>0.15</v>
      </c>
      <c r="F274" s="1746">
        <v>6.7000000000000004E-2</v>
      </c>
    </row>
    <row r="275" spans="1:6" ht="14.25" thickBot="1">
      <c r="A275" s="1740" t="s">
        <v>1395</v>
      </c>
      <c r="B275" s="1744" t="s">
        <v>2159</v>
      </c>
      <c r="C275" s="1745">
        <v>0.15</v>
      </c>
      <c r="D275" s="1745">
        <v>0.15</v>
      </c>
      <c r="E275" s="1745">
        <v>0.15</v>
      </c>
      <c r="F275" s="1746">
        <v>0.15</v>
      </c>
    </row>
    <row r="276" spans="1:6" ht="14.25" thickBot="1">
      <c r="A276" s="1740" t="s">
        <v>1395</v>
      </c>
      <c r="B276" s="1744" t="s">
        <v>2160</v>
      </c>
      <c r="C276" s="1745">
        <v>0.14499999999999999</v>
      </c>
      <c r="D276" s="1745">
        <v>0.14299999999999999</v>
      </c>
      <c r="E276" s="1745">
        <v>0.15</v>
      </c>
      <c r="F276" s="1746">
        <v>5.8999999999999997E-2</v>
      </c>
    </row>
    <row r="277" spans="1:6" ht="14.25" thickBot="1">
      <c r="A277" s="1740" t="s">
        <v>1395</v>
      </c>
      <c r="B277" s="1744" t="s">
        <v>2161</v>
      </c>
      <c r="C277" s="1745">
        <v>0.15</v>
      </c>
      <c r="D277" s="1745">
        <v>0.15</v>
      </c>
      <c r="E277" s="1745">
        <v>0.15</v>
      </c>
      <c r="F277" s="1746">
        <v>0.121</v>
      </c>
    </row>
    <row r="278" spans="1:6" ht="14.25" thickBot="1">
      <c r="A278" s="1740" t="s">
        <v>1395</v>
      </c>
      <c r="B278" s="1744" t="s">
        <v>2162</v>
      </c>
      <c r="C278" s="1745">
        <v>0.15</v>
      </c>
      <c r="D278" s="1745">
        <v>0.15</v>
      </c>
      <c r="E278" s="1745">
        <v>0.15</v>
      </c>
      <c r="F278" s="1746">
        <v>0.13800000000000001</v>
      </c>
    </row>
    <row r="279" spans="1:6" ht="24.75" thickBot="1">
      <c r="A279" s="1740" t="s">
        <v>1395</v>
      </c>
      <c r="B279" s="1744" t="s">
        <v>2163</v>
      </c>
      <c r="C279" s="1754"/>
      <c r="D279" s="1754"/>
      <c r="E279" s="1754"/>
      <c r="F279" s="1746">
        <v>0.05</v>
      </c>
    </row>
    <row r="280" spans="1:6" ht="24.75" thickBot="1">
      <c r="A280" s="1740" t="s">
        <v>1395</v>
      </c>
      <c r="B280" s="1744" t="s">
        <v>2164</v>
      </c>
      <c r="C280" s="1754"/>
      <c r="D280" s="1754"/>
      <c r="E280" s="1754"/>
      <c r="F280" s="1746">
        <v>0.05</v>
      </c>
    </row>
    <row r="281" spans="1:6" ht="24.75" thickBot="1">
      <c r="A281" s="1740" t="s">
        <v>1395</v>
      </c>
      <c r="B281" s="1744" t="s">
        <v>2165</v>
      </c>
      <c r="C281" s="1754"/>
      <c r="D281" s="1754"/>
      <c r="E281" s="1754"/>
      <c r="F281" s="1746">
        <v>0.05</v>
      </c>
    </row>
    <row r="282" spans="1:6" ht="24.75" thickBot="1">
      <c r="A282" s="1740" t="s">
        <v>1395</v>
      </c>
      <c r="B282" s="1744" t="s">
        <v>2166</v>
      </c>
      <c r="C282" s="1754"/>
      <c r="D282" s="1754"/>
      <c r="E282" s="1754"/>
      <c r="F282" s="1746">
        <v>0.05</v>
      </c>
    </row>
    <row r="283" spans="1:6" ht="24.75" thickBot="1">
      <c r="A283" s="1740" t="s">
        <v>1395</v>
      </c>
      <c r="B283" s="1744" t="s">
        <v>2167</v>
      </c>
      <c r="C283" s="1754"/>
      <c r="D283" s="1754"/>
      <c r="E283" s="1754"/>
      <c r="F283" s="1746">
        <v>0.05</v>
      </c>
    </row>
    <row r="284" spans="1:6" ht="24.75" thickBot="1">
      <c r="A284" s="1740" t="s">
        <v>1395</v>
      </c>
      <c r="B284" s="1744" t="s">
        <v>2168</v>
      </c>
      <c r="C284" s="1754"/>
      <c r="D284" s="1754"/>
      <c r="E284" s="1754"/>
      <c r="F284" s="1746">
        <v>0.05</v>
      </c>
    </row>
    <row r="285" spans="1:6" ht="24.75" thickBot="1">
      <c r="A285" s="1740" t="s">
        <v>1395</v>
      </c>
      <c r="B285" s="1744" t="s">
        <v>2169</v>
      </c>
      <c r="C285" s="1754"/>
      <c r="D285" s="1754"/>
      <c r="E285" s="1754"/>
      <c r="F285" s="1746">
        <v>0.05</v>
      </c>
    </row>
    <row r="286" spans="1:6" ht="24.75" thickBot="1">
      <c r="A286" s="1740" t="s">
        <v>1395</v>
      </c>
      <c r="B286" s="1744" t="s">
        <v>2170</v>
      </c>
      <c r="C286" s="1754"/>
      <c r="D286" s="1754"/>
      <c r="E286" s="1754"/>
      <c r="F286" s="1746">
        <v>0.05</v>
      </c>
    </row>
    <row r="287" spans="1:6" ht="24.75" thickBot="1">
      <c r="A287" s="1740" t="s">
        <v>1395</v>
      </c>
      <c r="B287" s="1744" t="s">
        <v>2171</v>
      </c>
      <c r="C287" s="1754"/>
      <c r="D287" s="1754"/>
      <c r="E287" s="1754"/>
      <c r="F287" s="1746">
        <v>0.05</v>
      </c>
    </row>
    <row r="288" spans="1:6" ht="24.75" thickBot="1">
      <c r="A288" s="1740" t="s">
        <v>1395</v>
      </c>
      <c r="B288" s="1744" t="s">
        <v>2172</v>
      </c>
      <c r="C288" s="1754"/>
      <c r="D288" s="1754"/>
      <c r="E288" s="1754"/>
      <c r="F288" s="1746">
        <v>0.05</v>
      </c>
    </row>
    <row r="289" spans="1:6" ht="24.75" thickBot="1">
      <c r="A289" s="1748" t="s">
        <v>1395</v>
      </c>
      <c r="B289" s="1755" t="s">
        <v>2173</v>
      </c>
      <c r="C289" s="1751"/>
      <c r="D289" s="1751"/>
      <c r="E289" s="1751"/>
      <c r="F289" s="1756">
        <v>0.05</v>
      </c>
    </row>
    <row r="290" spans="1:6" ht="14.25" thickBot="1">
      <c r="A290" s="1740" t="s">
        <v>1399</v>
      </c>
      <c r="B290" s="1741" t="s">
        <v>2174</v>
      </c>
      <c r="C290" s="1742">
        <v>0.15</v>
      </c>
      <c r="D290" s="1742">
        <v>0.15</v>
      </c>
      <c r="E290" s="1742">
        <v>0.15</v>
      </c>
      <c r="F290" s="1764"/>
    </row>
    <row r="291" spans="1:6" ht="14.25" thickBot="1">
      <c r="A291" s="1740" t="s">
        <v>1399</v>
      </c>
      <c r="B291" s="1744" t="s">
        <v>1059</v>
      </c>
      <c r="C291" s="1745">
        <v>0.15</v>
      </c>
      <c r="D291" s="1745">
        <v>0.15</v>
      </c>
      <c r="E291" s="1745">
        <v>0.15</v>
      </c>
      <c r="F291" s="1753"/>
    </row>
    <row r="292" spans="1:6" ht="14.25" thickBot="1">
      <c r="A292" s="1740" t="s">
        <v>1399</v>
      </c>
      <c r="B292" s="1744" t="s">
        <v>2175</v>
      </c>
      <c r="C292" s="1745">
        <v>0.15</v>
      </c>
      <c r="D292" s="1745">
        <v>0.15</v>
      </c>
      <c r="E292" s="1745">
        <v>0.15</v>
      </c>
      <c r="F292" s="1746">
        <v>0.14699999999999999</v>
      </c>
    </row>
    <row r="293" spans="1:6" ht="14.25" thickBot="1">
      <c r="A293" s="1740" t="s">
        <v>1399</v>
      </c>
      <c r="B293" s="1744" t="s">
        <v>2176</v>
      </c>
      <c r="C293" s="1754"/>
      <c r="D293" s="1754"/>
      <c r="E293" s="1754"/>
      <c r="F293" s="1746">
        <v>0.1</v>
      </c>
    </row>
    <row r="294" spans="1:6" ht="14.25" thickBot="1">
      <c r="A294" s="1740" t="s">
        <v>1399</v>
      </c>
      <c r="B294" s="1744" t="s">
        <v>2177</v>
      </c>
      <c r="C294" s="1745">
        <v>0.15</v>
      </c>
      <c r="D294" s="1745">
        <v>0.15</v>
      </c>
      <c r="E294" s="1745">
        <v>0.15</v>
      </c>
      <c r="F294" s="1746">
        <v>0.15</v>
      </c>
    </row>
    <row r="295" spans="1:6" ht="14.25" thickBot="1">
      <c r="A295" s="1740" t="s">
        <v>1399</v>
      </c>
      <c r="B295" s="1744" t="s">
        <v>1100</v>
      </c>
      <c r="C295" s="1745">
        <v>0.15</v>
      </c>
      <c r="D295" s="1745">
        <v>0.15</v>
      </c>
      <c r="E295" s="1745">
        <v>0.15</v>
      </c>
      <c r="F295" s="1746">
        <v>0.15</v>
      </c>
    </row>
    <row r="296" spans="1:6" ht="14.25" thickBot="1">
      <c r="A296" s="1740" t="s">
        <v>1399</v>
      </c>
      <c r="B296" s="1744" t="s">
        <v>2178</v>
      </c>
      <c r="C296" s="1745">
        <v>0.15</v>
      </c>
      <c r="D296" s="1745">
        <v>0.15</v>
      </c>
      <c r="E296" s="1745">
        <v>0.15</v>
      </c>
      <c r="F296" s="1746">
        <v>0.15</v>
      </c>
    </row>
    <row r="297" spans="1:6" ht="14.25" thickBot="1">
      <c r="A297" s="1740" t="s">
        <v>1399</v>
      </c>
      <c r="B297" s="1744" t="s">
        <v>2179</v>
      </c>
      <c r="C297" s="1745">
        <v>0.14799999999999999</v>
      </c>
      <c r="D297" s="1745">
        <v>0.14899999999999999</v>
      </c>
      <c r="E297" s="1745">
        <v>0.15</v>
      </c>
      <c r="F297" s="1746">
        <v>0.13700000000000001</v>
      </c>
    </row>
    <row r="298" spans="1:6" ht="14.25" thickBot="1">
      <c r="A298" s="1740" t="s">
        <v>1399</v>
      </c>
      <c r="B298" s="1744" t="s">
        <v>1133</v>
      </c>
      <c r="C298" s="1745">
        <v>0.13400000000000001</v>
      </c>
      <c r="D298" s="1745">
        <v>0.13400000000000001</v>
      </c>
      <c r="E298" s="1745">
        <v>0.14499999999999999</v>
      </c>
      <c r="F298" s="1746">
        <v>0.14799999999999999</v>
      </c>
    </row>
    <row r="299" spans="1:6" ht="14.25" thickBot="1">
      <c r="A299" s="1740" t="s">
        <v>1399</v>
      </c>
      <c r="B299" s="1744" t="s">
        <v>1145</v>
      </c>
      <c r="C299" s="1745">
        <v>0.15</v>
      </c>
      <c r="D299" s="1745">
        <v>0.15</v>
      </c>
      <c r="E299" s="1745">
        <v>0.15</v>
      </c>
      <c r="F299" s="1753"/>
    </row>
    <row r="300" spans="1:6" ht="14.25" thickBot="1">
      <c r="A300" s="1740" t="s">
        <v>1399</v>
      </c>
      <c r="B300" s="1744" t="s">
        <v>2180</v>
      </c>
      <c r="C300" s="1745">
        <v>0.15</v>
      </c>
      <c r="D300" s="1745">
        <v>0.15</v>
      </c>
      <c r="E300" s="1745">
        <v>0.15</v>
      </c>
      <c r="F300" s="1746">
        <v>0.15</v>
      </c>
    </row>
    <row r="301" spans="1:6" ht="14.25" thickBot="1">
      <c r="A301" s="1740" t="s">
        <v>1399</v>
      </c>
      <c r="B301" s="1744" t="s">
        <v>1165</v>
      </c>
      <c r="C301" s="1745">
        <v>0.15</v>
      </c>
      <c r="D301" s="1745">
        <v>0.15</v>
      </c>
      <c r="E301" s="1745">
        <v>0.15</v>
      </c>
      <c r="F301" s="1753"/>
    </row>
    <row r="302" spans="1:6" ht="14.25" thickBot="1">
      <c r="A302" s="1740" t="s">
        <v>1399</v>
      </c>
      <c r="B302" s="1744" t="s">
        <v>2181</v>
      </c>
      <c r="C302" s="1745">
        <v>0.15</v>
      </c>
      <c r="D302" s="1745">
        <v>0.15</v>
      </c>
      <c r="E302" s="1745">
        <v>0.15</v>
      </c>
      <c r="F302" s="1746">
        <v>0.15</v>
      </c>
    </row>
    <row r="303" spans="1:6" ht="14.25" thickBot="1">
      <c r="A303" s="1740" t="s">
        <v>1399</v>
      </c>
      <c r="B303" s="1744" t="s">
        <v>1185</v>
      </c>
      <c r="C303" s="1745">
        <v>0.15</v>
      </c>
      <c r="D303" s="1745">
        <v>0.15</v>
      </c>
      <c r="E303" s="1745">
        <v>0.15</v>
      </c>
      <c r="F303" s="1746">
        <v>0.15</v>
      </c>
    </row>
    <row r="304" spans="1:6" ht="14.25" thickBot="1">
      <c r="A304" s="1740" t="s">
        <v>1399</v>
      </c>
      <c r="B304" s="1744" t="s">
        <v>1195</v>
      </c>
      <c r="C304" s="1745">
        <v>0.15</v>
      </c>
      <c r="D304" s="1745">
        <v>0.15</v>
      </c>
      <c r="E304" s="1745">
        <v>0.15</v>
      </c>
      <c r="F304" s="1753"/>
    </row>
    <row r="305" spans="1:6" ht="14.25" thickBot="1">
      <c r="A305" s="1740" t="s">
        <v>1399</v>
      </c>
      <c r="B305" s="1744" t="s">
        <v>2182</v>
      </c>
      <c r="C305" s="1745">
        <v>0.15</v>
      </c>
      <c r="D305" s="1745">
        <v>0.15</v>
      </c>
      <c r="E305" s="1745">
        <v>0.15</v>
      </c>
      <c r="F305" s="1746">
        <v>0.14000000000000001</v>
      </c>
    </row>
    <row r="306" spans="1:6" ht="14.25" thickBot="1">
      <c r="A306" s="1740" t="s">
        <v>1399</v>
      </c>
      <c r="B306" s="1744" t="s">
        <v>1215</v>
      </c>
      <c r="C306" s="1745">
        <v>0.15</v>
      </c>
      <c r="D306" s="1745">
        <v>0.15</v>
      </c>
      <c r="E306" s="1745">
        <v>0.15</v>
      </c>
      <c r="F306" s="1753"/>
    </row>
    <row r="307" spans="1:6" ht="14.25" thickBot="1">
      <c r="A307" s="1740" t="s">
        <v>1399</v>
      </c>
      <c r="B307" s="1744" t="s">
        <v>2183</v>
      </c>
      <c r="C307" s="1745">
        <v>0.15</v>
      </c>
      <c r="D307" s="1745">
        <v>0.15</v>
      </c>
      <c r="E307" s="1745">
        <v>0.15</v>
      </c>
      <c r="F307" s="1746">
        <v>0.14299999999999999</v>
      </c>
    </row>
    <row r="308" spans="1:6" ht="14.25" thickBot="1">
      <c r="A308" s="1740" t="s">
        <v>1399</v>
      </c>
      <c r="B308" s="1744" t="s">
        <v>1235</v>
      </c>
      <c r="C308" s="1745">
        <v>0.15</v>
      </c>
      <c r="D308" s="1745">
        <v>0.15</v>
      </c>
      <c r="E308" s="1745">
        <v>0.15</v>
      </c>
      <c r="F308" s="1746">
        <v>0.15</v>
      </c>
    </row>
    <row r="309" spans="1:6" ht="14.25" thickBot="1">
      <c r="A309" s="1740" t="s">
        <v>1399</v>
      </c>
      <c r="B309" s="1744" t="s">
        <v>1245</v>
      </c>
      <c r="C309" s="1745">
        <v>0.15</v>
      </c>
      <c r="D309" s="1745">
        <v>0.15</v>
      </c>
      <c r="E309" s="1745">
        <v>0.15</v>
      </c>
      <c r="F309" s="1753"/>
    </row>
    <row r="310" spans="1:6" ht="14.25" thickBot="1">
      <c r="A310" s="1740" t="s">
        <v>1399</v>
      </c>
      <c r="B310" s="1744" t="s">
        <v>2184</v>
      </c>
      <c r="C310" s="1745">
        <v>0.15</v>
      </c>
      <c r="D310" s="1745">
        <v>0.15</v>
      </c>
      <c r="E310" s="1745">
        <v>0.15</v>
      </c>
      <c r="F310" s="1746">
        <v>0.13700000000000001</v>
      </c>
    </row>
    <row r="311" spans="1:6" ht="14.25" thickBot="1">
      <c r="A311" s="1740" t="s">
        <v>1399</v>
      </c>
      <c r="B311" s="1744" t="s">
        <v>2185</v>
      </c>
      <c r="C311" s="1745">
        <v>0.15</v>
      </c>
      <c r="D311" s="1745">
        <v>0.15</v>
      </c>
      <c r="E311" s="1745">
        <v>0.15</v>
      </c>
      <c r="F311" s="1746">
        <v>0.15</v>
      </c>
    </row>
    <row r="312" spans="1:6" ht="14.25" thickBot="1">
      <c r="A312" s="1740" t="s">
        <v>1399</v>
      </c>
      <c r="B312" s="1744" t="s">
        <v>1271</v>
      </c>
      <c r="C312" s="1745">
        <v>0.15</v>
      </c>
      <c r="D312" s="1745">
        <v>0.15</v>
      </c>
      <c r="E312" s="1745">
        <v>0.15</v>
      </c>
      <c r="F312" s="1746">
        <v>0.1</v>
      </c>
    </row>
    <row r="313" spans="1:6" ht="14.25" thickBot="1">
      <c r="A313" s="1740" t="s">
        <v>1399</v>
      </c>
      <c r="B313" s="1744" t="s">
        <v>2186</v>
      </c>
      <c r="C313" s="1745">
        <v>0.15</v>
      </c>
      <c r="D313" s="1745">
        <v>0.15</v>
      </c>
      <c r="E313" s="1745">
        <v>0.15</v>
      </c>
      <c r="F313" s="1746">
        <v>0.15</v>
      </c>
    </row>
    <row r="314" spans="1:6" ht="24.75" thickBot="1">
      <c r="A314" s="1740" t="s">
        <v>1399</v>
      </c>
      <c r="B314" s="1744" t="s">
        <v>2187</v>
      </c>
      <c r="C314" s="1754"/>
      <c r="D314" s="1754"/>
      <c r="E314" s="1754"/>
      <c r="F314" s="1746">
        <v>0.05</v>
      </c>
    </row>
    <row r="315" spans="1:6" ht="24.75" thickBot="1">
      <c r="A315" s="1740" t="s">
        <v>1399</v>
      </c>
      <c r="B315" s="1744" t="s">
        <v>2188</v>
      </c>
      <c r="C315" s="1754"/>
      <c r="D315" s="1754"/>
      <c r="E315" s="1754"/>
      <c r="F315" s="1746">
        <v>0.05</v>
      </c>
    </row>
    <row r="316" spans="1:6" ht="24.75" thickBot="1">
      <c r="A316" s="1748" t="s">
        <v>1399</v>
      </c>
      <c r="B316" s="1755" t="s">
        <v>2189</v>
      </c>
      <c r="C316" s="1751"/>
      <c r="D316" s="1751"/>
      <c r="E316" s="1751"/>
      <c r="F316" s="1756">
        <v>0.05</v>
      </c>
    </row>
    <row r="317" spans="1:6" ht="14.25" thickBot="1">
      <c r="A317" s="1740" t="s">
        <v>2190</v>
      </c>
      <c r="B317" s="1741" t="s">
        <v>2191</v>
      </c>
      <c r="C317" s="1742">
        <v>0.15</v>
      </c>
      <c r="D317" s="1742">
        <v>0.15</v>
      </c>
      <c r="E317" s="1742">
        <v>0.15</v>
      </c>
      <c r="F317" s="1743">
        <v>0.15</v>
      </c>
    </row>
    <row r="318" spans="1:6" ht="14.25" thickBot="1">
      <c r="A318" s="1740" t="s">
        <v>2190</v>
      </c>
      <c r="B318" s="1744" t="s">
        <v>2192</v>
      </c>
      <c r="C318" s="1745">
        <v>0.107</v>
      </c>
      <c r="D318" s="1745">
        <v>0.11</v>
      </c>
      <c r="E318" s="1745">
        <v>0.112</v>
      </c>
      <c r="F318" s="1753"/>
    </row>
    <row r="319" spans="1:6" ht="14.25" thickBot="1">
      <c r="A319" s="1740" t="s">
        <v>2190</v>
      </c>
      <c r="B319" s="1744" t="s">
        <v>2193</v>
      </c>
      <c r="C319" s="1745">
        <v>0.15</v>
      </c>
      <c r="D319" s="1745">
        <v>0.15</v>
      </c>
      <c r="E319" s="1745">
        <v>0.15</v>
      </c>
      <c r="F319" s="1746">
        <v>0.15</v>
      </c>
    </row>
    <row r="320" spans="1:6" ht="14.25" thickBot="1">
      <c r="A320" s="1740" t="s">
        <v>2190</v>
      </c>
      <c r="B320" s="1744" t="s">
        <v>1087</v>
      </c>
      <c r="C320" s="1745">
        <v>0.15</v>
      </c>
      <c r="D320" s="1745">
        <v>0.15</v>
      </c>
      <c r="E320" s="1745">
        <v>0.15</v>
      </c>
      <c r="F320" s="1753"/>
    </row>
    <row r="321" spans="1:6" ht="14.25" thickBot="1">
      <c r="A321" s="1740" t="s">
        <v>2190</v>
      </c>
      <c r="B321" s="1744" t="s">
        <v>2194</v>
      </c>
      <c r="C321" s="1745">
        <v>0.15</v>
      </c>
      <c r="D321" s="1745">
        <v>0.15</v>
      </c>
      <c r="E321" s="1745">
        <v>0.15</v>
      </c>
      <c r="F321" s="1753"/>
    </row>
    <row r="322" spans="1:6" ht="14.25" thickBot="1">
      <c r="A322" s="1740" t="s">
        <v>2190</v>
      </c>
      <c r="B322" s="1744" t="s">
        <v>2195</v>
      </c>
      <c r="C322" s="1745">
        <v>0.15</v>
      </c>
      <c r="D322" s="1745">
        <v>0.15</v>
      </c>
      <c r="E322" s="1745">
        <v>0.15</v>
      </c>
      <c r="F322" s="1746">
        <v>0.15</v>
      </c>
    </row>
    <row r="323" spans="1:6" ht="14.25" thickBot="1">
      <c r="A323" s="1740" t="s">
        <v>2190</v>
      </c>
      <c r="B323" s="1744" t="s">
        <v>2196</v>
      </c>
      <c r="C323" s="1745">
        <v>0.15</v>
      </c>
      <c r="D323" s="1745">
        <v>0.15</v>
      </c>
      <c r="E323" s="1745">
        <v>0.15</v>
      </c>
      <c r="F323" s="1753"/>
    </row>
    <row r="324" spans="1:6" ht="14.25" thickBot="1">
      <c r="A324" s="1740" t="s">
        <v>2190</v>
      </c>
      <c r="B324" s="1744" t="s">
        <v>2197</v>
      </c>
      <c r="C324" s="1745">
        <v>0.15</v>
      </c>
      <c r="D324" s="1745">
        <v>0.15</v>
      </c>
      <c r="E324" s="1745">
        <v>0.15</v>
      </c>
      <c r="F324" s="1753"/>
    </row>
    <row r="325" spans="1:6" ht="14.25" thickBot="1">
      <c r="A325" s="1740" t="s">
        <v>2190</v>
      </c>
      <c r="B325" s="1744" t="s">
        <v>2198</v>
      </c>
      <c r="C325" s="1745">
        <v>0.15</v>
      </c>
      <c r="D325" s="1745">
        <v>0.15</v>
      </c>
      <c r="E325" s="1745">
        <v>0.15</v>
      </c>
      <c r="F325" s="1746">
        <v>0.14699999999999999</v>
      </c>
    </row>
    <row r="326" spans="1:6" ht="14.25" thickBot="1">
      <c r="A326" s="1740" t="s">
        <v>2190</v>
      </c>
      <c r="B326" s="1744" t="s">
        <v>1156</v>
      </c>
      <c r="C326" s="1745">
        <v>0.15</v>
      </c>
      <c r="D326" s="1745">
        <v>0.15</v>
      </c>
      <c r="E326" s="1745">
        <v>0.15</v>
      </c>
      <c r="F326" s="1753"/>
    </row>
    <row r="327" spans="1:6" ht="14.25" thickBot="1">
      <c r="A327" s="1740" t="s">
        <v>2190</v>
      </c>
      <c r="B327" s="1744" t="s">
        <v>2199</v>
      </c>
      <c r="C327" s="1745">
        <v>0.15</v>
      </c>
      <c r="D327" s="1745">
        <v>0.15</v>
      </c>
      <c r="E327" s="1745">
        <v>0.15</v>
      </c>
      <c r="F327" s="1746">
        <v>0.15</v>
      </c>
    </row>
    <row r="328" spans="1:6" ht="14.25" thickBot="1">
      <c r="A328" s="1740" t="s">
        <v>2190</v>
      </c>
      <c r="B328" s="1744" t="s">
        <v>1176</v>
      </c>
      <c r="C328" s="1745">
        <v>0.15</v>
      </c>
      <c r="D328" s="1745">
        <v>0.15</v>
      </c>
      <c r="E328" s="1745">
        <v>0.15</v>
      </c>
      <c r="F328" s="1746">
        <v>0.14099999999999999</v>
      </c>
    </row>
    <row r="329" spans="1:6" ht="14.25" thickBot="1">
      <c r="A329" s="1740" t="s">
        <v>2190</v>
      </c>
      <c r="B329" s="1744" t="s">
        <v>1186</v>
      </c>
      <c r="C329" s="1745">
        <v>0.15</v>
      </c>
      <c r="D329" s="1745">
        <v>0.15</v>
      </c>
      <c r="E329" s="1745">
        <v>0.15</v>
      </c>
      <c r="F329" s="1746">
        <v>0.15</v>
      </c>
    </row>
    <row r="330" spans="1:6" ht="14.25" thickBot="1">
      <c r="A330" s="1740" t="s">
        <v>2190</v>
      </c>
      <c r="B330" s="1744" t="s">
        <v>1196</v>
      </c>
      <c r="C330" s="1745">
        <v>0.15</v>
      </c>
      <c r="D330" s="1745">
        <v>0.15</v>
      </c>
      <c r="E330" s="1745">
        <v>0.15</v>
      </c>
      <c r="F330" s="1753"/>
    </row>
    <row r="331" spans="1:6" ht="14.25" thickBot="1">
      <c r="A331" s="1740" t="s">
        <v>2190</v>
      </c>
      <c r="B331" s="1744" t="s">
        <v>2200</v>
      </c>
      <c r="C331" s="1745">
        <v>0.15</v>
      </c>
      <c r="D331" s="1745">
        <v>0.15</v>
      </c>
      <c r="E331" s="1745">
        <v>0.15</v>
      </c>
      <c r="F331" s="1746">
        <v>0.15</v>
      </c>
    </row>
    <row r="332" spans="1:6" ht="14.25" thickBot="1">
      <c r="A332" s="1740" t="s">
        <v>2190</v>
      </c>
      <c r="B332" s="1744" t="s">
        <v>1216</v>
      </c>
      <c r="C332" s="1745">
        <v>0.15</v>
      </c>
      <c r="D332" s="1745">
        <v>0.15</v>
      </c>
      <c r="E332" s="1745">
        <v>0.15</v>
      </c>
      <c r="F332" s="1746">
        <v>0.15</v>
      </c>
    </row>
    <row r="333" spans="1:6" ht="14.25" thickBot="1">
      <c r="A333" s="1740" t="s">
        <v>2190</v>
      </c>
      <c r="B333" s="1744" t="s">
        <v>2201</v>
      </c>
      <c r="C333" s="1745">
        <v>0.15</v>
      </c>
      <c r="D333" s="1745">
        <v>0.15</v>
      </c>
      <c r="E333" s="1745">
        <v>0.15</v>
      </c>
      <c r="F333" s="1746">
        <v>0.14099999999999999</v>
      </c>
    </row>
    <row r="334" spans="1:6" ht="14.25" thickBot="1">
      <c r="A334" s="1740" t="s">
        <v>2190</v>
      </c>
      <c r="B334" s="1744" t="s">
        <v>1236</v>
      </c>
      <c r="C334" s="1745">
        <v>0.15</v>
      </c>
      <c r="D334" s="1745">
        <v>0.15</v>
      </c>
      <c r="E334" s="1745">
        <v>0.15</v>
      </c>
      <c r="F334" s="1746">
        <v>0.15</v>
      </c>
    </row>
    <row r="335" spans="1:6" ht="14.25" thickBot="1">
      <c r="A335" s="1740" t="s">
        <v>2190</v>
      </c>
      <c r="B335" s="1744" t="s">
        <v>1246</v>
      </c>
      <c r="C335" s="1745">
        <v>0.15</v>
      </c>
      <c r="D335" s="1745">
        <v>0.15</v>
      </c>
      <c r="E335" s="1745">
        <v>0.15</v>
      </c>
      <c r="F335" s="1753"/>
    </row>
    <row r="336" spans="1:6" ht="14.25" thickBot="1">
      <c r="A336" s="1740" t="s">
        <v>2190</v>
      </c>
      <c r="B336" s="1744" t="s">
        <v>2202</v>
      </c>
      <c r="C336" s="1745">
        <v>0.15</v>
      </c>
      <c r="D336" s="1745">
        <v>0.15</v>
      </c>
      <c r="E336" s="1745">
        <v>0.15</v>
      </c>
      <c r="F336" s="1746">
        <v>0.11799999999999999</v>
      </c>
    </row>
    <row r="337" spans="1:6" ht="14.25" thickBot="1">
      <c r="A337" s="1748" t="s">
        <v>2190</v>
      </c>
      <c r="B337" s="1755" t="s">
        <v>1264</v>
      </c>
      <c r="C337" s="1751"/>
      <c r="D337" s="1751"/>
      <c r="E337" s="1751"/>
      <c r="F337" s="1756">
        <v>0.14299999999999999</v>
      </c>
    </row>
    <row r="338" spans="1:6" ht="14.25" thickBot="1">
      <c r="A338" s="1740" t="s">
        <v>2203</v>
      </c>
      <c r="B338" s="1741" t="s">
        <v>2204</v>
      </c>
      <c r="C338" s="1742">
        <v>0.15</v>
      </c>
      <c r="D338" s="1742">
        <v>0.15</v>
      </c>
      <c r="E338" s="1742">
        <v>0.15</v>
      </c>
      <c r="F338" s="1764"/>
    </row>
    <row r="339" spans="1:6" ht="14.25" thickBot="1">
      <c r="A339" s="1740" t="s">
        <v>2203</v>
      </c>
      <c r="B339" s="1744" t="s">
        <v>2205</v>
      </c>
      <c r="C339" s="1745">
        <v>0.15</v>
      </c>
      <c r="D339" s="1745">
        <v>0.15</v>
      </c>
      <c r="E339" s="1745">
        <v>0.15</v>
      </c>
      <c r="F339" s="1753"/>
    </row>
    <row r="340" spans="1:6" ht="14.25" thickBot="1">
      <c r="A340" s="1740" t="s">
        <v>2203</v>
      </c>
      <c r="B340" s="1744" t="s">
        <v>2206</v>
      </c>
      <c r="C340" s="1745">
        <v>0.15</v>
      </c>
      <c r="D340" s="1745">
        <v>0.15</v>
      </c>
      <c r="E340" s="1745">
        <v>0.15</v>
      </c>
      <c r="F340" s="1753"/>
    </row>
    <row r="341" spans="1:6" ht="14.25" thickBot="1">
      <c r="A341" s="1740" t="s">
        <v>2207</v>
      </c>
      <c r="B341" s="1744" t="s">
        <v>2208</v>
      </c>
      <c r="C341" s="1745">
        <v>0.15</v>
      </c>
      <c r="D341" s="1745">
        <v>0.15</v>
      </c>
      <c r="E341" s="1745">
        <v>0.15</v>
      </c>
      <c r="F341" s="1746">
        <v>0.15</v>
      </c>
    </row>
    <row r="342" spans="1:6" ht="14.25" thickBot="1">
      <c r="A342" s="1740" t="s">
        <v>2203</v>
      </c>
      <c r="B342" s="1744" t="s">
        <v>2209</v>
      </c>
      <c r="C342" s="1745">
        <v>0.15</v>
      </c>
      <c r="D342" s="1745">
        <v>0.15</v>
      </c>
      <c r="E342" s="1745">
        <v>0.15</v>
      </c>
      <c r="F342" s="1746">
        <v>0.15</v>
      </c>
    </row>
    <row r="343" spans="1:6" ht="14.25" thickBot="1">
      <c r="A343" s="1740" t="s">
        <v>2203</v>
      </c>
      <c r="B343" s="1744" t="s">
        <v>2210</v>
      </c>
      <c r="C343" s="1745">
        <v>0.15</v>
      </c>
      <c r="D343" s="1745">
        <v>0.15</v>
      </c>
      <c r="E343" s="1745">
        <v>0.15</v>
      </c>
      <c r="F343" s="1746">
        <v>0.15</v>
      </c>
    </row>
    <row r="344" spans="1:6" ht="14.25" thickBot="1">
      <c r="A344" s="1748" t="s">
        <v>2203</v>
      </c>
      <c r="B344" s="1755" t="s">
        <v>2211</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P6" sqref="P6:P15"/>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01" t="s">
        <v>2475</v>
      </c>
      <c r="C1" s="3701"/>
      <c r="D1" s="3701"/>
      <c r="E1" s="3701"/>
      <c r="F1" s="3701"/>
      <c r="G1" s="3700" t="s">
        <v>2476</v>
      </c>
      <c r="H1" s="3700"/>
      <c r="I1" s="3700"/>
      <c r="J1" s="3700"/>
      <c r="K1" s="3700"/>
      <c r="L1" s="3700"/>
      <c r="N1" s="3700" t="s">
        <v>2477</v>
      </c>
      <c r="O1" s="3700"/>
      <c r="P1" s="3700"/>
      <c r="Q1" s="3700"/>
      <c r="S1" s="3700" t="s">
        <v>2478</v>
      </c>
      <c r="T1" s="3700"/>
      <c r="U1" s="3700"/>
      <c r="V1" s="3700"/>
      <c r="X1" s="3699" t="s">
        <v>2538</v>
      </c>
      <c r="Y1" s="3700"/>
      <c r="Z1" s="3700"/>
      <c r="AA1" s="3700"/>
      <c r="AB1" s="3700"/>
      <c r="AD1" s="3699" t="s">
        <v>2542</v>
      </c>
      <c r="AE1" s="3700"/>
      <c r="AF1" s="3700"/>
      <c r="AG1" s="3700"/>
      <c r="AH1" s="3700"/>
    </row>
    <row r="2" spans="1:34" s="2799" customFormat="1" ht="14.25" thickBot="1">
      <c r="B2" s="2800" t="s">
        <v>2479</v>
      </c>
      <c r="C2" s="2800" t="s">
        <v>2540</v>
      </c>
      <c r="D2" s="2801" t="s">
        <v>1624</v>
      </c>
      <c r="E2" s="2801" t="s">
        <v>1923</v>
      </c>
      <c r="F2" s="2800" t="s">
        <v>2541</v>
      </c>
      <c r="G2" s="2802"/>
      <c r="I2" s="2800" t="s">
        <v>2833</v>
      </c>
      <c r="J2" s="2801" t="s">
        <v>2835</v>
      </c>
      <c r="K2" s="2801" t="s">
        <v>2836</v>
      </c>
      <c r="L2" s="2800" t="s">
        <v>2837</v>
      </c>
      <c r="N2" s="2800" t="s">
        <v>2479</v>
      </c>
      <c r="O2" s="2801" t="s">
        <v>2834</v>
      </c>
      <c r="P2" s="2801" t="s">
        <v>1923</v>
      </c>
      <c r="Q2" s="2800" t="s">
        <v>2541</v>
      </c>
      <c r="S2" s="2800" t="s">
        <v>2479</v>
      </c>
      <c r="T2" s="2801" t="s">
        <v>2834</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2844</v>
      </c>
      <c r="B3" s="2804"/>
      <c r="C3" s="2804"/>
      <c r="D3" s="2805"/>
      <c r="E3" s="2805"/>
      <c r="F3" s="2804"/>
      <c r="G3" s="2806"/>
      <c r="H3" s="2807"/>
      <c r="I3" s="2808">
        <f>ROUND(AVERAGE($I4:$I37),2)</f>
        <v>1.64</v>
      </c>
      <c r="J3" s="2808">
        <f>ROUND(AVERAGE($J4:$J37),2)</f>
        <v>1.03</v>
      </c>
      <c r="K3" s="2808">
        <f>ROUND(AVERAGE($K4:$K37),2)</f>
        <v>1.81</v>
      </c>
      <c r="L3" s="2808">
        <f>ROUND(AVERAGE($L4:$L37),2)</f>
        <v>1.2</v>
      </c>
      <c r="N3" s="2806"/>
      <c r="S3" s="2806"/>
      <c r="W3" s="2810"/>
      <c r="X3" s="2811">
        <f>ROUND(SUMPRODUCT(PRODUCT(1+N3:N$36)),4)</f>
        <v>1.6585000000000001</v>
      </c>
      <c r="Y3" s="2811">
        <f>ROUND(SUMPRODUCT(PRODUCT(1+O3:O$36)),4)</f>
        <v>1.3676999999999999</v>
      </c>
      <c r="Z3" s="2811">
        <f t="shared" ref="Z3:Z34" si="0">Y3</f>
        <v>1.3676999999999999</v>
      </c>
      <c r="AA3" s="2811">
        <f>ROUND(SUMPRODUCT(PRODUCT(1+P3:P$36)),4)</f>
        <v>1.7434000000000001</v>
      </c>
      <c r="AB3" s="2811">
        <f>ROUND(SUMPRODUCT(PRODUCT(1+Q3:Q$36)),4)</f>
        <v>1.4609000000000001</v>
      </c>
      <c r="AD3" s="2812">
        <f>ROUND(AVERAGE(I3:I$37)/100,4)</f>
        <v>1.6400000000000001E-2</v>
      </c>
      <c r="AE3" s="2812">
        <f>ROUND(AVERAGE(J3:J$37)/100,4)</f>
        <v>1.03E-2</v>
      </c>
      <c r="AF3" s="2812">
        <f t="shared" ref="AF3:AF35" si="1">AE3</f>
        <v>1.03E-2</v>
      </c>
      <c r="AG3" s="2812">
        <f>ROUND(AVERAGE(K3:K$37)/100,4)</f>
        <v>1.8100000000000002E-2</v>
      </c>
      <c r="AH3" s="2812">
        <f>ROUND(AVERAGE(L3:L$37)/100,4)</f>
        <v>1.2E-2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3066</v>
      </c>
      <c r="B5" s="2823">
        <f t="shared" ref="B5" si="2">B6*(1+N5)</f>
        <v>510.07089659554606</v>
      </c>
      <c r="C5" s="2823">
        <f t="shared" ref="C5" si="3">C6*(1+O5)</f>
        <v>352.55593185737411</v>
      </c>
      <c r="D5" s="2823">
        <f t="shared" ref="D5" si="4">C5</f>
        <v>352.55593185737411</v>
      </c>
      <c r="E5" s="2823">
        <f t="shared" ref="E5" si="5">E6*(1+P5)</f>
        <v>737.27992463403655</v>
      </c>
      <c r="F5" s="2823">
        <f t="shared" ref="F5" si="6">F6*(1+Q5)</f>
        <v>335.88319198297864</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2845</v>
      </c>
      <c r="X5" s="2830">
        <f>ROUND(IF(项目基本情况!B1="出让",SUMPRODUCT(PRODUCT(1+N5:N$37)),SUMPRODUCT(PRODUCT(1+N5:N$36))),4)</f>
        <v>1.6585000000000001</v>
      </c>
      <c r="Y5" s="2830">
        <f>ROUND(IF(项目基本情况!B1="出让",SUMPRODUCT(PRODUCT(1+O5:O$37)),SUMPRODUCT(PRODUCT(1+O5:O$36))),4)</f>
        <v>1.3676999999999999</v>
      </c>
      <c r="Z5" s="2830">
        <f t="shared" ref="Z5" si="11">Y5</f>
        <v>1.3676999999999999</v>
      </c>
      <c r="AA5" s="2830">
        <f>ROUND(IF(项目基本情况!B1="出让",SUMPRODUCT(PRODUCT(1+P5:P$37)),SUMPRODUCT(PRODUCT(1+P5:P$36))),4)</f>
        <v>1.7434000000000001</v>
      </c>
      <c r="AB5" s="2830">
        <f>ROUND(IF(项目基本情况!B1="出让",SUMPRODUCT(PRODUCT(1+Q5:Q$37)),SUMPRODUCT(PRODUCT(1+Q5:Q$36))),4)</f>
        <v>1.4609000000000001</v>
      </c>
      <c r="AD5" s="2831">
        <f>ROUND(AVERAGE(I5:I$37)/100,4)</f>
        <v>1.6400000000000001E-2</v>
      </c>
      <c r="AE5" s="2831">
        <f>ROUND(AVERAGE(J5:J$37)/100,4)</f>
        <v>1.03E-2</v>
      </c>
      <c r="AF5" s="2831">
        <f t="shared" ref="AF5" si="12">AE5</f>
        <v>1.03E-2</v>
      </c>
      <c r="AG5" s="2831">
        <f>ROUND(AVERAGE(K5:K$37)/100,4)</f>
        <v>1.8100000000000002E-2</v>
      </c>
      <c r="AH5" s="2831">
        <f>ROUND(AVERAGE(L5:L$37)/100,4)</f>
        <v>1.2E-2</v>
      </c>
    </row>
    <row r="6" spans="1:34" s="2839" customFormat="1">
      <c r="A6" s="2832" t="s">
        <v>2915</v>
      </c>
      <c r="B6" s="2833">
        <f t="shared" ref="B6" si="13">B7*(1+N6)</f>
        <v>510.07089659554606</v>
      </c>
      <c r="C6" s="2833">
        <f t="shared" ref="C6" si="14">C7*(1+O6)</f>
        <v>352.55593185737411</v>
      </c>
      <c r="D6" s="2833">
        <f t="shared" ref="D6" si="15">C6</f>
        <v>352.55593185737411</v>
      </c>
      <c r="E6" s="2833">
        <f t="shared" ref="E6" si="16">E7*(1+P6)</f>
        <v>737.27992463403655</v>
      </c>
      <c r="F6" s="2833">
        <f t="shared" ref="F6" si="17">F7*(1+Q6)</f>
        <v>335.88319198297864</v>
      </c>
      <c r="G6" s="2816">
        <v>2021</v>
      </c>
      <c r="H6" s="2834">
        <v>4</v>
      </c>
      <c r="I6" s="2796">
        <v>1.03</v>
      </c>
      <c r="J6" s="2796">
        <v>0.24</v>
      </c>
      <c r="K6" s="2796">
        <v>1.17</v>
      </c>
      <c r="L6" s="2797">
        <v>0.55000000000000004</v>
      </c>
      <c r="M6" s="2820"/>
      <c r="N6" s="2835">
        <f t="shared" ref="N6" si="18">I6/100</f>
        <v>1.03E-2</v>
      </c>
      <c r="O6" s="2821">
        <f t="shared" ref="O6" si="19">J6/100</f>
        <v>2.3999999999999998E-3</v>
      </c>
      <c r="P6" s="2821">
        <f t="shared" ref="P6" si="20">K6/100</f>
        <v>1.1699999999999999E-2</v>
      </c>
      <c r="Q6" s="2821">
        <f t="shared" ref="Q6" si="21">L6/100</f>
        <v>5.5000000000000005E-3</v>
      </c>
      <c r="R6" s="2836"/>
      <c r="S6" s="2837">
        <f>B6/B7-1</f>
        <v>1.0299999999999976E-2</v>
      </c>
      <c r="T6" s="2838">
        <f>C6/C7-1</f>
        <v>2.3999999999999577E-3</v>
      </c>
      <c r="U6" s="2838">
        <f>E6/E7-1</f>
        <v>1.1700000000000044E-2</v>
      </c>
      <c r="V6" s="2838">
        <f>F6/F7-1</f>
        <v>5.5000000000000604E-3</v>
      </c>
      <c r="W6" s="2820"/>
      <c r="X6" s="2820">
        <f>ROUND(IF(项目基本情况!B2="出让",SUMPRODUCT(PRODUCT(1+N6:N$37)),SUMPRODUCT(PRODUCT(1+N6:N$36))),4)</f>
        <v>1.6585000000000001</v>
      </c>
      <c r="Y6" s="2820">
        <f>ROUND(IF(项目基本情况!B2="出让",SUMPRODUCT(PRODUCT(1+O6:O$37)),SUMPRODUCT(PRODUCT(1+O6:O$36))),4)</f>
        <v>1.3676999999999999</v>
      </c>
      <c r="Z6" s="2820">
        <f t="shared" ref="Z6" si="22">Y6</f>
        <v>1.3676999999999999</v>
      </c>
      <c r="AA6" s="2820">
        <f>ROUND(IF(项目基本情况!B2="出让",SUMPRODUCT(PRODUCT(1+P6:P$37)),SUMPRODUCT(PRODUCT(1+P6:P$36))),4)</f>
        <v>1.7434000000000001</v>
      </c>
      <c r="AB6" s="2820">
        <f>ROUND(IF(项目基本情况!B2="出让",SUMPRODUCT(PRODUCT(1+Q6:Q$37)),SUMPRODUCT(PRODUCT(1+Q6:Q$36))),4)</f>
        <v>1.4609000000000001</v>
      </c>
      <c r="AC6" s="2820"/>
      <c r="AD6" s="2821">
        <f>ROUND(AVERAGE(I6:I$37)/100,4)</f>
        <v>1.6899999999999998E-2</v>
      </c>
      <c r="AE6" s="2821">
        <f>ROUND(AVERAGE(J6:J$37)/100,4)</f>
        <v>1.06E-2</v>
      </c>
      <c r="AF6" s="2821">
        <f t="shared" ref="AF6" si="23">AE6</f>
        <v>1.06E-2</v>
      </c>
      <c r="AG6" s="2821">
        <f>ROUND(AVERAGE(K6:K$37)/100,4)</f>
        <v>1.8700000000000001E-2</v>
      </c>
      <c r="AH6" s="2821">
        <f>ROUND(AVERAGE(L6:L$37)/100,4)</f>
        <v>1.24E-2</v>
      </c>
    </row>
    <row r="7" spans="1:34" s="2839" customFormat="1">
      <c r="A7" s="2832" t="s">
        <v>2914</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2913</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2912</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2910</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2909</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2873</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2871</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2868</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2867</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2864</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2863</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2861</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03">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2854</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03"/>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2855</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03"/>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2851</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09"/>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2843</v>
      </c>
      <c r="B22" s="2849">
        <v>439</v>
      </c>
      <c r="C22" s="2849">
        <v>327</v>
      </c>
      <c r="D22" s="2849">
        <f t="shared" si="175"/>
        <v>327</v>
      </c>
      <c r="E22" s="2849">
        <v>627</v>
      </c>
      <c r="F22" s="2850">
        <v>283</v>
      </c>
      <c r="G22" s="3708">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2846</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03"/>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03"/>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09"/>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08">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03"/>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03"/>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04"/>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02">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03"/>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03"/>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04"/>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02">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03"/>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03"/>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04"/>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05">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06"/>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06"/>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07"/>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02">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03"/>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03"/>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04"/>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02">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03">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03">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04">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02">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03">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03">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04">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02">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03">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03">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04">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02">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03">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03">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04">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02">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03">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03">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04">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02">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03">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03">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04">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02">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03">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03">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04">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02">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03">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03">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04">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02">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03">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03">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04">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02">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03">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03">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04">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2827</v>
      </c>
      <c r="B1" s="3178"/>
      <c r="C1" s="3178"/>
      <c r="D1" s="3178"/>
      <c r="E1" s="3178"/>
      <c r="F1" s="3178"/>
      <c r="G1" s="3179"/>
      <c r="H1" s="3179"/>
      <c r="I1" s="3179"/>
      <c r="J1" s="3179"/>
      <c r="K1" s="3179"/>
      <c r="L1" s="3179"/>
      <c r="M1" s="3179"/>
      <c r="N1" s="3179"/>
    </row>
    <row r="2" spans="1:14" ht="14.25">
      <c r="A2" s="3184" t="s">
        <v>2822</v>
      </c>
      <c r="B2" s="3189">
        <f ca="1">SUMIF(B7:B14,"&lt;&gt;#ref!",B7:B14)</f>
        <v>0</v>
      </c>
      <c r="C2" s="3184" t="s">
        <v>2823</v>
      </c>
      <c r="D2" s="3181"/>
      <c r="E2" s="3181"/>
      <c r="F2" s="3181"/>
      <c r="G2" s="3179"/>
      <c r="H2" s="3179"/>
      <c r="I2" s="3179"/>
      <c r="J2" s="3179"/>
      <c r="K2" s="3179"/>
      <c r="L2" s="3179"/>
      <c r="M2" s="3179"/>
      <c r="N2" s="3179"/>
    </row>
    <row r="3" spans="1:14" ht="14.25">
      <c r="A3" s="3184" t="s">
        <v>2852</v>
      </c>
      <c r="B3" s="3189" t="e">
        <f ca="1">ROUND(B2*10000/E3,0)</f>
        <v>#DIV/0!</v>
      </c>
      <c r="C3" s="3184" t="s">
        <v>2052</v>
      </c>
      <c r="D3" s="3184" t="s">
        <v>2824</v>
      </c>
      <c r="E3" s="3182">
        <f ca="1">SUMIF(E7:E14,"&lt;&gt;#ref!",E7:E14)</f>
        <v>0</v>
      </c>
      <c r="F3" s="3181"/>
      <c r="G3" s="3179"/>
      <c r="H3" s="3179"/>
      <c r="I3" s="3179"/>
      <c r="J3" s="3179"/>
      <c r="K3" s="3179"/>
      <c r="L3" s="3179"/>
      <c r="M3" s="3179"/>
      <c r="N3" s="3179"/>
    </row>
    <row r="4" spans="1:14" ht="14.25">
      <c r="A4" s="3184" t="s">
        <v>2830</v>
      </c>
      <c r="B4" s="3189" t="e">
        <f ca="1">ROUND(B2*10000/E4,0)</f>
        <v>#DIV/0!</v>
      </c>
      <c r="C4" s="3184" t="s">
        <v>2052</v>
      </c>
      <c r="D4" s="3184" t="s">
        <v>2831</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2828</v>
      </c>
      <c r="B6" s="3184" t="s">
        <v>2825</v>
      </c>
      <c r="C6" s="2724"/>
      <c r="D6" s="3181"/>
      <c r="E6" s="3184" t="s">
        <v>2826</v>
      </c>
      <c r="F6" s="3184" t="s">
        <v>2829</v>
      </c>
      <c r="G6" s="3179"/>
      <c r="H6" s="3179"/>
      <c r="I6" s="3179"/>
      <c r="J6" s="3179"/>
      <c r="K6" s="3179"/>
      <c r="L6" s="3179"/>
      <c r="M6" s="3179"/>
      <c r="N6" s="3179"/>
    </row>
    <row r="7" spans="1:14" ht="14.25">
      <c r="A7" s="3187"/>
      <c r="B7" s="3189" t="e">
        <f ca="1">SUMIF(INDIRECT("'"&amp;A7&amp;"'"&amp;"!A:A"),"总价",INDIRECT("'"&amp;A7&amp;"'"&amp;"!B:B"))</f>
        <v>#REF!</v>
      </c>
      <c r="C7" s="3184" t="s">
        <v>2823</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2823</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2823</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2823</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2823</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2823</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2823</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2823</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5" t="s">
        <v>611</v>
      </c>
      <c r="B1" s="713"/>
      <c r="C1" s="746"/>
      <c r="D1" s="1903"/>
      <c r="E1" s="2212" t="s">
        <v>2343</v>
      </c>
      <c r="F1" s="2213">
        <f ca="1">J54</f>
        <v>-2</v>
      </c>
      <c r="G1" s="747">
        <f>MATCH(C1,'数据-取费表'!A6:A16,0)+5</f>
        <v>9</v>
      </c>
      <c r="H1" s="1275"/>
      <c r="I1" s="1904"/>
      <c r="J1" s="1904"/>
      <c r="K1" s="1905"/>
      <c r="L1" s="1904"/>
      <c r="M1" s="1904"/>
      <c r="N1" s="1906"/>
      <c r="O1" s="1906"/>
      <c r="P1" s="1906"/>
      <c r="Q1" s="1906"/>
      <c r="R1" s="1906"/>
      <c r="S1" s="1906"/>
      <c r="T1" s="1906"/>
      <c r="U1" s="1906"/>
      <c r="V1" s="1906"/>
      <c r="W1" s="1906"/>
      <c r="X1" s="1906"/>
      <c r="Y1" s="1906"/>
    </row>
    <row r="2" spans="1:25" ht="18" customHeight="1">
      <c r="A2" s="1544" t="s">
        <v>612</v>
      </c>
      <c r="B2" s="748">
        <f ca="1">IF(ISERROR(C45+J31),0,C45+J31)</f>
        <v>0</v>
      </c>
      <c r="C2" s="1276"/>
      <c r="D2" s="1908"/>
      <c r="E2" s="1909"/>
      <c r="F2" s="1909"/>
      <c r="G2" s="1497"/>
      <c r="H2" s="1288"/>
      <c r="I2" s="1910"/>
      <c r="J2" s="1910"/>
      <c r="K2" s="1911"/>
      <c r="L2" s="1910"/>
      <c r="M2" s="1910"/>
    </row>
    <row r="3" spans="1:25" ht="18" customHeight="1">
      <c r="A3" s="1545" t="s">
        <v>1666</v>
      </c>
      <c r="B3" s="1312">
        <f ca="1">ROUND(B2*10000/'数据-汇总表'!E3,0)</f>
        <v>0</v>
      </c>
      <c r="C3" s="1276"/>
      <c r="D3" s="1908"/>
      <c r="E3" s="1909"/>
      <c r="F3" s="1909"/>
      <c r="G3" s="1497"/>
      <c r="H3" s="749" t="s">
        <v>678</v>
      </c>
      <c r="I3" s="1910"/>
      <c r="J3" s="1910"/>
      <c r="K3" s="1911"/>
      <c r="L3" s="1910"/>
      <c r="M3" s="1910"/>
    </row>
    <row r="4" spans="1:25" ht="18" customHeight="1">
      <c r="A4" s="1546" t="s">
        <v>679</v>
      </c>
      <c r="B4" s="1277">
        <f ca="1">ROUND(B2*10000/'数据-汇总表'!D3,0)</f>
        <v>0</v>
      </c>
      <c r="C4" s="422"/>
      <c r="D4" s="1908"/>
      <c r="E4" s="1909"/>
      <c r="F4" s="1909"/>
      <c r="G4" s="1497"/>
      <c r="H4" s="749"/>
      <c r="I4" s="1910"/>
      <c r="J4" s="1910"/>
      <c r="K4" s="1911"/>
      <c r="L4" s="1910"/>
      <c r="M4" s="1910"/>
    </row>
    <row r="5" spans="1:25" ht="18" customHeight="1" thickBot="1">
      <c r="A5" s="1547"/>
      <c r="B5" s="424">
        <f ca="1">ROUND(B2/('数据-汇总表'!D3/666.67),0)</f>
        <v>0</v>
      </c>
      <c r="C5" s="425" t="s">
        <v>680</v>
      </c>
      <c r="D5" s="1908"/>
      <c r="E5" s="1909"/>
      <c r="F5" s="1909"/>
      <c r="G5" s="1497"/>
      <c r="H5" s="749"/>
      <c r="I5" s="1910"/>
      <c r="J5" s="1910"/>
      <c r="K5" s="1911"/>
      <c r="L5" s="1910"/>
      <c r="M5" s="1910"/>
    </row>
    <row r="6" spans="1:25" ht="18" customHeight="1">
      <c r="A6" s="1714" t="s">
        <v>681</v>
      </c>
      <c r="B6" s="1706" t="s">
        <v>682</v>
      </c>
      <c r="C6" s="1706" t="s">
        <v>615</v>
      </c>
      <c r="D6" s="1706" t="s">
        <v>616</v>
      </c>
      <c r="E6" s="752" t="s">
        <v>617</v>
      </c>
      <c r="F6" s="753"/>
      <c r="G6" s="1499"/>
      <c r="H6" s="1714" t="s">
        <v>613</v>
      </c>
      <c r="I6" s="1706" t="s">
        <v>614</v>
      </c>
      <c r="J6" s="1706" t="s">
        <v>615</v>
      </c>
      <c r="K6" s="1706" t="s">
        <v>616</v>
      </c>
      <c r="L6" s="752" t="s">
        <v>617</v>
      </c>
      <c r="M6" s="753"/>
    </row>
    <row r="7" spans="1:25" ht="18" customHeight="1">
      <c r="A7" s="754">
        <v>1</v>
      </c>
      <c r="B7" s="755" t="s">
        <v>2419</v>
      </c>
      <c r="C7" s="53">
        <f ca="1">C8+C12+C14</f>
        <v>0</v>
      </c>
      <c r="D7" s="2317" t="s">
        <v>2422</v>
      </c>
      <c r="E7" s="2311"/>
      <c r="F7" s="2312"/>
      <c r="G7" s="1499"/>
      <c r="H7" s="754">
        <v>1</v>
      </c>
      <c r="I7" s="755" t="s">
        <v>2419</v>
      </c>
      <c r="J7" s="53">
        <f ca="1">J8+J12+J14</f>
        <v>0</v>
      </c>
      <c r="K7" s="2317" t="s">
        <v>2422</v>
      </c>
      <c r="L7" s="2311"/>
      <c r="M7" s="2312"/>
    </row>
    <row r="8" spans="1:25" ht="18" customHeight="1">
      <c r="A8" s="1716" t="s">
        <v>1804</v>
      </c>
      <c r="B8" s="3711" t="s">
        <v>2424</v>
      </c>
      <c r="C8" s="1711">
        <f ca="1">ROUND(F8*F10*F9*(1-F11)/10000,0)</f>
        <v>0</v>
      </c>
      <c r="D8" s="1708" t="s">
        <v>2434</v>
      </c>
      <c r="E8" s="61" t="s">
        <v>620</v>
      </c>
      <c r="F8" s="758">
        <f ca="1">INDIRECT("'数据-取费表'!u"&amp;$G$1)</f>
        <v>0</v>
      </c>
      <c r="G8" s="1499"/>
      <c r="H8" s="2325" t="s">
        <v>1804</v>
      </c>
      <c r="I8" s="3711" t="s">
        <v>2424</v>
      </c>
      <c r="J8" s="756">
        <f ca="1">ROUND(M8*M10*M9*(1-M11)/10000,0)</f>
        <v>0</v>
      </c>
      <c r="K8" s="339" t="s">
        <v>2434</v>
      </c>
      <c r="L8" s="757" t="s">
        <v>1718</v>
      </c>
      <c r="M8" s="758">
        <f ca="1">INDIRECT("'数据-取费表'!z"&amp;$G$1)</f>
        <v>0</v>
      </c>
    </row>
    <row r="9" spans="1:25" ht="18" customHeight="1">
      <c r="A9" s="2321"/>
      <c r="B9" s="3712"/>
      <c r="C9" s="1712"/>
      <c r="D9" s="1709"/>
      <c r="E9" s="61" t="s">
        <v>621</v>
      </c>
      <c r="F9" s="758">
        <f ca="1">IF(INDIRECT("'数据-取费表'!ah"&amp;$G$1)="",INDIRECT("'数据-取费表'!k"&amp;$G$1),INDIRECT("'数据-取费表'!ah"&amp;$G$1))</f>
        <v>0</v>
      </c>
      <c r="G9" s="1499"/>
      <c r="H9" s="2310"/>
      <c r="I9" s="3712"/>
      <c r="J9" s="761"/>
      <c r="K9" s="762"/>
      <c r="L9" s="757" t="s">
        <v>1719</v>
      </c>
      <c r="M9" s="758">
        <f ca="1">F9</f>
        <v>0</v>
      </c>
    </row>
    <row r="10" spans="1:25" ht="18" customHeight="1">
      <c r="A10" s="2314"/>
      <c r="B10" s="3713"/>
      <c r="C10" s="1712"/>
      <c r="D10" s="1709"/>
      <c r="E10" s="61" t="s">
        <v>622</v>
      </c>
      <c r="F10" s="758">
        <f ca="1">INDIRECT("'数据-取费表'!ai"&amp;$G$1)</f>
        <v>0</v>
      </c>
      <c r="G10" s="1499"/>
      <c r="H10" s="2310"/>
      <c r="I10" s="3713"/>
      <c r="J10" s="761"/>
      <c r="K10" s="762"/>
      <c r="L10" s="757" t="s">
        <v>1720</v>
      </c>
      <c r="M10" s="758">
        <f ca="1">INDIRECT("'数据-取费表'!ai"&amp;$G$1)</f>
        <v>0</v>
      </c>
    </row>
    <row r="11" spans="1:25" ht="18" customHeight="1">
      <c r="A11" s="759"/>
      <c r="B11" s="3714"/>
      <c r="C11" s="1712"/>
      <c r="D11" s="1709"/>
      <c r="E11" s="61" t="s">
        <v>623</v>
      </c>
      <c r="F11" s="767">
        <f ca="1">INDIRECT("'数据-取费表'!w"&amp;$G$1)</f>
        <v>0</v>
      </c>
      <c r="G11" s="1499"/>
      <c r="H11" s="2326"/>
      <c r="I11" s="3713"/>
      <c r="J11" s="761"/>
      <c r="K11" s="762"/>
      <c r="L11" s="768" t="s">
        <v>1721</v>
      </c>
      <c r="M11" s="769">
        <f ca="1">INDIRECT("'数据-取费表'!ab"&amp;$G$1)</f>
        <v>0</v>
      </c>
    </row>
    <row r="12" spans="1:25" ht="18" customHeight="1">
      <c r="A12" s="1716" t="s">
        <v>1805</v>
      </c>
      <c r="B12" s="2315" t="s">
        <v>2420</v>
      </c>
      <c r="C12" s="772">
        <f ca="1">ROUND(IF(F12="押一",C8/12*F13,IF(F12="押二",C8/12*2*F13,IF(F12="押三",C8/12*3*F13,C13*F13))),0)</f>
        <v>0</v>
      </c>
      <c r="D12" s="2322" t="s">
        <v>2849</v>
      </c>
      <c r="E12" s="2319" t="s">
        <v>2425</v>
      </c>
      <c r="F12" s="2403"/>
      <c r="G12" s="1499"/>
      <c r="H12" s="2353" t="s">
        <v>1805</v>
      </c>
      <c r="I12" s="2358" t="s">
        <v>2420</v>
      </c>
      <c r="J12" s="756">
        <f ca="1">ROUND(IF(M12="押一",J8/12*M13,IF(M12="押二",J8/12*2*M13,IF(M12="押三",J8/12*3*M13,J13*M13))),0)</f>
        <v>0</v>
      </c>
      <c r="K12" s="2322" t="s">
        <v>2849</v>
      </c>
      <c r="L12" s="2319" t="s">
        <v>2425</v>
      </c>
      <c r="M12" s="2403"/>
    </row>
    <row r="13" spans="1:25" ht="18" customHeight="1">
      <c r="A13" s="763"/>
      <c r="B13" s="2316" t="s">
        <v>2473</v>
      </c>
      <c r="C13" s="2320"/>
      <c r="D13" s="762"/>
      <c r="E13" s="2319" t="s">
        <v>2418</v>
      </c>
      <c r="F13" s="769">
        <f ca="1">'数据-取费表'!B39</f>
        <v>1.4999999999999999E-2</v>
      </c>
      <c r="G13" s="1499"/>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499"/>
      <c r="H14" s="2343" t="s">
        <v>2428</v>
      </c>
      <c r="I14" s="2356" t="s">
        <v>2421</v>
      </c>
      <c r="J14" s="2357"/>
      <c r="K14" s="2332"/>
      <c r="L14" s="2333"/>
      <c r="M14" s="2346"/>
    </row>
    <row r="15" spans="1:25" ht="18" customHeight="1" thickTop="1">
      <c r="A15" s="1715" t="s">
        <v>1850</v>
      </c>
      <c r="B15" s="1713" t="s">
        <v>624</v>
      </c>
      <c r="C15" s="765">
        <f ca="1">ROUND(C31*F15,0)</f>
        <v>0</v>
      </c>
      <c r="D15" s="1720" t="s">
        <v>625</v>
      </c>
      <c r="E15" s="768" t="s">
        <v>626</v>
      </c>
      <c r="F15" s="773">
        <f ca="1">INDIRECT("'数据-取费表'!y"&amp;$G$1)</f>
        <v>0</v>
      </c>
      <c r="G15" s="1499"/>
      <c r="H15" s="1715" t="s">
        <v>1806</v>
      </c>
      <c r="I15" s="1713" t="s">
        <v>627</v>
      </c>
      <c r="J15" s="1705">
        <f ca="1">ROUND(J16*J17,0)</f>
        <v>0</v>
      </c>
      <c r="K15" s="1707" t="s">
        <v>625</v>
      </c>
      <c r="L15" s="774"/>
      <c r="M15" s="775"/>
    </row>
    <row r="16" spans="1:25" ht="18" customHeight="1">
      <c r="A16" s="776" t="s">
        <v>1851</v>
      </c>
      <c r="B16" s="757" t="s">
        <v>628</v>
      </c>
      <c r="C16" s="777">
        <f ca="1">INDIRECT("'数据-取费表'!m"&amp;$G$1)+INDIRECT("'数据-取费表'!t"&amp;$G$1)</f>
        <v>0</v>
      </c>
      <c r="D16" s="1863" t="s">
        <v>629</v>
      </c>
      <c r="E16" s="1864"/>
      <c r="F16" s="778"/>
      <c r="G16" s="1499"/>
      <c r="H16" s="776" t="s">
        <v>2043</v>
      </c>
      <c r="I16" s="2081" t="s">
        <v>2723</v>
      </c>
      <c r="J16" s="53">
        <f ca="1">C31</f>
        <v>0</v>
      </c>
      <c r="K16" s="26"/>
      <c r="L16" s="774"/>
      <c r="M16" s="775"/>
    </row>
    <row r="17" spans="1:25" s="1917" customFormat="1" ht="18" customHeight="1">
      <c r="A17" s="776" t="s">
        <v>1829</v>
      </c>
      <c r="B17" s="757" t="s">
        <v>630</v>
      </c>
      <c r="C17" s="53">
        <f ca="1">ROUND(C16*F17,0)</f>
        <v>0</v>
      </c>
      <c r="D17" s="779" t="s">
        <v>631</v>
      </c>
      <c r="E17" s="779" t="s">
        <v>632</v>
      </c>
      <c r="F17" s="780">
        <f>'数据-取费表'!B33</f>
        <v>0.03</v>
      </c>
      <c r="G17" s="1500"/>
      <c r="H17" s="776" t="s">
        <v>2044</v>
      </c>
      <c r="I17" s="757" t="s">
        <v>626</v>
      </c>
      <c r="J17" s="781">
        <f ca="1">INDIRECT("'数据-取费表'!ad"&amp;$G$1)</f>
        <v>0</v>
      </c>
      <c r="K17" s="26"/>
      <c r="L17" s="774"/>
      <c r="M17" s="775"/>
      <c r="N17" s="1916"/>
      <c r="O17" s="1916"/>
      <c r="P17" s="1916"/>
      <c r="Q17" s="1916"/>
      <c r="R17" s="1916"/>
      <c r="S17" s="1916"/>
      <c r="T17" s="1916"/>
      <c r="U17" s="1916"/>
      <c r="V17" s="1916"/>
      <c r="W17" s="1916"/>
      <c r="X17" s="1916"/>
      <c r="Y17" s="1916"/>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6"/>
      <c r="M18" s="56"/>
    </row>
    <row r="19" spans="1:25" s="1917"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3" t="s">
        <v>640</v>
      </c>
      <c r="L19" s="1861" t="s">
        <v>641</v>
      </c>
      <c r="M19" s="295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1" t="s">
        <v>644</v>
      </c>
      <c r="L20" s="757" t="s">
        <v>632</v>
      </c>
      <c r="M20" s="782">
        <f>'数据-取费表'!B41</f>
        <v>5.5000000000000007E-2</v>
      </c>
      <c r="N20" s="1916"/>
      <c r="O20" s="1916"/>
      <c r="P20" s="1916"/>
      <c r="Q20" s="1916"/>
      <c r="R20" s="1916"/>
      <c r="S20" s="1916"/>
      <c r="T20" s="1916"/>
      <c r="U20" s="1916"/>
      <c r="V20" s="1916"/>
      <c r="W20" s="1916"/>
      <c r="X20" s="1916"/>
      <c r="Y20" s="1916"/>
    </row>
    <row r="21" spans="1:25" ht="18" customHeight="1">
      <c r="A21" s="776" t="s">
        <v>1852</v>
      </c>
      <c r="B21" s="757" t="s">
        <v>645</v>
      </c>
      <c r="C21" s="53">
        <f ca="1">SUM(C16:C20)</f>
        <v>0</v>
      </c>
      <c r="D21" s="259" t="s">
        <v>646</v>
      </c>
      <c r="E21" s="1866"/>
      <c r="F21" s="56"/>
      <c r="G21" s="1499"/>
      <c r="H21" s="1716"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7" customFormat="1" ht="18" customHeight="1">
      <c r="A22" s="776" t="s">
        <v>1853</v>
      </c>
      <c r="B22" s="757" t="s">
        <v>649</v>
      </c>
      <c r="C22" s="53">
        <f ca="1">ROUND(C21*F22,0)</f>
        <v>0</v>
      </c>
      <c r="D22" s="784" t="s">
        <v>650</v>
      </c>
      <c r="E22" s="757" t="s">
        <v>632</v>
      </c>
      <c r="F22" s="782">
        <f>'数据-取费表'!B37</f>
        <v>0.02</v>
      </c>
      <c r="G22" s="1500"/>
      <c r="H22" s="1718" t="s">
        <v>1830</v>
      </c>
      <c r="I22" s="1708" t="s">
        <v>651</v>
      </c>
      <c r="J22" s="54">
        <f ca="1">ROUND(M22*M23/10000,0)</f>
        <v>0</v>
      </c>
      <c r="K22" s="786" t="s">
        <v>652</v>
      </c>
      <c r="L22" s="757" t="s">
        <v>653</v>
      </c>
      <c r="M22" s="615">
        <f>'数据-取费表'!B52</f>
        <v>3</v>
      </c>
      <c r="N22" s="1916"/>
      <c r="O22" s="1916"/>
      <c r="P22" s="1916"/>
      <c r="Q22" s="1916"/>
      <c r="R22" s="1916"/>
      <c r="S22" s="1916"/>
      <c r="T22" s="1916"/>
      <c r="U22" s="1916"/>
      <c r="V22" s="1916"/>
      <c r="W22" s="1916"/>
      <c r="X22" s="1916"/>
      <c r="Y22" s="1916"/>
    </row>
    <row r="23" spans="1:25" s="1917" customFormat="1" ht="18" customHeight="1">
      <c r="A23" s="776" t="s">
        <v>1854</v>
      </c>
      <c r="B23" s="757" t="s">
        <v>654</v>
      </c>
      <c r="C23" s="53" t="s">
        <v>1</v>
      </c>
      <c r="D23" s="784" t="s">
        <v>655</v>
      </c>
      <c r="E23" s="757" t="s">
        <v>656</v>
      </c>
      <c r="F23" s="782">
        <f>'数据-取费表'!B38</f>
        <v>0.02</v>
      </c>
      <c r="G23" s="1500"/>
      <c r="H23" s="1719"/>
      <c r="I23" s="1710"/>
      <c r="J23" s="69"/>
      <c r="K23" s="788"/>
      <c r="L23" s="757" t="s">
        <v>657</v>
      </c>
      <c r="M23" s="758">
        <f ca="1">INDIRECT("'数据-取费表'!r"&amp;$G$1)</f>
        <v>0</v>
      </c>
      <c r="N23" s="1916"/>
      <c r="O23" s="1916"/>
      <c r="P23" s="1916"/>
      <c r="Q23" s="1916"/>
      <c r="R23" s="1916"/>
      <c r="S23" s="1916"/>
      <c r="T23" s="1916"/>
      <c r="U23" s="1916"/>
      <c r="V23" s="1916"/>
      <c r="W23" s="1916"/>
      <c r="X23" s="1916"/>
      <c r="Y23" s="1916"/>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6"/>
      <c r="F24" s="56"/>
      <c r="G24" s="1499"/>
      <c r="H24" s="1717" t="s">
        <v>2044</v>
      </c>
      <c r="I24" s="757" t="s">
        <v>659</v>
      </c>
      <c r="J24" s="53">
        <f ca="1">ROUND(J16*M24,0)</f>
        <v>0</v>
      </c>
      <c r="K24" s="1861" t="s">
        <v>660</v>
      </c>
      <c r="L24" s="757" t="s">
        <v>632</v>
      </c>
      <c r="M24" s="789">
        <f ca="1">INDIRECT("'数据-取费表'!Ak"&amp;$G$1)</f>
        <v>0</v>
      </c>
    </row>
    <row r="25" spans="1:25" s="1917"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v>
      </c>
      <c r="G25" s="1500"/>
      <c r="H25" s="776" t="s">
        <v>1854</v>
      </c>
      <c r="I25" s="757" t="s">
        <v>662</v>
      </c>
      <c r="J25" s="53">
        <f ca="1">ROUND(J15*M25,0)</f>
        <v>0</v>
      </c>
      <c r="K25" s="1861" t="s">
        <v>663</v>
      </c>
      <c r="L25" s="757" t="s">
        <v>632</v>
      </c>
      <c r="M25" s="790">
        <f ca="1">INDIRECT("'数据-取费表'!Al"&amp;$G$1)</f>
        <v>0</v>
      </c>
      <c r="N25" s="1916"/>
      <c r="O25" s="1916"/>
      <c r="P25" s="1916"/>
      <c r="Q25" s="1916"/>
      <c r="R25" s="1916"/>
      <c r="S25" s="1916"/>
      <c r="T25" s="1916"/>
      <c r="U25" s="1916"/>
      <c r="V25" s="1916"/>
      <c r="W25" s="1916"/>
      <c r="X25" s="1916"/>
      <c r="Y25" s="1916"/>
    </row>
    <row r="26" spans="1:25" s="1917" customFormat="1" ht="18" customHeight="1">
      <c r="A26" s="776" t="s">
        <v>1829</v>
      </c>
      <c r="B26" s="757" t="s">
        <v>664</v>
      </c>
      <c r="C26" s="53">
        <f ca="1">ROUND(IF('数据-取费表'!B22&lt;=1,F23*F26*F25/2,F23*(POWER((1+F26),F25/2)-1)),4)</f>
        <v>8.0000000000000004E-4</v>
      </c>
      <c r="D26" s="2361" t="str">
        <f>IF(F25&lt;=1,"销售费用×利率×(建设周期÷2)","销售费用×((1+利率)^(建设周期÷2)-1)")</f>
        <v>销售费用×((1+利率)^(建设周期÷2)-1)</v>
      </c>
      <c r="E26" s="757" t="s">
        <v>665</v>
      </c>
      <c r="F26" s="791">
        <f ca="1">'数据-取费表'!B40</f>
        <v>4.2000000000000003E-2</v>
      </c>
      <c r="G26" s="1500"/>
      <c r="H26" s="776" t="s">
        <v>1855</v>
      </c>
      <c r="I26" s="757" t="s">
        <v>649</v>
      </c>
      <c r="J26" s="53">
        <f ca="1">ROUND(J7*M26,0)</f>
        <v>0</v>
      </c>
      <c r="K26" s="1861" t="s">
        <v>666</v>
      </c>
      <c r="L26" s="757" t="s">
        <v>632</v>
      </c>
      <c r="M26" s="767">
        <f ca="1">INDIRECT("'数据-取费表'!Am"&amp;$G$1)</f>
        <v>0</v>
      </c>
      <c r="N26" s="1916"/>
      <c r="O26" s="1916"/>
      <c r="P26" s="1916"/>
      <c r="Q26" s="1916"/>
      <c r="R26" s="1916"/>
      <c r="S26" s="1916"/>
      <c r="T26" s="1916"/>
      <c r="U26" s="1916"/>
      <c r="V26" s="1916"/>
      <c r="W26" s="1916"/>
      <c r="X26" s="1916"/>
      <c r="Y26" s="1916"/>
    </row>
    <row r="27" spans="1:25" ht="18" customHeight="1">
      <c r="A27" s="776" t="s">
        <v>1857</v>
      </c>
      <c r="B27" s="757" t="s">
        <v>667</v>
      </c>
      <c r="C27" s="53"/>
      <c r="D27" s="259" t="s">
        <v>668</v>
      </c>
      <c r="E27" s="1866"/>
      <c r="F27" s="56"/>
      <c r="G27" s="1499"/>
      <c r="H27" s="770" t="s">
        <v>1808</v>
      </c>
      <c r="I27" s="2661" t="s">
        <v>2720</v>
      </c>
      <c r="J27" s="772">
        <f ca="1">J7-J18</f>
        <v>0</v>
      </c>
      <c r="K27" s="1863" t="s">
        <v>683</v>
      </c>
      <c r="L27" s="1865"/>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7" customFormat="1" ht="18" customHeight="1">
      <c r="A30" s="776" t="s">
        <v>1858</v>
      </c>
      <c r="B30" s="757" t="s">
        <v>670</v>
      </c>
      <c r="C30" s="53">
        <f>ROUND(F30/(1+'数据-取费表'!C42),4)</f>
        <v>5.2400000000000002E-2</v>
      </c>
      <c r="D30" s="784" t="s">
        <v>692</v>
      </c>
      <c r="E30" s="757" t="s">
        <v>632</v>
      </c>
      <c r="F30" s="782">
        <f>'数据-取费表'!B41</f>
        <v>5.5000000000000007E-2</v>
      </c>
      <c r="G30" s="1500"/>
      <c r="H30" s="763"/>
      <c r="I30" s="764"/>
      <c r="J30" s="765"/>
      <c r="K30" s="788"/>
      <c r="L30" s="757" t="s">
        <v>693</v>
      </c>
      <c r="M30" s="767">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52" t="s">
        <v>1859</v>
      </c>
      <c r="B31" s="2333" t="s">
        <v>2721</v>
      </c>
      <c r="C31" s="2336">
        <f ca="1">ROUND((C21+C22+C25+C28)/(1-F23-C26-C29-C30),0)</f>
        <v>0</v>
      </c>
      <c r="D31" s="2337"/>
      <c r="E31" s="2338"/>
      <c r="F31" s="2339"/>
      <c r="G31" s="1500"/>
      <c r="H31" s="795" t="s">
        <v>1848</v>
      </c>
      <c r="I31" s="2662" t="s">
        <v>2722</v>
      </c>
      <c r="J31" s="797">
        <f ca="1">ROUND(J28/(1+F45)^F46,0)</f>
        <v>0</v>
      </c>
      <c r="K31" s="798" t="s">
        <v>671</v>
      </c>
      <c r="L31" s="799"/>
      <c r="M31" s="800">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672</v>
      </c>
      <c r="C32" s="765">
        <f ca="1">ROUND(C33+C38+C39+C40,0)</f>
        <v>0</v>
      </c>
      <c r="D32" s="1707" t="s">
        <v>635</v>
      </c>
      <c r="E32" s="2308"/>
      <c r="F32" s="2312"/>
      <c r="G32" s="1915"/>
      <c r="H32" s="1918"/>
      <c r="I32" s="1919"/>
      <c r="J32" s="1920"/>
      <c r="K32" s="1921"/>
      <c r="L32" s="1922"/>
      <c r="M32" s="1923"/>
    </row>
    <row r="33" spans="1:18" ht="18" customHeight="1">
      <c r="A33" s="776" t="s">
        <v>1852</v>
      </c>
      <c r="B33" s="757" t="s">
        <v>639</v>
      </c>
      <c r="C33" s="2953">
        <f ca="1">ROUND(IF(AND(项目基本情况!B11="自然人",项目基本情况!B10="北京市"),C8*F33/(1+'数据-取费表'!C42),C34+C35+C36),0)</f>
        <v>0</v>
      </c>
      <c r="D33" s="1863" t="s">
        <v>640</v>
      </c>
      <c r="E33" s="1861" t="s">
        <v>673</v>
      </c>
      <c r="F33" s="2952" t="str">
        <f>IF(项目基本情况!B11="企业","——",IF('数据-取费表'!B10="住宅",IF(F8*F9*F10/12/(1+'数据-取费表'!F30)&gt;100000,4%,2.5%),IF(F8*F9*F10/12/(1+'数据-取费表'!F30)&gt;100000,12%,7%)))</f>
        <v>——</v>
      </c>
      <c r="G33" s="1915"/>
      <c r="H33" s="3190" t="s">
        <v>2904</v>
      </c>
      <c r="I33" s="1919"/>
      <c r="J33" s="1920"/>
      <c r="K33" s="1921"/>
      <c r="L33" s="1922"/>
      <c r="M33" s="1923"/>
    </row>
    <row r="34" spans="1:18" ht="18" customHeight="1">
      <c r="A34" s="776" t="s">
        <v>1851</v>
      </c>
      <c r="B34" s="757" t="s">
        <v>643</v>
      </c>
      <c r="C34" s="53">
        <f ca="1">ROUND(C8*F34/(1+'数据-取费表'!C42),1)</f>
        <v>0</v>
      </c>
      <c r="D34" s="1861" t="s">
        <v>644</v>
      </c>
      <c r="E34" s="757" t="s">
        <v>632</v>
      </c>
      <c r="F34" s="782">
        <f>'数据-取费表'!B41</f>
        <v>5.5000000000000007E-2</v>
      </c>
      <c r="G34" s="1915"/>
      <c r="H34" s="1924"/>
      <c r="I34" s="1925"/>
      <c r="J34" s="1926"/>
      <c r="K34" s="1927"/>
      <c r="L34" s="1928"/>
      <c r="M34" s="1929"/>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5"/>
      <c r="H35" s="1930"/>
      <c r="I35" s="1930"/>
      <c r="J35" s="1930"/>
      <c r="K35" s="1931"/>
      <c r="L35" s="1930"/>
      <c r="M35" s="1930"/>
    </row>
    <row r="36" spans="1:18" ht="18" customHeight="1">
      <c r="A36" s="785" t="s">
        <v>1856</v>
      </c>
      <c r="B36" s="339" t="s">
        <v>651</v>
      </c>
      <c r="C36" s="54">
        <f ca="1">ROUND(F36*F37/10000,1)</f>
        <v>0</v>
      </c>
      <c r="D36" s="786" t="s">
        <v>652</v>
      </c>
      <c r="E36" s="757" t="s">
        <v>653</v>
      </c>
      <c r="F36" s="615">
        <f>'数据-取费表'!B52</f>
        <v>3</v>
      </c>
      <c r="G36" s="1915"/>
      <c r="H36" s="1918"/>
      <c r="I36" s="3710"/>
      <c r="J36" s="1932"/>
      <c r="K36" s="1933"/>
      <c r="L36" s="1932"/>
      <c r="M36" s="1932"/>
    </row>
    <row r="37" spans="1:18" ht="18" customHeight="1">
      <c r="A37" s="787"/>
      <c r="B37" s="766"/>
      <c r="C37" s="69"/>
      <c r="D37" s="788"/>
      <c r="E37" s="757" t="s">
        <v>657</v>
      </c>
      <c r="F37" s="758">
        <f ca="1">INDIRECT("'数据-取费表'!r"&amp;$G$1)</f>
        <v>0</v>
      </c>
      <c r="G37" s="1915"/>
      <c r="H37" s="1918"/>
      <c r="I37" s="3710"/>
      <c r="J37" s="1930"/>
      <c r="K37" s="1931"/>
      <c r="L37" s="1930"/>
      <c r="M37" s="1930"/>
    </row>
    <row r="38" spans="1:18" ht="18" customHeight="1">
      <c r="A38" s="776" t="s">
        <v>1853</v>
      </c>
      <c r="B38" s="757" t="s">
        <v>659</v>
      </c>
      <c r="C38" s="53">
        <f ca="1">ROUND(C31*F38,1)</f>
        <v>0</v>
      </c>
      <c r="D38" s="1861" t="s">
        <v>674</v>
      </c>
      <c r="E38" s="757" t="s">
        <v>632</v>
      </c>
      <c r="F38" s="789">
        <f ca="1">INDIRECT("'数据-取费表'!Ak"&amp;$G$1)</f>
        <v>0</v>
      </c>
      <c r="G38" s="1915"/>
      <c r="H38" s="1930"/>
      <c r="I38" s="2956"/>
      <c r="J38" s="1870"/>
      <c r="K38" s="1934"/>
      <c r="L38" s="1930"/>
      <c r="M38" s="1930"/>
    </row>
    <row r="39" spans="1:18" ht="18" customHeight="1">
      <c r="A39" s="776" t="s">
        <v>1854</v>
      </c>
      <c r="B39" s="757" t="s">
        <v>662</v>
      </c>
      <c r="C39" s="53">
        <f ca="1">ROUND(C15*F39,1)</f>
        <v>0</v>
      </c>
      <c r="D39" s="1861" t="s">
        <v>663</v>
      </c>
      <c r="E39" s="757" t="s">
        <v>632</v>
      </c>
      <c r="F39" s="790">
        <f ca="1">INDIRECT("'数据-取费表'!Al"&amp;$G$1)</f>
        <v>0</v>
      </c>
      <c r="G39" s="1915"/>
      <c r="H39" s="1930"/>
      <c r="I39" s="2956"/>
      <c r="J39" s="1870"/>
      <c r="K39" s="1934"/>
      <c r="L39" s="1930"/>
      <c r="M39" s="1930"/>
    </row>
    <row r="40" spans="1:18" ht="18" customHeight="1" thickBot="1">
      <c r="A40" s="2352" t="s">
        <v>1855</v>
      </c>
      <c r="B40" s="2338" t="s">
        <v>649</v>
      </c>
      <c r="C40" s="2336">
        <f ca="1">ROUND(C7*F40,1)</f>
        <v>0</v>
      </c>
      <c r="D40" s="2337" t="s">
        <v>666</v>
      </c>
      <c r="E40" s="2338" t="s">
        <v>632</v>
      </c>
      <c r="F40" s="2334">
        <f ca="1">INDIRECT("'数据-取费表'!Am"&amp;$G$1)</f>
        <v>0</v>
      </c>
      <c r="G40" s="1915"/>
      <c r="H40" s="1930"/>
      <c r="I40" s="2956"/>
      <c r="J40" s="1870"/>
      <c r="K40" s="1935"/>
      <c r="L40" s="1930"/>
      <c r="M40" s="1930"/>
    </row>
    <row r="41" spans="1:18" ht="18" customHeight="1" thickTop="1">
      <c r="A41" s="1715">
        <v>4</v>
      </c>
      <c r="B41" s="1713" t="s">
        <v>675</v>
      </c>
      <c r="C41" s="1278"/>
      <c r="D41" s="1279"/>
      <c r="E41" s="1279"/>
      <c r="F41" s="1280"/>
      <c r="G41" s="1915"/>
      <c r="H41" s="1915"/>
      <c r="I41" s="1915"/>
      <c r="J41" s="1915"/>
      <c r="K41" s="1935"/>
      <c r="L41" s="1915"/>
      <c r="M41" s="1915"/>
    </row>
    <row r="42" spans="1:18" ht="18" customHeight="1">
      <c r="A42" s="776" t="s">
        <v>1852</v>
      </c>
      <c r="B42" s="807" t="s">
        <v>676</v>
      </c>
      <c r="C42" s="801">
        <f ca="1">C7-C32</f>
        <v>0</v>
      </c>
      <c r="D42" s="1863" t="s">
        <v>677</v>
      </c>
      <c r="E42" s="1865"/>
      <c r="F42" s="792"/>
      <c r="G42" s="1915"/>
      <c r="H42" s="1915"/>
      <c r="I42" s="1915"/>
      <c r="J42" s="1915"/>
      <c r="K42" s="1935"/>
      <c r="L42" s="1915"/>
      <c r="M42" s="1915"/>
    </row>
    <row r="43" spans="1:18" ht="18" customHeight="1">
      <c r="A43" s="776" t="s">
        <v>1853</v>
      </c>
      <c r="B43" s="807" t="s">
        <v>694</v>
      </c>
      <c r="C43" s="808">
        <f ca="1">ROUND(C15*F43,0)</f>
        <v>0</v>
      </c>
      <c r="D43" s="1281" t="s">
        <v>695</v>
      </c>
      <c r="E43" s="2729" t="s">
        <v>2838</v>
      </c>
      <c r="F43" s="2730">
        <f ca="1">INDIRECT("'数据-取费表'!j"&amp;$G$1)</f>
        <v>0</v>
      </c>
      <c r="G43" s="1915"/>
      <c r="H43" s="1915"/>
      <c r="I43" s="1915"/>
      <c r="J43" s="1915"/>
      <c r="K43" s="1935"/>
      <c r="L43" s="1915"/>
      <c r="M43" s="1915"/>
    </row>
    <row r="44" spans="1:18" ht="18" customHeight="1">
      <c r="A44" s="776" t="s">
        <v>1854</v>
      </c>
      <c r="B44" s="807" t="s">
        <v>696</v>
      </c>
      <c r="C44" s="1282">
        <f ca="1">C42-C43</f>
        <v>0</v>
      </c>
      <c r="D44" s="456" t="s">
        <v>697</v>
      </c>
      <c r="E44" s="457"/>
      <c r="F44" s="458"/>
      <c r="G44" s="1915"/>
      <c r="H44" s="1915"/>
      <c r="I44" s="1915"/>
      <c r="J44" s="1915"/>
      <c r="K44" s="1935"/>
      <c r="L44" s="1915"/>
      <c r="M44" s="1915"/>
    </row>
    <row r="45" spans="1:18" ht="18" customHeight="1">
      <c r="A45" s="776" t="s">
        <v>1855</v>
      </c>
      <c r="B45" s="1281" t="s">
        <v>698</v>
      </c>
      <c r="C45" s="2686">
        <f ca="1">ROUND(-PV(F45,F46,C44,0),0)</f>
        <v>0</v>
      </c>
      <c r="D45" s="1283" t="s">
        <v>699</v>
      </c>
      <c r="E45" s="779" t="s">
        <v>700</v>
      </c>
      <c r="F45" s="802">
        <f ca="1">INDIRECT("'数据-取费表'!h"&amp;$G$1)</f>
        <v>0</v>
      </c>
      <c r="G45" s="1915"/>
      <c r="H45" s="1915"/>
      <c r="I45" s="1915"/>
      <c r="J45" s="1915"/>
      <c r="K45" s="1935"/>
      <c r="L45" s="1915"/>
      <c r="M45" s="1915"/>
    </row>
    <row r="46" spans="1:18" ht="18" customHeight="1" thickBot="1">
      <c r="A46" s="803"/>
      <c r="B46" s="1284"/>
      <c r="C46" s="1285"/>
      <c r="D46" s="1286"/>
      <c r="E46" s="2731" t="s">
        <v>2841</v>
      </c>
      <c r="F46" s="800">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3" t="s">
        <v>2312</v>
      </c>
      <c r="J47" s="2204"/>
      <c r="K47" s="2205"/>
      <c r="L47" s="2745" t="str">
        <f ca="1">IF(M48="住宅",0,IF(L49&gt;J52,L61,J61))</f>
        <v>0</v>
      </c>
      <c r="O47" s="2219" t="s">
        <v>2379</v>
      </c>
      <c r="P47" s="1499"/>
      <c r="Q47" s="1507"/>
      <c r="R47" s="1499"/>
    </row>
    <row r="48" spans="1:18" s="1912" customFormat="1" ht="18" customHeight="1" thickBot="1">
      <c r="A48" s="1936"/>
      <c r="C48" s="1939"/>
      <c r="D48" s="1940"/>
      <c r="E48" s="1940"/>
      <c r="F48" s="1941"/>
      <c r="G48" s="1942"/>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2" customFormat="1" ht="18" customHeight="1" thickBot="1">
      <c r="A49" s="1936"/>
      <c r="D49" s="1943"/>
      <c r="E49" s="1944"/>
      <c r="F49" s="1941"/>
      <c r="G49" s="1942"/>
      <c r="H49" s="1945"/>
      <c r="I49" s="2733" t="s">
        <v>2314</v>
      </c>
      <c r="J49" s="2207"/>
      <c r="K49" s="2743" t="s">
        <v>2320</v>
      </c>
      <c r="L49" s="1793">
        <f ca="1">INDIRECT("'数据-取费表'!f"&amp;$G$1)</f>
        <v>0</v>
      </c>
      <c r="O49" s="2223" t="s">
        <v>2348</v>
      </c>
      <c r="P49" s="2224" t="s">
        <v>2374</v>
      </c>
      <c r="Q49" s="2225">
        <f ca="1">C41+J31</f>
        <v>0</v>
      </c>
      <c r="R49" s="2224" t="s">
        <v>2349</v>
      </c>
    </row>
    <row r="50" spans="1:18" s="1912" customFormat="1" ht="18" customHeight="1" thickBot="1">
      <c r="A50" s="1936"/>
      <c r="D50" s="1946"/>
      <c r="E50" s="1946"/>
      <c r="F50" s="1940"/>
      <c r="G50" s="1947"/>
      <c r="H50" s="1945"/>
      <c r="I50" s="2733" t="s">
        <v>2315</v>
      </c>
      <c r="J50" s="2208"/>
      <c r="K50" s="2744" t="s">
        <v>2321</v>
      </c>
      <c r="L50" s="2209"/>
      <c r="O50" s="2223" t="s">
        <v>2350</v>
      </c>
      <c r="P50" s="2224" t="s">
        <v>2375</v>
      </c>
      <c r="Q50" s="2225" t="str">
        <f ca="1">J61</f>
        <v>0</v>
      </c>
      <c r="R50" s="2224" t="s">
        <v>2351</v>
      </c>
    </row>
    <row r="51" spans="1:18" s="1912" customFormat="1" ht="18" customHeight="1" thickBot="1">
      <c r="A51" s="1948"/>
      <c r="D51" s="1946"/>
      <c r="E51" s="1946"/>
      <c r="F51" s="1937"/>
      <c r="H51" s="1945"/>
      <c r="I51" s="2733" t="s">
        <v>2316</v>
      </c>
      <c r="J51" s="2740">
        <f>SUMPRODUCT((I64:I66=J48)*(J63:L63=J49)*(J64:L66))</f>
        <v>0</v>
      </c>
      <c r="K51" s="2744" t="s">
        <v>2322</v>
      </c>
      <c r="L51" s="2209"/>
      <c r="O51" s="2226" t="s">
        <v>2352</v>
      </c>
      <c r="P51" s="2224" t="s">
        <v>2376</v>
      </c>
      <c r="Q51" s="2225">
        <f ca="1">C31</f>
        <v>0</v>
      </c>
      <c r="R51" s="2224" t="s">
        <v>2349</v>
      </c>
    </row>
    <row r="52" spans="1:18" s="1912" customFormat="1" ht="18" customHeight="1" thickBot="1">
      <c r="A52" s="1948"/>
      <c r="F52" s="1937"/>
      <c r="I52" s="2737" t="s">
        <v>2317</v>
      </c>
      <c r="J52" s="2741">
        <f>IF(J50="",J51,J50+J51-YEAR('数据-取费表'!B3))</f>
        <v>0</v>
      </c>
      <c r="K52" s="2733" t="s">
        <v>2323</v>
      </c>
      <c r="L52" s="2747">
        <f ca="1">C45</f>
        <v>0</v>
      </c>
      <c r="O52" s="2226" t="s">
        <v>2353</v>
      </c>
      <c r="P52" s="2224" t="s">
        <v>2354</v>
      </c>
      <c r="Q52" s="2227" t="e">
        <f ca="1">J59</f>
        <v>#VALUE!</v>
      </c>
      <c r="R52" s="2228"/>
    </row>
    <row r="53" spans="1:18" s="1912" customFormat="1" ht="18" customHeight="1" thickBot="1">
      <c r="A53" s="1948"/>
      <c r="F53" s="1937"/>
      <c r="I53" s="2738" t="s">
        <v>2390</v>
      </c>
      <c r="J53" s="2210"/>
      <c r="K53" s="2738" t="s">
        <v>2389</v>
      </c>
      <c r="L53" s="2210"/>
      <c r="O53" s="2226" t="s">
        <v>2355</v>
      </c>
      <c r="P53" s="2224" t="s">
        <v>2356</v>
      </c>
      <c r="Q53" s="2227">
        <f>J53</f>
        <v>0</v>
      </c>
      <c r="R53" s="2228"/>
    </row>
    <row r="54" spans="1:18" s="1912" customFormat="1" ht="29.25" thickBot="1">
      <c r="A54" s="1948"/>
      <c r="I54" s="2739" t="s">
        <v>2853</v>
      </c>
      <c r="J54" s="2792">
        <f ca="1">IF(M48="住宅",MAX(J52,L49-'数据-取费表'!B20),MIN(J52,L49-'数据-取费表'!B20))</f>
        <v>-2</v>
      </c>
      <c r="K54" s="3715"/>
      <c r="L54" s="3716"/>
      <c r="O54" s="2226" t="s">
        <v>2357</v>
      </c>
      <c r="P54" s="2224" t="s">
        <v>2358</v>
      </c>
      <c r="Q54" s="2225">
        <f ca="1">J54</f>
        <v>-2</v>
      </c>
      <c r="R54" s="2224" t="s">
        <v>2359</v>
      </c>
    </row>
    <row r="55" spans="1:18" s="1912" customFormat="1" ht="18" customHeight="1" thickBot="1">
      <c r="A55" s="1948"/>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2" customFormat="1" ht="16.5" thickBot="1">
      <c r="A56" s="1948"/>
      <c r="B56" s="1949"/>
      <c r="C56" s="1949"/>
      <c r="I56" s="2750" t="s">
        <v>2324</v>
      </c>
      <c r="J56" s="2722" t="e">
        <f ca="1">ROUND(IF(J48="钢混",J58/J51,1-(1-2%)*(J51-J58)/J51),3)</f>
        <v>#VALUE!</v>
      </c>
      <c r="K56" s="2751" t="s">
        <v>2325</v>
      </c>
      <c r="L56" s="2211"/>
      <c r="O56" s="2229" t="s">
        <v>2380</v>
      </c>
      <c r="P56" s="1499"/>
      <c r="Q56" s="1507"/>
      <c r="R56" s="1499"/>
    </row>
    <row r="57" spans="1:18" s="1912" customFormat="1" ht="43.5" thickBot="1">
      <c r="A57" s="1948"/>
      <c r="B57" s="1949"/>
      <c r="C57" s="1949"/>
      <c r="I57" s="2752" t="s">
        <v>2326</v>
      </c>
      <c r="J57" s="2762" t="s">
        <v>1658</v>
      </c>
      <c r="K57" s="2733" t="s">
        <v>2331</v>
      </c>
      <c r="L57" s="1793">
        <f ca="1">IF(L49&lt;J52,"——",L49-J52)</f>
        <v>0</v>
      </c>
      <c r="O57" s="2220" t="s">
        <v>2344</v>
      </c>
      <c r="P57" s="2221" t="s">
        <v>2345</v>
      </c>
      <c r="Q57" s="2222" t="s">
        <v>2346</v>
      </c>
      <c r="R57" s="2221" t="s">
        <v>2347</v>
      </c>
    </row>
    <row r="58" spans="1:18" s="1912" customFormat="1" ht="29.25" thickBot="1">
      <c r="A58" s="1948"/>
      <c r="B58" s="1949"/>
      <c r="C58" s="1949"/>
      <c r="I58" s="2753" t="s">
        <v>2327</v>
      </c>
      <c r="J58" s="2754" t="str">
        <f ca="1">IF(OR(M48="住宅",J52&lt;L49,J57="是"),"——",J52-L49)</f>
        <v>——</v>
      </c>
      <c r="K58" s="2733" t="s">
        <v>2332</v>
      </c>
      <c r="L58" s="1793">
        <f ca="1">IF(L49&lt;J52,"——",IF(L56="比较法",L50,IF(L56="基准地价",L51,L52)))</f>
        <v>0</v>
      </c>
      <c r="O58" s="2223" t="s">
        <v>2348</v>
      </c>
      <c r="P58" s="2224" t="s">
        <v>2374</v>
      </c>
      <c r="Q58" s="2225">
        <f ca="1">C41+J31</f>
        <v>0</v>
      </c>
      <c r="R58" s="2224" t="s">
        <v>2349</v>
      </c>
    </row>
    <row r="59" spans="1:18" s="1912" customFormat="1" ht="29.25" thickBot="1">
      <c r="A59" s="1948"/>
      <c r="B59" s="1949"/>
      <c r="C59" s="1949"/>
      <c r="I59" s="2753" t="s">
        <v>2328</v>
      </c>
      <c r="J59" s="2723" t="e">
        <f ca="1">IF(J56&lt;0.4,0.4,J56)</f>
        <v>#VALUE!</v>
      </c>
      <c r="K59" s="2733" t="s">
        <v>2333</v>
      </c>
      <c r="L59" s="1793">
        <f ca="1">IF(ISERROR(POWER(1+L53,L48-L49)*(POWER(1+L53,L49)-1)/(POWER(1+L53,L48)-1)),0,POWER(1+L53,L48-L49)*(POWER(1+L53,L49)-1)/(POWER(1+L53,L48)-1))</f>
        <v>0</v>
      </c>
      <c r="O59" s="2223" t="s">
        <v>2350</v>
      </c>
      <c r="P59" s="2224" t="s">
        <v>2381</v>
      </c>
      <c r="Q59" s="2225" t="e">
        <f ca="1">L61</f>
        <v>#DIV/0!</v>
      </c>
      <c r="R59" s="2228" t="s">
        <v>2383</v>
      </c>
    </row>
    <row r="60" spans="1:18" s="1912" customFormat="1" ht="29.25" thickBot="1">
      <c r="A60" s="1948"/>
      <c r="B60" s="1949"/>
      <c r="C60" s="1949"/>
      <c r="I60" s="2753" t="s">
        <v>2329</v>
      </c>
      <c r="J60" s="2754" t="str">
        <f ca="1">IF(OR(M48="住宅",J52&lt;L49,J57="是"),"——",ROUND(C30*J59,0))</f>
        <v>——</v>
      </c>
      <c r="K60" s="2733" t="s">
        <v>2334</v>
      </c>
      <c r="L60" s="1793">
        <f ca="1">IF(ISERROR(POWER(1+L53,L48-J52)*(POWER(1+L53,J52)-1)/(POWER(1+L53,L48)-1)),0,POWER(1+L53,L48-J52)*(POWER(1+L53,J52)-1)/(POWER(1+L53,L48)-1))</f>
        <v>0</v>
      </c>
      <c r="O60" s="2226" t="s">
        <v>2352</v>
      </c>
      <c r="P60" s="2224" t="s">
        <v>2382</v>
      </c>
      <c r="Q60" s="2225">
        <f>IF(L56="比较法",L50,IF(L56="基准地价",L51,0))</f>
        <v>0</v>
      </c>
      <c r="R60" s="2224" t="s">
        <v>2349</v>
      </c>
    </row>
    <row r="61" spans="1:18" s="1912" customFormat="1" ht="15.75" thickBot="1">
      <c r="A61" s="1948"/>
      <c r="B61" s="1949"/>
      <c r="C61" s="1949"/>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2" customFormat="1" ht="20.25" thickBot="1">
      <c r="A62" s="1948"/>
      <c r="B62" s="1949"/>
      <c r="C62" s="1949"/>
      <c r="K62" s="1938"/>
      <c r="O62" s="2226" t="s">
        <v>2355</v>
      </c>
      <c r="P62" s="2224" t="s">
        <v>2363</v>
      </c>
      <c r="Q62" s="2225">
        <f ca="1">L59</f>
        <v>0</v>
      </c>
      <c r="R62" s="2228" t="s">
        <v>2364</v>
      </c>
    </row>
    <row r="63" spans="1:18" s="1912" customFormat="1" ht="20.25" thickBot="1">
      <c r="A63" s="1948"/>
      <c r="B63" s="1949"/>
      <c r="C63" s="1949"/>
      <c r="I63" s="2758" t="s">
        <v>2336</v>
      </c>
      <c r="J63" s="2759" t="s">
        <v>2337</v>
      </c>
      <c r="K63" s="2759" t="s">
        <v>2338</v>
      </c>
      <c r="L63" s="2759" t="s">
        <v>2319</v>
      </c>
      <c r="M63" s="2760" t="s">
        <v>2821</v>
      </c>
      <c r="O63" s="2226" t="s">
        <v>2357</v>
      </c>
      <c r="P63" s="2224" t="s">
        <v>2365</v>
      </c>
      <c r="Q63" s="2225">
        <f ca="1">L60</f>
        <v>0</v>
      </c>
      <c r="R63" s="2228" t="s">
        <v>2366</v>
      </c>
    </row>
    <row r="64" spans="1:18" s="1912" customFormat="1" ht="15.75" thickBot="1">
      <c r="A64" s="1948"/>
      <c r="B64" s="1949"/>
      <c r="C64" s="1949"/>
      <c r="I64" s="2758" t="s">
        <v>2339</v>
      </c>
      <c r="J64" s="2759">
        <v>70</v>
      </c>
      <c r="K64" s="2759">
        <v>50</v>
      </c>
      <c r="L64" s="2759">
        <v>80</v>
      </c>
      <c r="M64" s="2761">
        <v>0.02</v>
      </c>
      <c r="O64" s="2223" t="s">
        <v>2360</v>
      </c>
      <c r="P64" s="2224" t="s">
        <v>2377</v>
      </c>
      <c r="Q64" s="2225" t="e">
        <f ca="1">Q58+Q59</f>
        <v>#DIV/0!</v>
      </c>
      <c r="R64" s="2228" t="s">
        <v>2361</v>
      </c>
    </row>
    <row r="65" spans="1:18" s="1912" customFormat="1" ht="16.5" thickBot="1">
      <c r="A65" s="1948"/>
      <c r="B65" s="1949"/>
      <c r="C65" s="1949"/>
      <c r="I65" s="2758" t="s">
        <v>2340</v>
      </c>
      <c r="J65" s="2759">
        <v>50</v>
      </c>
      <c r="K65" s="2759">
        <v>35</v>
      </c>
      <c r="L65" s="2759">
        <v>60</v>
      </c>
      <c r="M65" s="818">
        <v>0</v>
      </c>
      <c r="O65" s="2229" t="s">
        <v>2384</v>
      </c>
      <c r="P65" s="1499"/>
      <c r="Q65" s="1507"/>
      <c r="R65" s="1499"/>
    </row>
    <row r="66" spans="1:18" s="1912" customFormat="1" ht="15.75" thickBot="1">
      <c r="A66" s="1948"/>
      <c r="B66" s="1949"/>
      <c r="C66" s="1949"/>
      <c r="I66" s="2758" t="s">
        <v>2341</v>
      </c>
      <c r="J66" s="2759">
        <v>40</v>
      </c>
      <c r="K66" s="2759">
        <v>30</v>
      </c>
      <c r="L66" s="2759">
        <v>50</v>
      </c>
      <c r="M66" s="2761">
        <v>0.02</v>
      </c>
      <c r="O66" s="2220" t="s">
        <v>2344</v>
      </c>
      <c r="P66" s="2221" t="s">
        <v>2345</v>
      </c>
      <c r="Q66" s="2222" t="s">
        <v>2346</v>
      </c>
      <c r="R66" s="2221" t="s">
        <v>2347</v>
      </c>
    </row>
    <row r="67" spans="1:18" s="1912" customFormat="1" ht="15.75" thickBot="1">
      <c r="A67" s="1948"/>
      <c r="B67" s="1949"/>
      <c r="C67" s="1949"/>
      <c r="K67" s="1938"/>
      <c r="O67" s="2223" t="s">
        <v>2348</v>
      </c>
      <c r="P67" s="2224" t="s">
        <v>2374</v>
      </c>
      <c r="Q67" s="2225">
        <f ca="1">C41+J31</f>
        <v>0</v>
      </c>
      <c r="R67" s="2224" t="s">
        <v>2349</v>
      </c>
    </row>
    <row r="68" spans="1:18" s="1912" customFormat="1" ht="20.25" thickBot="1">
      <c r="A68" s="1948"/>
      <c r="B68" s="1949"/>
      <c r="C68" s="1949"/>
      <c r="K68" s="1938"/>
      <c r="O68" s="2223" t="s">
        <v>2350</v>
      </c>
      <c r="P68" s="2224" t="s">
        <v>2381</v>
      </c>
      <c r="Q68" s="2225" t="e">
        <f ca="1">L61</f>
        <v>#DIV/0!</v>
      </c>
      <c r="R68" s="2228" t="s">
        <v>2383</v>
      </c>
    </row>
    <row r="69" spans="1:18" s="1912" customFormat="1" ht="21.75" thickBot="1">
      <c r="A69" s="1948"/>
      <c r="B69" s="1949"/>
      <c r="C69" s="1949"/>
      <c r="K69" s="1938"/>
      <c r="O69" s="2226" t="s">
        <v>2352</v>
      </c>
      <c r="P69" s="2224" t="s">
        <v>2382</v>
      </c>
      <c r="Q69" s="2230">
        <f ca="1">L52</f>
        <v>0</v>
      </c>
      <c r="R69" s="2231" t="s">
        <v>2385</v>
      </c>
    </row>
    <row r="70" spans="1:18" s="1912" customFormat="1" ht="20.25" thickBot="1">
      <c r="A70" s="1948"/>
      <c r="B70" s="1949"/>
      <c r="C70" s="1949"/>
      <c r="K70" s="1938"/>
      <c r="O70" s="2226" t="s">
        <v>2353</v>
      </c>
      <c r="P70" s="2232" t="s">
        <v>2367</v>
      </c>
      <c r="Q70" s="2225">
        <f ca="1">ROUND(Q71-Q72*Q73,0)</f>
        <v>0</v>
      </c>
      <c r="R70" s="2228"/>
    </row>
    <row r="71" spans="1:18" s="1912" customFormat="1" ht="15.75" thickBot="1">
      <c r="A71" s="1948"/>
      <c r="B71" s="1949"/>
      <c r="C71" s="1949"/>
      <c r="K71" s="1938"/>
      <c r="O71" s="2226" t="s">
        <v>2368</v>
      </c>
      <c r="P71" s="2232" t="s">
        <v>2369</v>
      </c>
      <c r="Q71" s="2225">
        <f ca="1">C42</f>
        <v>0</v>
      </c>
      <c r="R71" s="2224" t="s">
        <v>2349</v>
      </c>
    </row>
    <row r="72" spans="1:18" s="1912" customFormat="1" ht="15.75" thickBot="1">
      <c r="A72" s="1948"/>
      <c r="B72" s="1949"/>
      <c r="C72" s="1949"/>
      <c r="K72" s="1938"/>
      <c r="O72" s="2226" t="s">
        <v>2370</v>
      </c>
      <c r="P72" s="2232" t="s">
        <v>2371</v>
      </c>
      <c r="Q72" s="2225">
        <f ca="1">C15</f>
        <v>0</v>
      </c>
      <c r="R72" s="2224" t="s">
        <v>2349</v>
      </c>
    </row>
    <row r="73" spans="1:18" s="1912" customFormat="1" ht="15.75" thickBot="1">
      <c r="A73" s="1948"/>
      <c r="B73" s="1949"/>
      <c r="C73" s="1949"/>
      <c r="K73" s="1938"/>
      <c r="O73" s="2226" t="s">
        <v>2372</v>
      </c>
      <c r="P73" s="2232" t="s">
        <v>2373</v>
      </c>
      <c r="Q73" s="2227">
        <f ca="1">F43</f>
        <v>0</v>
      </c>
      <c r="R73" s="2228"/>
    </row>
    <row r="74" spans="1:18" s="1912" customFormat="1" ht="15.75" thickBot="1">
      <c r="A74" s="1948"/>
      <c r="B74" s="1949"/>
      <c r="C74" s="1949"/>
      <c r="K74" s="1938"/>
      <c r="O74" s="2226" t="s">
        <v>2355</v>
      </c>
      <c r="P74" s="2224" t="s">
        <v>2362</v>
      </c>
      <c r="Q74" s="2227">
        <f>L53</f>
        <v>0</v>
      </c>
      <c r="R74" s="2228"/>
    </row>
    <row r="75" spans="1:18" s="1912" customFormat="1" ht="20.25" thickBot="1">
      <c r="A75" s="1948"/>
      <c r="B75" s="1949"/>
      <c r="C75" s="1949"/>
      <c r="K75" s="1938"/>
      <c r="O75" s="2226" t="s">
        <v>2357</v>
      </c>
      <c r="P75" s="2224" t="s">
        <v>2363</v>
      </c>
      <c r="Q75" s="2225">
        <f ca="1">L59</f>
        <v>0</v>
      </c>
      <c r="R75" s="2228" t="s">
        <v>2364</v>
      </c>
    </row>
    <row r="76" spans="1:18" s="1912" customFormat="1" ht="20.25" thickBot="1">
      <c r="A76" s="1948"/>
      <c r="B76" s="1949"/>
      <c r="C76" s="1949"/>
      <c r="K76" s="1938"/>
      <c r="O76" s="2226" t="s">
        <v>2386</v>
      </c>
      <c r="P76" s="2224" t="s">
        <v>2365</v>
      </c>
      <c r="Q76" s="2225">
        <f ca="1">L60</f>
        <v>0</v>
      </c>
      <c r="R76" s="2228" t="s">
        <v>2366</v>
      </c>
    </row>
    <row r="77" spans="1:18" s="1912" customFormat="1" ht="15.75" thickBot="1">
      <c r="A77" s="1948"/>
      <c r="B77" s="1949"/>
      <c r="C77" s="1949"/>
      <c r="K77" s="1938"/>
      <c r="O77" s="2223" t="s">
        <v>2360</v>
      </c>
      <c r="P77" s="2224" t="s">
        <v>2377</v>
      </c>
      <c r="Q77" s="2225" t="e">
        <f ca="1">Q67+Q68</f>
        <v>#DIV/0!</v>
      </c>
      <c r="R77" s="2228" t="s">
        <v>2361</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56.25">
      <c r="A7" s="1681" t="s">
        <v>2646</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2022年3月29日（评估专业人员勘察现场之日）</v>
      </c>
    </row>
    <row r="12" spans="1:4" ht="18.75">
      <c r="A12" s="1683" t="s">
        <v>1999</v>
      </c>
    </row>
    <row r="13" spans="1:4" ht="18.75">
      <c r="A13" s="1677" t="s">
        <v>2820</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18.75">
      <c r="A21" s="1677" t="s">
        <v>2048</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IF(项目基本情况!B9="市场价格","——",IF(项目基本情况!E9="——","",定义!C57))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M21" sqref="M21"/>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2405" t="s">
        <v>702</v>
      </c>
      <c r="C1" s="2406" t="s">
        <v>703</v>
      </c>
      <c r="D1" s="2407" t="s">
        <v>903</v>
      </c>
      <c r="E1" s="1979"/>
      <c r="F1" s="2462" t="s">
        <v>3312</v>
      </c>
      <c r="G1" s="1504" t="s">
        <v>704</v>
      </c>
      <c r="H1" s="483"/>
      <c r="I1" s="483"/>
      <c r="J1" s="483"/>
      <c r="K1" s="484"/>
      <c r="L1" s="3142"/>
      <c r="M1" s="3143"/>
      <c r="N1" s="3143"/>
      <c r="O1" s="3143"/>
      <c r="P1" s="1472"/>
      <c r="Q1" s="1472"/>
      <c r="R1" s="1472"/>
      <c r="S1" s="1472"/>
      <c r="T1" s="1472"/>
      <c r="U1" s="1472"/>
      <c r="V1" s="1472"/>
      <c r="W1" s="1472"/>
      <c r="X1" s="1472"/>
      <c r="Y1" s="1472"/>
      <c r="Z1" s="1472"/>
      <c r="AA1" s="1472"/>
      <c r="AB1" s="1472"/>
      <c r="AC1" s="1473"/>
    </row>
    <row r="2" spans="1:29" s="1287" customFormat="1" ht="28.5" customHeight="1">
      <c r="A2" s="417" t="s">
        <v>461</v>
      </c>
      <c r="B2" s="2404">
        <f>ROUND(B3*D3/10000,0)</f>
        <v>227217</v>
      </c>
      <c r="C2" s="1979"/>
      <c r="D2" s="1979"/>
      <c r="E2" s="1979"/>
      <c r="F2" s="2052"/>
      <c r="G2" s="1979"/>
      <c r="H2" s="1979"/>
      <c r="I2" s="1979"/>
      <c r="J2" s="1979"/>
      <c r="K2" s="2053"/>
      <c r="L2" s="2054"/>
      <c r="M2" s="2055"/>
      <c r="N2" s="2055"/>
      <c r="O2" s="2055"/>
      <c r="P2" s="1505"/>
      <c r="Q2" s="1505"/>
      <c r="R2" s="1505"/>
      <c r="S2" s="1505"/>
      <c r="T2" s="1505"/>
      <c r="U2" s="1505"/>
      <c r="V2" s="1505"/>
      <c r="W2" s="1505"/>
      <c r="X2" s="1505"/>
      <c r="Y2" s="1505"/>
      <c r="Z2" s="1505"/>
      <c r="AA2" s="1505"/>
      <c r="AB2" s="1505"/>
      <c r="AC2" s="1506"/>
    </row>
    <row r="3" spans="1:29" s="1287" customFormat="1" ht="28.5" customHeight="1" thickBot="1">
      <c r="A3" s="486" t="s">
        <v>502</v>
      </c>
      <c r="B3" s="823">
        <f>C49</f>
        <v>51654</v>
      </c>
      <c r="C3" s="824" t="s">
        <v>705</v>
      </c>
      <c r="D3" s="823">
        <f>SUMIF('数据-汇总表'!$C19:$C33,D1,'数据-汇总表'!$E19:$E33)</f>
        <v>43988.19</v>
      </c>
      <c r="E3" s="1979"/>
      <c r="F3" s="2052"/>
      <c r="G3" s="1979"/>
      <c r="H3" s="1979"/>
      <c r="I3" s="1979"/>
      <c r="J3" s="1979"/>
      <c r="K3" s="2053"/>
      <c r="L3" s="2054"/>
      <c r="M3" s="2055"/>
      <c r="N3" s="2055"/>
      <c r="O3" s="2055"/>
      <c r="P3" s="1505"/>
      <c r="Q3" s="1505"/>
      <c r="R3" s="1505"/>
      <c r="S3" s="1505"/>
      <c r="T3" s="1505"/>
      <c r="U3" s="1505"/>
      <c r="V3" s="1505"/>
      <c r="W3" s="1505"/>
      <c r="X3" s="1505"/>
      <c r="Y3" s="1505"/>
      <c r="Z3" s="1505"/>
      <c r="AA3" s="1505"/>
      <c r="AB3" s="1505"/>
      <c r="AC3" s="1507"/>
    </row>
    <row r="4" spans="1:29" ht="15">
      <c r="A4" s="489" t="s">
        <v>504</v>
      </c>
      <c r="B4" s="490"/>
      <c r="C4" s="3638" t="s">
        <v>505</v>
      </c>
      <c r="D4" s="3639"/>
      <c r="E4" s="3667" t="s">
        <v>506</v>
      </c>
      <c r="F4" s="3668"/>
      <c r="G4" s="3638" t="s">
        <v>507</v>
      </c>
      <c r="H4" s="3639"/>
      <c r="I4" s="3638" t="s">
        <v>508</v>
      </c>
      <c r="J4" s="3639"/>
      <c r="K4" s="825" t="s">
        <v>509</v>
      </c>
      <c r="L4" s="1985"/>
      <c r="M4" s="1986"/>
      <c r="N4" s="1986"/>
      <c r="O4" s="1986"/>
      <c r="P4" s="3640" t="s">
        <v>510</v>
      </c>
      <c r="Q4" s="3641"/>
      <c r="R4" s="3626" t="s">
        <v>506</v>
      </c>
      <c r="S4" s="3627"/>
      <c r="T4" s="3626" t="s">
        <v>507</v>
      </c>
      <c r="U4" s="3627"/>
      <c r="V4" s="3646" t="s">
        <v>508</v>
      </c>
      <c r="W4" s="3646"/>
      <c r="X4" s="1474"/>
      <c r="Y4" s="3626" t="s">
        <v>510</v>
      </c>
      <c r="Z4" s="3627"/>
      <c r="AA4" s="3621" t="s">
        <v>506</v>
      </c>
      <c r="AB4" s="3621" t="s">
        <v>507</v>
      </c>
      <c r="AC4" s="3621" t="s">
        <v>508</v>
      </c>
    </row>
    <row r="5" spans="1:29" ht="15">
      <c r="A5" s="492"/>
      <c r="B5" s="493"/>
      <c r="C5" s="3649" t="s">
        <v>2808</v>
      </c>
      <c r="D5" s="3650"/>
      <c r="E5" s="3669" t="str">
        <f>案例!B2</f>
        <v>城市之光东望</v>
      </c>
      <c r="F5" s="3670"/>
      <c r="G5" s="3649" t="str">
        <f>案例!B3</f>
        <v>绿城明月听蘭</v>
      </c>
      <c r="H5" s="3650"/>
      <c r="I5" s="3649" t="str">
        <f>案例!B4</f>
        <v>招商臻珑府</v>
      </c>
      <c r="J5" s="3650"/>
      <c r="K5" s="826"/>
      <c r="L5" s="1985"/>
      <c r="M5" s="1986"/>
      <c r="N5" s="1986"/>
      <c r="O5" s="1986"/>
      <c r="P5" s="3642"/>
      <c r="Q5" s="3643"/>
      <c r="R5" s="3628"/>
      <c r="S5" s="3629"/>
      <c r="T5" s="3628"/>
      <c r="U5" s="3629"/>
      <c r="V5" s="3646"/>
      <c r="W5" s="3646"/>
      <c r="X5" s="1474"/>
      <c r="Y5" s="3628"/>
      <c r="Z5" s="3629"/>
      <c r="AA5" s="3622"/>
      <c r="AB5" s="3622"/>
      <c r="AC5" s="3622"/>
    </row>
    <row r="6" spans="1:29" ht="15.75" thickBot="1">
      <c r="A6" s="494"/>
      <c r="B6" s="495"/>
      <c r="C6" s="3647" t="s">
        <v>2812</v>
      </c>
      <c r="D6" s="3648"/>
      <c r="E6" s="3671" t="s">
        <v>2812</v>
      </c>
      <c r="F6" s="3672"/>
      <c r="G6" s="3647" t="s">
        <v>2812</v>
      </c>
      <c r="H6" s="3648"/>
      <c r="I6" s="3647" t="s">
        <v>2812</v>
      </c>
      <c r="J6" s="3648"/>
      <c r="K6" s="826" t="s">
        <v>511</v>
      </c>
      <c r="L6" s="1985"/>
      <c r="M6" s="1986"/>
      <c r="N6" s="1986"/>
      <c r="O6" s="1986"/>
      <c r="P6" s="3644"/>
      <c r="Q6" s="3645"/>
      <c r="R6" s="3628"/>
      <c r="S6" s="3629"/>
      <c r="T6" s="3630"/>
      <c r="U6" s="3631"/>
      <c r="V6" s="3646"/>
      <c r="W6" s="3646"/>
      <c r="X6" s="1474"/>
      <c r="Y6" s="3630"/>
      <c r="Z6" s="3631"/>
      <c r="AA6" s="3623"/>
      <c r="AB6" s="3623"/>
      <c r="AC6" s="3623"/>
    </row>
    <row r="7" spans="1:29" s="1183" customFormat="1" ht="15.75" thickBot="1">
      <c r="A7" s="2567"/>
      <c r="B7" s="2574" t="s">
        <v>512</v>
      </c>
      <c r="C7" s="496">
        <f>'数据-取费表'!B2</f>
        <v>44649</v>
      </c>
      <c r="D7" s="497">
        <v>100</v>
      </c>
      <c r="E7" s="498">
        <v>44621</v>
      </c>
      <c r="F7" s="499">
        <f>SUMIF(58:58,YEAR(E7)&amp;"-"&amp;MONTH(E7),59:59)</f>
        <v>100</v>
      </c>
      <c r="G7" s="498">
        <v>44621</v>
      </c>
      <c r="H7" s="497">
        <f>SUMIF(58:58,YEAR(G7)&amp;"-"&amp;MONTH(G7),59:59)</f>
        <v>100</v>
      </c>
      <c r="I7" s="498">
        <v>44621</v>
      </c>
      <c r="J7" s="497">
        <f>SUMIF(58:58,YEAR(I7)&amp;"-"&amp;MONTH(I7),59:59)</f>
        <v>100</v>
      </c>
      <c r="K7" s="827"/>
      <c r="L7" s="1987"/>
      <c r="M7" s="1988"/>
      <c r="N7" s="1988"/>
      <c r="O7" s="1988"/>
      <c r="P7" s="3624" t="s">
        <v>513</v>
      </c>
      <c r="Q7" s="3633"/>
      <c r="R7" s="1475" t="s">
        <v>13</v>
      </c>
      <c r="S7" s="1476">
        <f t="shared" ref="S7:S15" si="0">F7</f>
        <v>100</v>
      </c>
      <c r="T7" s="1475" t="s">
        <v>13</v>
      </c>
      <c r="U7" s="1476">
        <f t="shared" ref="U7:U15" si="1">H7</f>
        <v>100</v>
      </c>
      <c r="V7" s="1475" t="s">
        <v>13</v>
      </c>
      <c r="W7" s="1476">
        <f t="shared" ref="W7:W15" si="2">J7</f>
        <v>100</v>
      </c>
      <c r="X7" s="1477"/>
      <c r="Y7" s="3624" t="s">
        <v>513</v>
      </c>
      <c r="Z7" s="3625"/>
      <c r="AA7" s="1478">
        <f>D7/F7</f>
        <v>1</v>
      </c>
      <c r="AB7" s="1478">
        <f>D7/H7</f>
        <v>1</v>
      </c>
      <c r="AC7" s="1478">
        <f>D7/J7</f>
        <v>1</v>
      </c>
    </row>
    <row r="8" spans="1:29" s="1183" customFormat="1" ht="15.75" thickBot="1">
      <c r="A8" s="2568"/>
      <c r="B8" s="2575" t="s">
        <v>514</v>
      </c>
      <c r="C8" s="502" t="s">
        <v>559</v>
      </c>
      <c r="D8" s="497">
        <v>100</v>
      </c>
      <c r="E8" s="502" t="s">
        <v>559</v>
      </c>
      <c r="F8" s="499">
        <f>SUMIF(61:61,E8,62:62)-SUMIF(61:61,C8,62:62)+100</f>
        <v>100</v>
      </c>
      <c r="G8" s="502" t="s">
        <v>559</v>
      </c>
      <c r="H8" s="497">
        <f>SUMIF(61:61,G8,62:62)-SUMIF(61:61,C8,62:62)+100</f>
        <v>100</v>
      </c>
      <c r="I8" s="502" t="s">
        <v>559</v>
      </c>
      <c r="J8" s="497">
        <f>SUMIF(61:61,I8,62:62)-SUMIF(61:61,C8,62:62)+100</f>
        <v>100</v>
      </c>
      <c r="K8" s="827"/>
      <c r="L8" s="1987"/>
      <c r="M8" s="1988"/>
      <c r="N8" s="1988"/>
      <c r="O8" s="1988"/>
      <c r="P8" s="3624" t="s">
        <v>516</v>
      </c>
      <c r="Q8" s="3625"/>
      <c r="R8" s="1475" t="s">
        <v>13</v>
      </c>
      <c r="S8" s="1476">
        <f t="shared" si="0"/>
        <v>100</v>
      </c>
      <c r="T8" s="1475" t="s">
        <v>13</v>
      </c>
      <c r="U8" s="1476">
        <f t="shared" si="1"/>
        <v>100</v>
      </c>
      <c r="V8" s="1475" t="s">
        <v>13</v>
      </c>
      <c r="W8" s="1476">
        <f t="shared" si="2"/>
        <v>100</v>
      </c>
      <c r="X8" s="1477"/>
      <c r="Y8" s="3624" t="s">
        <v>516</v>
      </c>
      <c r="Z8" s="3625"/>
      <c r="AA8" s="1478">
        <f t="shared" ref="AA8:AA46" si="3">D8/F8</f>
        <v>1</v>
      </c>
      <c r="AB8" s="1478">
        <f t="shared" ref="AB8:AB46" si="4">D8/H8</f>
        <v>1</v>
      </c>
      <c r="AC8" s="1478">
        <f t="shared" ref="AC8:AC46" si="5">D8/J8</f>
        <v>1</v>
      </c>
    </row>
    <row r="9" spans="1:29" s="1183" customFormat="1" ht="15">
      <c r="A9" s="2569"/>
      <c r="B9" s="2576" t="s">
        <v>2655</v>
      </c>
      <c r="C9" s="3440" t="s">
        <v>3310</v>
      </c>
      <c r="D9" s="252">
        <v>100</v>
      </c>
      <c r="E9" s="830" t="s">
        <v>903</v>
      </c>
      <c r="F9" s="831">
        <f>SUMIF(63:63,E9,64:64)-SUMIF(63:63,C9,64:64)+100</f>
        <v>100</v>
      </c>
      <c r="G9" s="830" t="s">
        <v>903</v>
      </c>
      <c r="H9" s="252">
        <f>SUMIF(63:63,G9,64:64)-SUMIF(63:63,C9,64:64)+100</f>
        <v>100</v>
      </c>
      <c r="I9" s="830" t="s">
        <v>903</v>
      </c>
      <c r="J9" s="252">
        <f>SUMIF(63:63,I9,64:64)-SUMIF(63:63,C9,64:64)+100</f>
        <v>100</v>
      </c>
      <c r="K9" s="827"/>
      <c r="L9" s="1987"/>
      <c r="M9" s="1988"/>
      <c r="N9" s="1988"/>
      <c r="O9" s="1989"/>
      <c r="P9" s="3632" t="s">
        <v>518</v>
      </c>
      <c r="Q9" s="1114" t="str">
        <f t="shared" ref="Q9:Q15" si="6">B9</f>
        <v>用途</v>
      </c>
      <c r="R9" s="1475" t="s">
        <v>8</v>
      </c>
      <c r="S9" s="1476">
        <f t="shared" si="0"/>
        <v>100</v>
      </c>
      <c r="T9" s="1475" t="s">
        <v>8</v>
      </c>
      <c r="U9" s="1476">
        <f t="shared" si="1"/>
        <v>100</v>
      </c>
      <c r="V9" s="1475" t="s">
        <v>8</v>
      </c>
      <c r="W9" s="1476">
        <f t="shared" si="2"/>
        <v>100</v>
      </c>
      <c r="X9" s="1477"/>
      <c r="Y9" s="3583" t="s">
        <v>519</v>
      </c>
      <c r="Z9" s="1113" t="str">
        <f t="shared" ref="Z9:Z15" si="7">Q9</f>
        <v>用途</v>
      </c>
      <c r="AA9" s="1478">
        <f t="shared" si="3"/>
        <v>1</v>
      </c>
      <c r="AB9" s="1478">
        <f t="shared" si="4"/>
        <v>1</v>
      </c>
      <c r="AC9" s="1478">
        <f t="shared" si="5"/>
        <v>1</v>
      </c>
    </row>
    <row r="10" spans="1:29" s="1264" customFormat="1" ht="27">
      <c r="A10" s="2570"/>
      <c r="B10" s="2575" t="s">
        <v>2656</v>
      </c>
      <c r="C10" s="833" t="s">
        <v>3311</v>
      </c>
      <c r="D10" s="253">
        <v>100</v>
      </c>
      <c r="E10" s="833" t="s">
        <v>3311</v>
      </c>
      <c r="F10" s="835">
        <f>SUMIF(65:65,E10,66:66)-SUMIF(65:65,C10,66:66)+100</f>
        <v>100</v>
      </c>
      <c r="G10" s="833" t="s">
        <v>3311</v>
      </c>
      <c r="H10" s="253">
        <f>SUMIF(65:65,G10,66:66)-SUMIF(65:65,C10,66:66)+100</f>
        <v>100</v>
      </c>
      <c r="I10" s="833" t="s">
        <v>3311</v>
      </c>
      <c r="J10" s="253">
        <f>SUMIF(65:65,I10,66:66)-SUMIF(65:65,C10,66:66)+100</f>
        <v>100</v>
      </c>
      <c r="K10" s="836">
        <v>1</v>
      </c>
      <c r="L10" s="1990"/>
      <c r="M10" s="2029"/>
      <c r="N10" s="2029"/>
      <c r="O10" s="1991"/>
      <c r="P10" s="3632"/>
      <c r="Q10" s="1114" t="str">
        <f t="shared" si="6"/>
        <v>土地使用年限（年）</v>
      </c>
      <c r="R10" s="1475" t="s">
        <v>8</v>
      </c>
      <c r="S10" s="1476">
        <f t="shared" si="0"/>
        <v>100</v>
      </c>
      <c r="T10" s="1475" t="s">
        <v>8</v>
      </c>
      <c r="U10" s="1476">
        <f t="shared" si="1"/>
        <v>100</v>
      </c>
      <c r="V10" s="1475" t="s">
        <v>8</v>
      </c>
      <c r="W10" s="1476">
        <f t="shared" si="2"/>
        <v>100</v>
      </c>
      <c r="X10" s="1477"/>
      <c r="Y10" s="3583"/>
      <c r="Z10" s="1113" t="str">
        <f t="shared" si="7"/>
        <v>土地使用年限（年）</v>
      </c>
      <c r="AA10" s="1478">
        <f t="shared" si="3"/>
        <v>1</v>
      </c>
      <c r="AB10" s="1478">
        <f t="shared" si="4"/>
        <v>1</v>
      </c>
      <c r="AC10" s="1478">
        <f t="shared" si="5"/>
        <v>1</v>
      </c>
    </row>
    <row r="11" spans="1:29" ht="15.75" thickBot="1">
      <c r="A11" s="2571"/>
      <c r="B11" s="2575" t="s">
        <v>2657</v>
      </c>
      <c r="C11" s="510"/>
      <c r="D11" s="253">
        <v>100</v>
      </c>
      <c r="E11" s="511"/>
      <c r="F11" s="835">
        <f>LOOKUP(E11,68:68,69:69)-LOOKUP(C11,68:68,69:69)+100</f>
        <v>100</v>
      </c>
      <c r="G11" s="510"/>
      <c r="H11" s="253">
        <f>LOOKUP(G11,68:68,69:69)-LOOKUP(C11,68:68,69:69)+100</f>
        <v>100</v>
      </c>
      <c r="I11" s="510"/>
      <c r="J11" s="253">
        <f>LOOKUP(I11,68:68,69:69)-LOOKUP(C11,68:68,69:69)+100</f>
        <v>100</v>
      </c>
      <c r="K11" s="836"/>
      <c r="L11" s="1992"/>
      <c r="M11" s="1986"/>
      <c r="N11" s="1986"/>
      <c r="O11" s="1993"/>
      <c r="P11" s="3632"/>
      <c r="Q11" s="1114" t="str">
        <f t="shared" si="6"/>
        <v>容积率</v>
      </c>
      <c r="R11" s="1475" t="s">
        <v>11</v>
      </c>
      <c r="S11" s="1476">
        <f t="shared" si="0"/>
        <v>100</v>
      </c>
      <c r="T11" s="1475" t="s">
        <v>11</v>
      </c>
      <c r="U11" s="1476">
        <f t="shared" si="1"/>
        <v>100</v>
      </c>
      <c r="V11" s="1475" t="s">
        <v>11</v>
      </c>
      <c r="W11" s="1476">
        <f t="shared" si="2"/>
        <v>100</v>
      </c>
      <c r="X11" s="1477"/>
      <c r="Y11" s="3583"/>
      <c r="Z11" s="1113" t="str">
        <f t="shared" si="7"/>
        <v>容积率</v>
      </c>
      <c r="AA11" s="1478">
        <f t="shared" si="3"/>
        <v>1</v>
      </c>
      <c r="AB11" s="1478">
        <f t="shared" si="4"/>
        <v>1</v>
      </c>
      <c r="AC11" s="1478">
        <f t="shared" si="5"/>
        <v>1</v>
      </c>
    </row>
    <row r="12" spans="1:29" s="1183"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7"/>
      <c r="M12" s="1988"/>
      <c r="N12" s="1988"/>
      <c r="O12" s="1989"/>
      <c r="P12" s="3632"/>
      <c r="Q12" s="1114">
        <f t="shared" si="6"/>
        <v>111</v>
      </c>
      <c r="R12" s="1475" t="s">
        <v>11</v>
      </c>
      <c r="S12" s="1476">
        <f t="shared" si="0"/>
        <v>100</v>
      </c>
      <c r="T12" s="1475" t="s">
        <v>11</v>
      </c>
      <c r="U12" s="1476">
        <f t="shared" si="1"/>
        <v>100</v>
      </c>
      <c r="V12" s="1475" t="s">
        <v>11</v>
      </c>
      <c r="W12" s="1476">
        <f t="shared" si="2"/>
        <v>100</v>
      </c>
      <c r="X12" s="1477"/>
      <c r="Y12" s="3583"/>
      <c r="Z12" s="1113">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4"/>
      <c r="M13" s="1986"/>
      <c r="N13" s="1986"/>
      <c r="O13" s="1993"/>
      <c r="P13" s="3632"/>
      <c r="Q13" s="1114">
        <f t="shared" si="6"/>
        <v>111</v>
      </c>
      <c r="R13" s="1475" t="s">
        <v>11</v>
      </c>
      <c r="S13" s="1476">
        <f t="shared" si="0"/>
        <v>100</v>
      </c>
      <c r="T13" s="1475" t="s">
        <v>11</v>
      </c>
      <c r="U13" s="1476">
        <f t="shared" si="1"/>
        <v>100</v>
      </c>
      <c r="V13" s="1475" t="s">
        <v>11</v>
      </c>
      <c r="W13" s="1476">
        <f t="shared" si="2"/>
        <v>100</v>
      </c>
      <c r="X13" s="1477"/>
      <c r="Y13" s="3583"/>
      <c r="Z13" s="1113">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4"/>
      <c r="M14" s="1986"/>
      <c r="N14" s="1986"/>
      <c r="O14" s="1993"/>
      <c r="P14" s="3632"/>
      <c r="Q14" s="1114">
        <f t="shared" si="6"/>
        <v>111</v>
      </c>
      <c r="R14" s="1475" t="s">
        <v>11</v>
      </c>
      <c r="S14" s="1476">
        <f t="shared" si="0"/>
        <v>100</v>
      </c>
      <c r="T14" s="1475" t="s">
        <v>11</v>
      </c>
      <c r="U14" s="1476">
        <f t="shared" si="1"/>
        <v>100</v>
      </c>
      <c r="V14" s="1475" t="s">
        <v>11</v>
      </c>
      <c r="W14" s="1476">
        <f t="shared" si="2"/>
        <v>100</v>
      </c>
      <c r="X14" s="1477"/>
      <c r="Y14" s="3583"/>
      <c r="Z14" s="1113">
        <f t="shared" si="7"/>
        <v>111</v>
      </c>
      <c r="AA14" s="1478">
        <f t="shared" si="3"/>
        <v>1</v>
      </c>
      <c r="AB14" s="1478">
        <f t="shared" si="4"/>
        <v>1</v>
      </c>
      <c r="AC14" s="1478">
        <f t="shared" si="5"/>
        <v>1</v>
      </c>
    </row>
    <row r="15" spans="1:29" ht="15">
      <c r="A15" s="2565" t="s">
        <v>2653</v>
      </c>
      <c r="B15" s="164" t="s">
        <v>295</v>
      </c>
      <c r="C15" s="839" t="str">
        <f>估价对象房地状况!C3</f>
        <v>一般</v>
      </c>
      <c r="D15" s="526">
        <v>100</v>
      </c>
      <c r="E15" s="3441" t="s">
        <v>3262</v>
      </c>
      <c r="F15" s="528">
        <f>SUMIF(76:76,E16,77:77)-SUMIF(76:76,C16,77:77)+100</f>
        <v>100</v>
      </c>
      <c r="G15" s="3441" t="s">
        <v>3328</v>
      </c>
      <c r="H15" s="526">
        <f>SUMIF(76:76,G16,77:77)-SUMIF(76:76,C16,77:77)+100</f>
        <v>100</v>
      </c>
      <c r="I15" s="527" t="s">
        <v>3261</v>
      </c>
      <c r="J15" s="526">
        <f>SUMIF(76:76,I16,77:77)-SUMIF(76:76,C16,77:77)+100</f>
        <v>100</v>
      </c>
      <c r="K15" s="840">
        <v>1</v>
      </c>
      <c r="L15" s="1994"/>
      <c r="M15" s="1986"/>
      <c r="N15" s="1986"/>
      <c r="O15" s="1993"/>
      <c r="P15" s="3634" t="s">
        <v>523</v>
      </c>
      <c r="Q15" s="1479" t="str">
        <f t="shared" si="6"/>
        <v>居住社区成熟度</v>
      </c>
      <c r="R15" s="1480" t="s">
        <v>11</v>
      </c>
      <c r="S15" s="1481">
        <f t="shared" si="0"/>
        <v>100</v>
      </c>
      <c r="T15" s="1480" t="s">
        <v>11</v>
      </c>
      <c r="U15" s="1481">
        <f t="shared" si="1"/>
        <v>100</v>
      </c>
      <c r="V15" s="1480" t="s">
        <v>11</v>
      </c>
      <c r="W15" s="1481">
        <f t="shared" si="2"/>
        <v>100</v>
      </c>
      <c r="X15" s="1474"/>
      <c r="Y15" s="3634" t="s">
        <v>523</v>
      </c>
      <c r="Z15" s="1482" t="str">
        <f t="shared" si="7"/>
        <v>居住社区成熟度</v>
      </c>
      <c r="AA15" s="1483">
        <f t="shared" si="3"/>
        <v>1</v>
      </c>
      <c r="AB15" s="1483">
        <f t="shared" si="4"/>
        <v>1</v>
      </c>
      <c r="AC15" s="1483">
        <f t="shared" si="5"/>
        <v>1</v>
      </c>
    </row>
    <row r="16" spans="1:29" ht="15">
      <c r="A16" s="509"/>
      <c r="B16" s="841"/>
      <c r="C16" s="553" t="s">
        <v>3262</v>
      </c>
      <c r="D16" s="532"/>
      <c r="E16" s="533" t="s">
        <v>3262</v>
      </c>
      <c r="F16" s="534"/>
      <c r="G16" s="533" t="s">
        <v>3262</v>
      </c>
      <c r="H16" s="536"/>
      <c r="I16" s="533" t="s">
        <v>3262</v>
      </c>
      <c r="J16" s="532"/>
      <c r="K16" s="842"/>
      <c r="L16" s="1994"/>
      <c r="M16" s="1986"/>
      <c r="N16" s="1986"/>
      <c r="O16" s="1993"/>
      <c r="P16" s="3635"/>
      <c r="Q16" s="1479"/>
      <c r="R16" s="1480"/>
      <c r="S16" s="1481"/>
      <c r="T16" s="1480"/>
      <c r="U16" s="1481"/>
      <c r="V16" s="1480"/>
      <c r="W16" s="1481"/>
      <c r="X16" s="1474"/>
      <c r="Y16" s="3635"/>
      <c r="Z16" s="1482"/>
      <c r="AA16" s="1483">
        <v>1</v>
      </c>
      <c r="AB16" s="1483">
        <v>1</v>
      </c>
      <c r="AC16" s="1483">
        <v>1</v>
      </c>
    </row>
    <row r="17" spans="1:29" ht="15">
      <c r="A17" s="509"/>
      <c r="B17" s="843" t="s">
        <v>296</v>
      </c>
      <c r="C17" s="844" t="str">
        <f>估价对象房地状况!C6</f>
        <v>一般</v>
      </c>
      <c r="D17" s="536">
        <v>100</v>
      </c>
      <c r="E17" s="539" t="s">
        <v>3262</v>
      </c>
      <c r="F17" s="540">
        <f>SUMIF(78:78,E18,79:79)-SUMIF(78:78,C18,79:79)+100</f>
        <v>100</v>
      </c>
      <c r="G17" s="539" t="s">
        <v>3262</v>
      </c>
      <c r="H17" s="542">
        <f>SUMIF(78:78,G18,79:79)-SUMIF(78:78,C18,79:79)+100</f>
        <v>100</v>
      </c>
      <c r="I17" s="539" t="s">
        <v>3262</v>
      </c>
      <c r="J17" s="542">
        <f>SUMIF(78:78,I18,79:79)-SUMIF(78:78,C18,79:79)+100</f>
        <v>100</v>
      </c>
      <c r="K17" s="840">
        <v>1</v>
      </c>
      <c r="L17" s="1994"/>
      <c r="M17" s="1986"/>
      <c r="N17" s="1986"/>
      <c r="O17" s="1993"/>
      <c r="P17" s="3635"/>
      <c r="Q17" s="1479" t="str">
        <f>B17</f>
        <v>交通便捷度</v>
      </c>
      <c r="R17" s="1480" t="s">
        <v>11</v>
      </c>
      <c r="S17" s="1481">
        <f>F17</f>
        <v>100</v>
      </c>
      <c r="T17" s="1480" t="s">
        <v>11</v>
      </c>
      <c r="U17" s="1481">
        <f>H17</f>
        <v>100</v>
      </c>
      <c r="V17" s="1480" t="s">
        <v>11</v>
      </c>
      <c r="W17" s="1481">
        <f>J17</f>
        <v>100</v>
      </c>
      <c r="X17" s="1474"/>
      <c r="Y17" s="3635"/>
      <c r="Z17" s="1482" t="str">
        <f>Q17</f>
        <v>交通便捷度</v>
      </c>
      <c r="AA17" s="1483">
        <f t="shared" si="3"/>
        <v>1</v>
      </c>
      <c r="AB17" s="1483">
        <f t="shared" si="4"/>
        <v>1</v>
      </c>
      <c r="AC17" s="1483">
        <f t="shared" si="5"/>
        <v>1</v>
      </c>
    </row>
    <row r="18" spans="1:29" ht="15.75" thickBot="1">
      <c r="A18" s="509"/>
      <c r="B18" s="572"/>
      <c r="C18" s="845" t="s">
        <v>3262</v>
      </c>
      <c r="D18" s="536"/>
      <c r="E18" s="545" t="s">
        <v>3262</v>
      </c>
      <c r="F18" s="540"/>
      <c r="G18" s="545" t="s">
        <v>3262</v>
      </c>
      <c r="H18" s="532"/>
      <c r="I18" s="545" t="s">
        <v>3262</v>
      </c>
      <c r="J18" s="532"/>
      <c r="K18" s="842"/>
      <c r="L18" s="1994"/>
      <c r="M18" s="1986"/>
      <c r="N18" s="1986"/>
      <c r="O18" s="1993"/>
      <c r="P18" s="3635"/>
      <c r="Q18" s="1479"/>
      <c r="R18" s="1480"/>
      <c r="S18" s="1481"/>
      <c r="T18" s="1480"/>
      <c r="U18" s="1481"/>
      <c r="V18" s="1480"/>
      <c r="W18" s="1481"/>
      <c r="X18" s="1474"/>
      <c r="Y18" s="3635"/>
      <c r="Z18" s="1482"/>
      <c r="AA18" s="1483">
        <v>1</v>
      </c>
      <c r="AB18" s="1483">
        <v>1</v>
      </c>
      <c r="AC18" s="1483">
        <v>1</v>
      </c>
    </row>
    <row r="19" spans="1:29" ht="15">
      <c r="A19" s="509"/>
      <c r="B19" s="2382" t="s">
        <v>2446</v>
      </c>
      <c r="C19" s="844" t="str">
        <f>估价对象房地状况!C7</f>
        <v>一般</v>
      </c>
      <c r="D19" s="542">
        <v>100</v>
      </c>
      <c r="E19" s="3441" t="s">
        <v>3262</v>
      </c>
      <c r="F19" s="548">
        <f>SUMIF(80:80,E20,81:81)-SUMIF(80:80,C20,81:81)+100</f>
        <v>100</v>
      </c>
      <c r="G19" s="3441" t="s">
        <v>3328</v>
      </c>
      <c r="H19" s="536">
        <f>SUMIF(80:80,G20,81:81)-SUMIF(80:80,C20,81:81)+100</f>
        <v>100</v>
      </c>
      <c r="I19" s="547" t="s">
        <v>3261</v>
      </c>
      <c r="J19" s="536">
        <f>SUMIF(80:80,I20,81:81)-SUMIF(80:80,C20,81:81)+100</f>
        <v>100</v>
      </c>
      <c r="K19" s="840">
        <v>1</v>
      </c>
      <c r="L19" s="1994"/>
      <c r="M19" s="1986"/>
      <c r="N19" s="1986"/>
      <c r="O19" s="1993"/>
      <c r="P19" s="3635"/>
      <c r="Q19" s="1479" t="str">
        <f>B19</f>
        <v>公共配套设施</v>
      </c>
      <c r="R19" s="1480" t="s">
        <v>11</v>
      </c>
      <c r="S19" s="1481">
        <f>F19</f>
        <v>100</v>
      </c>
      <c r="T19" s="1480" t="s">
        <v>11</v>
      </c>
      <c r="U19" s="1481">
        <f>H19</f>
        <v>100</v>
      </c>
      <c r="V19" s="1480" t="s">
        <v>11</v>
      </c>
      <c r="W19" s="1481">
        <f>J19</f>
        <v>100</v>
      </c>
      <c r="X19" s="1474"/>
      <c r="Y19" s="3635"/>
      <c r="Z19" s="1482" t="str">
        <f>Q19</f>
        <v>公共配套设施</v>
      </c>
      <c r="AA19" s="1483">
        <f t="shared" si="3"/>
        <v>1</v>
      </c>
      <c r="AB19" s="1483">
        <f t="shared" si="4"/>
        <v>1</v>
      </c>
      <c r="AC19" s="1483">
        <f t="shared" si="5"/>
        <v>1</v>
      </c>
    </row>
    <row r="20" spans="1:29" ht="15">
      <c r="A20" s="509"/>
      <c r="B20" s="572"/>
      <c r="C20" s="553" t="s">
        <v>3262</v>
      </c>
      <c r="D20" s="532"/>
      <c r="E20" s="533" t="s">
        <v>3262</v>
      </c>
      <c r="F20" s="534"/>
      <c r="G20" s="533" t="s">
        <v>3262</v>
      </c>
      <c r="H20" s="532"/>
      <c r="I20" s="533" t="s">
        <v>3262</v>
      </c>
      <c r="J20" s="532"/>
      <c r="K20" s="842"/>
      <c r="L20" s="1994"/>
      <c r="M20" s="1986"/>
      <c r="N20" s="1986"/>
      <c r="O20" s="1993"/>
      <c r="P20" s="3635"/>
      <c r="Q20" s="1479"/>
      <c r="R20" s="1480"/>
      <c r="S20" s="1481"/>
      <c r="T20" s="1480"/>
      <c r="U20" s="1481"/>
      <c r="V20" s="1480"/>
      <c r="W20" s="1481"/>
      <c r="X20" s="1474"/>
      <c r="Y20" s="3635"/>
      <c r="Z20" s="1482"/>
      <c r="AA20" s="1483">
        <v>1</v>
      </c>
      <c r="AB20" s="1483">
        <v>1</v>
      </c>
      <c r="AC20" s="1483">
        <v>1</v>
      </c>
    </row>
    <row r="21" spans="1:29" ht="15">
      <c r="A21" s="509"/>
      <c r="B21" s="2375" t="s">
        <v>2458</v>
      </c>
      <c r="C21" s="844" t="str">
        <f>估价对象房地状况!C8</f>
        <v>七通</v>
      </c>
      <c r="D21" s="542">
        <v>100</v>
      </c>
      <c r="E21" s="549" t="s">
        <v>3264</v>
      </c>
      <c r="F21" s="548">
        <f>SUMIF(82:82,E22,83:83)-SUMIF(82:82,C22,83:83)+100</f>
        <v>100</v>
      </c>
      <c r="G21" s="549" t="s">
        <v>3264</v>
      </c>
      <c r="H21" s="542">
        <f>SUMIF(82:82,G22,83:83)-SUMIF(82:82,C22,83:83)+100</f>
        <v>100</v>
      </c>
      <c r="I21" s="549" t="s">
        <v>3264</v>
      </c>
      <c r="J21" s="542">
        <f>SUMIF(82:82,I22,83:83)-SUMIF(82:82,C22,83:83)+100</f>
        <v>100</v>
      </c>
      <c r="K21" s="840">
        <v>1</v>
      </c>
      <c r="L21" s="1994"/>
      <c r="M21" s="1986"/>
      <c r="N21" s="1986"/>
      <c r="O21" s="1993"/>
      <c r="P21" s="3635"/>
      <c r="Q21" s="2367" t="str">
        <f>B21</f>
        <v>基础设施水平</v>
      </c>
      <c r="R21" s="1480" t="s">
        <v>11</v>
      </c>
      <c r="S21" s="1481">
        <f>F21</f>
        <v>100</v>
      </c>
      <c r="T21" s="1480" t="s">
        <v>11</v>
      </c>
      <c r="U21" s="1481">
        <f>H21</f>
        <v>100</v>
      </c>
      <c r="V21" s="1480" t="s">
        <v>11</v>
      </c>
      <c r="W21" s="1481">
        <f>J21</f>
        <v>100</v>
      </c>
      <c r="X21" s="2369"/>
      <c r="Y21" s="3635"/>
      <c r="Z21" s="2368" t="str">
        <f>Q21</f>
        <v>基础设施水平</v>
      </c>
      <c r="AA21" s="1483">
        <f t="shared" ref="AA21" si="8">D21/F21</f>
        <v>1</v>
      </c>
      <c r="AB21" s="1483">
        <f t="shared" ref="AB21" si="9">D21/H21</f>
        <v>1</v>
      </c>
      <c r="AC21" s="1483">
        <f t="shared" ref="AC21" si="10">D21/J21</f>
        <v>1</v>
      </c>
    </row>
    <row r="22" spans="1:29" ht="15">
      <c r="A22" s="509"/>
      <c r="B22" s="891"/>
      <c r="C22" s="845" t="s">
        <v>3264</v>
      </c>
      <c r="D22" s="532"/>
      <c r="E22" s="553" t="s">
        <v>3264</v>
      </c>
      <c r="F22" s="534"/>
      <c r="G22" s="553" t="s">
        <v>3264</v>
      </c>
      <c r="H22" s="532"/>
      <c r="I22" s="553" t="s">
        <v>3264</v>
      </c>
      <c r="J22" s="532"/>
      <c r="K22" s="2381"/>
      <c r="L22" s="1994"/>
      <c r="M22" s="1986"/>
      <c r="N22" s="1986"/>
      <c r="O22" s="1993"/>
      <c r="P22" s="3635"/>
      <c r="Q22" s="2367"/>
      <c r="R22" s="1480"/>
      <c r="S22" s="1481"/>
      <c r="T22" s="1480"/>
      <c r="U22" s="1481"/>
      <c r="V22" s="1480"/>
      <c r="W22" s="1481"/>
      <c r="X22" s="2369"/>
      <c r="Y22" s="3635"/>
      <c r="Z22" s="2368"/>
      <c r="AA22" s="1483">
        <v>1</v>
      </c>
      <c r="AB22" s="1483">
        <v>1</v>
      </c>
      <c r="AC22" s="1483">
        <v>1</v>
      </c>
    </row>
    <row r="23" spans="1:29" ht="15">
      <c r="A23" s="509"/>
      <c r="B23" s="843" t="s">
        <v>297</v>
      </c>
      <c r="C23" s="844" t="str">
        <f>估价对象房地状况!C9</f>
        <v>一般</v>
      </c>
      <c r="D23" s="536">
        <v>100</v>
      </c>
      <c r="E23" s="539" t="s">
        <v>3262</v>
      </c>
      <c r="F23" s="540">
        <f>SUMIF(84:84,E24,85:85)-SUMIF(84:84,C24,85:85)+100</f>
        <v>100</v>
      </c>
      <c r="G23" s="539" t="s">
        <v>3262</v>
      </c>
      <c r="H23" s="536">
        <f>SUMIF(84:84,G24,85:85)-SUMIF(84:84,C24,85:85)+100</f>
        <v>100</v>
      </c>
      <c r="I23" s="539" t="s">
        <v>3262</v>
      </c>
      <c r="J23" s="536">
        <f>SUMIF(84:84,I24,85:85)-SUMIF(84:84,C24,85:85)+100</f>
        <v>100</v>
      </c>
      <c r="K23" s="840">
        <v>1</v>
      </c>
      <c r="L23" s="1994"/>
      <c r="M23" s="1986"/>
      <c r="N23" s="1986"/>
      <c r="O23" s="1993"/>
      <c r="P23" s="3635"/>
      <c r="Q23" s="1479" t="str">
        <f>B23</f>
        <v>自然及人文环境</v>
      </c>
      <c r="R23" s="1480" t="s">
        <v>11</v>
      </c>
      <c r="S23" s="1481">
        <f>F23</f>
        <v>100</v>
      </c>
      <c r="T23" s="1480" t="s">
        <v>11</v>
      </c>
      <c r="U23" s="1481">
        <f>H23</f>
        <v>100</v>
      </c>
      <c r="V23" s="1480" t="s">
        <v>11</v>
      </c>
      <c r="W23" s="1481">
        <f>J23</f>
        <v>100</v>
      </c>
      <c r="X23" s="1474"/>
      <c r="Y23" s="3635"/>
      <c r="Z23" s="1482" t="str">
        <f>Q23</f>
        <v>自然及人文环境</v>
      </c>
      <c r="AA23" s="1483">
        <f t="shared" si="3"/>
        <v>1</v>
      </c>
      <c r="AB23" s="1483">
        <f t="shared" si="4"/>
        <v>1</v>
      </c>
      <c r="AC23" s="1483">
        <f t="shared" si="5"/>
        <v>1</v>
      </c>
    </row>
    <row r="24" spans="1:29" ht="15.75" thickBot="1">
      <c r="A24" s="509"/>
      <c r="B24" s="572"/>
      <c r="C24" s="553" t="s">
        <v>3262</v>
      </c>
      <c r="D24" s="532"/>
      <c r="E24" s="533" t="s">
        <v>3262</v>
      </c>
      <c r="F24" s="534"/>
      <c r="G24" s="533" t="s">
        <v>3262</v>
      </c>
      <c r="H24" s="532"/>
      <c r="I24" s="533" t="s">
        <v>3262</v>
      </c>
      <c r="J24" s="532"/>
      <c r="K24" s="842"/>
      <c r="L24" s="1994"/>
      <c r="M24" s="1986"/>
      <c r="N24" s="1986"/>
      <c r="O24" s="1993"/>
      <c r="P24" s="3635"/>
      <c r="Q24" s="1479"/>
      <c r="R24" s="1480"/>
      <c r="S24" s="1481"/>
      <c r="T24" s="1480"/>
      <c r="U24" s="1481"/>
      <c r="V24" s="1480"/>
      <c r="W24" s="1481"/>
      <c r="X24" s="1474"/>
      <c r="Y24" s="3635"/>
      <c r="Z24" s="1482"/>
      <c r="AA24" s="1483">
        <v>1</v>
      </c>
      <c r="AB24" s="1483">
        <v>1</v>
      </c>
      <c r="AC24" s="1483">
        <v>1</v>
      </c>
    </row>
    <row r="25" spans="1:29" ht="15" hidden="1">
      <c r="A25" s="509"/>
      <c r="B25" s="1780" t="s">
        <v>2230</v>
      </c>
      <c r="C25" s="551"/>
      <c r="D25" s="517">
        <v>100</v>
      </c>
      <c r="E25" s="846"/>
      <c r="F25" s="552">
        <f>SUMIF(86:86,E25,87:87)-SUMIF(86:86,C25,87:87)+100</f>
        <v>100</v>
      </c>
      <c r="G25" s="576"/>
      <c r="H25" s="517">
        <f>SUMIF(86:86,G25,87:87)-SUMIF(86:86,C25,87:87)+100</f>
        <v>100</v>
      </c>
      <c r="I25" s="846"/>
      <c r="J25" s="517">
        <f>SUMIF(86:86,I25,87:87)-SUMIF(86:86,C25,87:87)+100</f>
        <v>100</v>
      </c>
      <c r="K25" s="836"/>
      <c r="L25" s="1994"/>
      <c r="M25" s="1986"/>
      <c r="N25" s="1986"/>
      <c r="O25" s="1993"/>
      <c r="P25" s="3635"/>
      <c r="Q25" s="1479" t="str">
        <f t="shared" ref="Q25:Q46" si="11">B25</f>
        <v>楼层-1</v>
      </c>
      <c r="R25" s="1480" t="s">
        <v>11</v>
      </c>
      <c r="S25" s="1481">
        <f>F25</f>
        <v>100</v>
      </c>
      <c r="T25" s="1480" t="s">
        <v>11</v>
      </c>
      <c r="U25" s="1481">
        <f>H25</f>
        <v>100</v>
      </c>
      <c r="V25" s="1480" t="s">
        <v>11</v>
      </c>
      <c r="W25" s="1481">
        <f>J25</f>
        <v>100</v>
      </c>
      <c r="X25" s="1474"/>
      <c r="Y25" s="3635"/>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4"/>
      <c r="M26" s="1986"/>
      <c r="N26" s="1986"/>
      <c r="O26" s="1993"/>
      <c r="P26" s="3635"/>
      <c r="Q26" s="1479" t="str">
        <f t="shared" si="11"/>
        <v>朝向</v>
      </c>
      <c r="R26" s="1480" t="s">
        <v>11</v>
      </c>
      <c r="S26" s="1481">
        <f>F26</f>
        <v>100</v>
      </c>
      <c r="T26" s="1480" t="s">
        <v>11</v>
      </c>
      <c r="U26" s="1481">
        <f>H26</f>
        <v>100</v>
      </c>
      <c r="V26" s="1480" t="s">
        <v>11</v>
      </c>
      <c r="W26" s="1481">
        <f>J26</f>
        <v>100</v>
      </c>
      <c r="X26" s="1474"/>
      <c r="Y26" s="3635"/>
      <c r="Z26" s="1482" t="str">
        <f>Q26</f>
        <v>朝向</v>
      </c>
      <c r="AA26" s="1483">
        <f t="shared" si="3"/>
        <v>1</v>
      </c>
      <c r="AB26" s="1483">
        <f t="shared" si="4"/>
        <v>1</v>
      </c>
      <c r="AC26" s="1483">
        <f t="shared" si="5"/>
        <v>1</v>
      </c>
    </row>
    <row r="27" spans="1:29" s="1183"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7"/>
      <c r="M27" s="1988"/>
      <c r="N27" s="1988"/>
      <c r="O27" s="1989"/>
      <c r="P27" s="3635"/>
      <c r="Q27" s="1114" t="str">
        <f t="shared" si="11"/>
        <v>道路级别</v>
      </c>
      <c r="R27" s="1475" t="s">
        <v>11</v>
      </c>
      <c r="S27" s="1476">
        <f>F27</f>
        <v>100</v>
      </c>
      <c r="T27" s="1475" t="s">
        <v>11</v>
      </c>
      <c r="U27" s="1476">
        <f>H27</f>
        <v>100</v>
      </c>
      <c r="V27" s="1475" t="s">
        <v>11</v>
      </c>
      <c r="W27" s="1476">
        <f>J27</f>
        <v>100</v>
      </c>
      <c r="X27" s="1477"/>
      <c r="Y27" s="3635"/>
      <c r="Z27" s="1113"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4"/>
      <c r="M28" s="1986"/>
      <c r="N28" s="1986"/>
      <c r="O28" s="1993"/>
      <c r="P28" s="3635"/>
      <c r="Q28" s="1479">
        <f t="shared" si="11"/>
        <v>111</v>
      </c>
      <c r="R28" s="1480" t="s">
        <v>11</v>
      </c>
      <c r="S28" s="1481">
        <f t="shared" ref="S28:S46" si="12">F28</f>
        <v>100</v>
      </c>
      <c r="T28" s="1480" t="s">
        <v>11</v>
      </c>
      <c r="U28" s="1481">
        <f t="shared" ref="U28:U46" si="13">H28</f>
        <v>100</v>
      </c>
      <c r="V28" s="1480" t="s">
        <v>11</v>
      </c>
      <c r="W28" s="1481">
        <f t="shared" ref="W28:W46" si="14">J28</f>
        <v>100</v>
      </c>
      <c r="X28" s="1474"/>
      <c r="Y28" s="3635"/>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4"/>
      <c r="M29" s="1986"/>
      <c r="N29" s="1986"/>
      <c r="O29" s="1993"/>
      <c r="P29" s="3635"/>
      <c r="Q29" s="1479">
        <f t="shared" si="11"/>
        <v>111</v>
      </c>
      <c r="R29" s="1480" t="s">
        <v>11</v>
      </c>
      <c r="S29" s="1481">
        <f t="shared" si="12"/>
        <v>100</v>
      </c>
      <c r="T29" s="1480" t="s">
        <v>11</v>
      </c>
      <c r="U29" s="1481">
        <f t="shared" si="13"/>
        <v>100</v>
      </c>
      <c r="V29" s="1480" t="s">
        <v>11</v>
      </c>
      <c r="W29" s="1481">
        <f t="shared" si="14"/>
        <v>100</v>
      </c>
      <c r="X29" s="1474"/>
      <c r="Y29" s="3635"/>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4"/>
      <c r="M30" s="1986"/>
      <c r="N30" s="1986"/>
      <c r="O30" s="1993"/>
      <c r="P30" s="3635"/>
      <c r="Q30" s="1479">
        <f t="shared" si="11"/>
        <v>111</v>
      </c>
      <c r="R30" s="1480" t="s">
        <v>11</v>
      </c>
      <c r="S30" s="1481">
        <f t="shared" si="12"/>
        <v>100</v>
      </c>
      <c r="T30" s="1480" t="s">
        <v>11</v>
      </c>
      <c r="U30" s="1481">
        <f t="shared" si="13"/>
        <v>100</v>
      </c>
      <c r="V30" s="1480" t="s">
        <v>11</v>
      </c>
      <c r="W30" s="1481">
        <f t="shared" si="14"/>
        <v>100</v>
      </c>
      <c r="X30" s="1474"/>
      <c r="Y30" s="3635"/>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4"/>
      <c r="M31" s="1986"/>
      <c r="N31" s="1986"/>
      <c r="O31" s="1993"/>
      <c r="P31" s="3635"/>
      <c r="Q31" s="1479">
        <f t="shared" si="11"/>
        <v>111</v>
      </c>
      <c r="R31" s="1480" t="s">
        <v>11</v>
      </c>
      <c r="S31" s="1481">
        <f t="shared" si="12"/>
        <v>100</v>
      </c>
      <c r="T31" s="1480" t="s">
        <v>11</v>
      </c>
      <c r="U31" s="1481">
        <f t="shared" si="13"/>
        <v>100</v>
      </c>
      <c r="V31" s="1480" t="s">
        <v>11</v>
      </c>
      <c r="W31" s="1481">
        <f t="shared" si="14"/>
        <v>100</v>
      </c>
      <c r="X31" s="1474"/>
      <c r="Y31" s="3635"/>
      <c r="Z31" s="1482">
        <f t="shared" si="15"/>
        <v>111</v>
      </c>
      <c r="AA31" s="1483">
        <f t="shared" si="3"/>
        <v>1</v>
      </c>
      <c r="AB31" s="1483">
        <f t="shared" si="4"/>
        <v>1</v>
      </c>
      <c r="AC31" s="1483">
        <f t="shared" si="5"/>
        <v>1</v>
      </c>
    </row>
    <row r="32" spans="1:29" ht="15">
      <c r="A32" s="2562" t="s">
        <v>2654</v>
      </c>
      <c r="B32" s="170" t="s">
        <v>708</v>
      </c>
      <c r="C32" s="850" t="s">
        <v>3294</v>
      </c>
      <c r="D32" s="574">
        <v>100</v>
      </c>
      <c r="E32" s="850" t="s">
        <v>3294</v>
      </c>
      <c r="F32" s="552">
        <f>SUMIF(100:100,E32,101:101)-SUMIF(100:100,C32,101:101)+100</f>
        <v>100</v>
      </c>
      <c r="G32" s="850" t="s">
        <v>3294</v>
      </c>
      <c r="H32" s="574">
        <f>SUMIF(100:100,G32,101:101)-SUMIF(100:100,C32,101:101)+100</f>
        <v>100</v>
      </c>
      <c r="I32" s="850" t="s">
        <v>3294</v>
      </c>
      <c r="J32" s="517">
        <f>SUMIF(100:100,I32,101:101)-SUMIF(100:100,C32,101:101)+100</f>
        <v>100</v>
      </c>
      <c r="K32" s="836">
        <v>1</v>
      </c>
      <c r="L32" s="1994"/>
      <c r="M32" s="1986"/>
      <c r="N32" s="1986"/>
      <c r="O32" s="1993"/>
      <c r="P32" s="3636" t="s">
        <v>533</v>
      </c>
      <c r="Q32" s="1479" t="str">
        <f t="shared" si="11"/>
        <v>建筑类型</v>
      </c>
      <c r="R32" s="1480" t="s">
        <v>11</v>
      </c>
      <c r="S32" s="1481">
        <f t="shared" si="12"/>
        <v>100</v>
      </c>
      <c r="T32" s="1480" t="s">
        <v>11</v>
      </c>
      <c r="U32" s="1481">
        <f t="shared" si="13"/>
        <v>100</v>
      </c>
      <c r="V32" s="1480" t="s">
        <v>11</v>
      </c>
      <c r="W32" s="1481">
        <f t="shared" si="14"/>
        <v>100</v>
      </c>
      <c r="X32" s="1474"/>
      <c r="Y32" s="3637" t="s">
        <v>533</v>
      </c>
      <c r="Z32" s="1482" t="str">
        <f t="shared" si="15"/>
        <v>建筑类型</v>
      </c>
      <c r="AA32" s="1483">
        <f t="shared" si="3"/>
        <v>1</v>
      </c>
      <c r="AB32" s="1483">
        <f t="shared" si="4"/>
        <v>1</v>
      </c>
      <c r="AC32" s="1483">
        <f t="shared" si="5"/>
        <v>1</v>
      </c>
    </row>
    <row r="33" spans="1:29" s="1265" customFormat="1" ht="15">
      <c r="A33" s="580"/>
      <c r="B33" s="504" t="s">
        <v>709</v>
      </c>
      <c r="C33" s="851"/>
      <c r="D33" s="253">
        <v>100</v>
      </c>
      <c r="E33" s="851"/>
      <c r="F33" s="835">
        <f>LOOKUP(E33,103:103,104:104)-LOOKUP(C33,103:103,104:104)+100</f>
        <v>100</v>
      </c>
      <c r="G33" s="851"/>
      <c r="H33" s="253">
        <f>LOOKUP(G33,103:103,104:104)-LOOKUP(C33,103:103,104:104)+100</f>
        <v>100</v>
      </c>
      <c r="I33" s="851"/>
      <c r="J33" s="253">
        <f>LOOKUP(I33,103:103,104:104)-LOOKUP(C33,103:103,104:104)+100</f>
        <v>100</v>
      </c>
      <c r="K33" s="837"/>
      <c r="L33" s="1992"/>
      <c r="M33" s="2022"/>
      <c r="N33" s="2022"/>
      <c r="O33" s="1995"/>
      <c r="P33" s="3637"/>
      <c r="Q33" s="1508" t="str">
        <f t="shared" si="11"/>
        <v>项目建筑规模</v>
      </c>
      <c r="R33" s="1484" t="s">
        <v>11</v>
      </c>
      <c r="S33" s="1485">
        <f t="shared" si="12"/>
        <v>100</v>
      </c>
      <c r="T33" s="1484" t="s">
        <v>11</v>
      </c>
      <c r="U33" s="1485">
        <f t="shared" si="13"/>
        <v>100</v>
      </c>
      <c r="V33" s="1484" t="s">
        <v>11</v>
      </c>
      <c r="W33" s="1485">
        <f t="shared" si="14"/>
        <v>100</v>
      </c>
      <c r="X33" s="1486"/>
      <c r="Y33" s="3637"/>
      <c r="Z33" s="1487" t="str">
        <f t="shared" si="15"/>
        <v>项目建筑规模</v>
      </c>
      <c r="AA33" s="1483">
        <f t="shared" si="3"/>
        <v>1</v>
      </c>
      <c r="AB33" s="1483">
        <f t="shared" si="4"/>
        <v>1</v>
      </c>
      <c r="AC33" s="1483">
        <f t="shared" si="5"/>
        <v>1</v>
      </c>
    </row>
    <row r="34" spans="1:29" ht="15">
      <c r="A34" s="571"/>
      <c r="B34" s="504" t="s">
        <v>710</v>
      </c>
      <c r="C34" s="852" t="s">
        <v>3296</v>
      </c>
      <c r="D34" s="517">
        <v>100</v>
      </c>
      <c r="E34" s="852" t="s">
        <v>3296</v>
      </c>
      <c r="F34" s="552">
        <f>SUMIF(105:105,E34,106:106)-SUMIF(105:105,C34,106:106)+100</f>
        <v>100</v>
      </c>
      <c r="G34" s="852" t="s">
        <v>3296</v>
      </c>
      <c r="H34" s="517">
        <f>SUMIF(105:105,G34,106:106)-SUMIF(105:105,C34,106:106)+100</f>
        <v>100</v>
      </c>
      <c r="I34" s="852" t="s">
        <v>3296</v>
      </c>
      <c r="J34" s="517">
        <f>SUMIF(105:105,I34,106:106)-SUMIF(105:105,C34,106:106)+100</f>
        <v>100</v>
      </c>
      <c r="K34" s="836">
        <v>1</v>
      </c>
      <c r="L34" s="1994"/>
      <c r="M34" s="1986"/>
      <c r="N34" s="1986"/>
      <c r="O34" s="1993"/>
      <c r="P34" s="3637"/>
      <c r="Q34" s="1479" t="str">
        <f t="shared" si="11"/>
        <v>建筑结构</v>
      </c>
      <c r="R34" s="1480" t="s">
        <v>11</v>
      </c>
      <c r="S34" s="1481">
        <f t="shared" si="12"/>
        <v>100</v>
      </c>
      <c r="T34" s="1480" t="s">
        <v>11</v>
      </c>
      <c r="U34" s="1481">
        <f t="shared" si="13"/>
        <v>100</v>
      </c>
      <c r="V34" s="1480" t="s">
        <v>11</v>
      </c>
      <c r="W34" s="1481">
        <f t="shared" si="14"/>
        <v>100</v>
      </c>
      <c r="X34" s="1474"/>
      <c r="Y34" s="3637"/>
      <c r="Z34" s="1482" t="str">
        <f t="shared" si="15"/>
        <v>建筑结构</v>
      </c>
      <c r="AA34" s="1483">
        <f t="shared" si="3"/>
        <v>1</v>
      </c>
      <c r="AB34" s="1483">
        <f t="shared" si="4"/>
        <v>1</v>
      </c>
      <c r="AC34" s="1483">
        <f t="shared" si="5"/>
        <v>1</v>
      </c>
    </row>
    <row r="35" spans="1:29" ht="15">
      <c r="A35" s="571"/>
      <c r="B35" s="504" t="s">
        <v>711</v>
      </c>
      <c r="C35" s="576" t="s">
        <v>3298</v>
      </c>
      <c r="D35" s="517">
        <v>100</v>
      </c>
      <c r="E35" s="576" t="s">
        <v>3298</v>
      </c>
      <c r="F35" s="552">
        <f>SUMIF(107:107,E35,108:108)-SUMIF(107:107,C35,108:108)+100</f>
        <v>100</v>
      </c>
      <c r="G35" s="576" t="s">
        <v>3298</v>
      </c>
      <c r="H35" s="517">
        <f>SUMIF(107:107,G35,108:108)-SUMIF(107:107,C35,108:108)+100</f>
        <v>100</v>
      </c>
      <c r="I35" s="576" t="s">
        <v>3298</v>
      </c>
      <c r="J35" s="517">
        <f>SUMIF(107:107,I35,108:108)-SUMIF(107:107,C35,108:108)+100</f>
        <v>100</v>
      </c>
      <c r="K35" s="836">
        <v>1</v>
      </c>
      <c r="L35" s="1994"/>
      <c r="M35" s="1986"/>
      <c r="N35" s="1986"/>
      <c r="O35" s="1993"/>
      <c r="P35" s="3637"/>
      <c r="Q35" s="1479" t="str">
        <f t="shared" si="11"/>
        <v>建筑品质</v>
      </c>
      <c r="R35" s="1480" t="s">
        <v>11</v>
      </c>
      <c r="S35" s="1481">
        <f t="shared" si="12"/>
        <v>100</v>
      </c>
      <c r="T35" s="1480" t="s">
        <v>11</v>
      </c>
      <c r="U35" s="1481">
        <f t="shared" si="13"/>
        <v>100</v>
      </c>
      <c r="V35" s="1480" t="s">
        <v>11</v>
      </c>
      <c r="W35" s="1481">
        <f t="shared" si="14"/>
        <v>100</v>
      </c>
      <c r="X35" s="1474"/>
      <c r="Y35" s="3637"/>
      <c r="Z35" s="1482" t="str">
        <f t="shared" si="15"/>
        <v>建筑品质</v>
      </c>
      <c r="AA35" s="1483">
        <f t="shared" si="3"/>
        <v>1</v>
      </c>
      <c r="AB35" s="1483">
        <f t="shared" si="4"/>
        <v>1</v>
      </c>
      <c r="AC35" s="1483">
        <f t="shared" si="5"/>
        <v>1</v>
      </c>
    </row>
    <row r="36" spans="1:29" ht="15">
      <c r="A36" s="571"/>
      <c r="B36" s="504" t="s">
        <v>712</v>
      </c>
      <c r="C36" s="576" t="s">
        <v>3302</v>
      </c>
      <c r="D36" s="517">
        <v>100</v>
      </c>
      <c r="E36" s="576" t="s">
        <v>3302</v>
      </c>
      <c r="F36" s="552">
        <f>SUMIF(109:109,E36,110:110)-SUMIF(109:109,C36,110:110)+100</f>
        <v>100</v>
      </c>
      <c r="G36" s="576" t="s">
        <v>3302</v>
      </c>
      <c r="H36" s="517">
        <f>SUMIF(109:109,G36,110:110)-SUMIF(109:109,C36,110:110)+100</f>
        <v>100</v>
      </c>
      <c r="I36" s="576" t="s">
        <v>3302</v>
      </c>
      <c r="J36" s="517">
        <f>SUMIF(109:109,I36,110:110)-SUMIF(109:109,C36,110:110)+100</f>
        <v>100</v>
      </c>
      <c r="K36" s="836">
        <v>1</v>
      </c>
      <c r="L36" s="1994"/>
      <c r="M36" s="1986"/>
      <c r="N36" s="1986"/>
      <c r="O36" s="1993"/>
      <c r="P36" s="3637"/>
      <c r="Q36" s="1479" t="str">
        <f t="shared" si="11"/>
        <v>公共部分装修</v>
      </c>
      <c r="R36" s="1480" t="s">
        <v>11</v>
      </c>
      <c r="S36" s="1481">
        <f t="shared" si="12"/>
        <v>100</v>
      </c>
      <c r="T36" s="1480" t="s">
        <v>11</v>
      </c>
      <c r="U36" s="1481">
        <f t="shared" si="13"/>
        <v>100</v>
      </c>
      <c r="V36" s="1480" t="s">
        <v>11</v>
      </c>
      <c r="W36" s="1481">
        <f t="shared" si="14"/>
        <v>100</v>
      </c>
      <c r="X36" s="1474"/>
      <c r="Y36" s="3637"/>
      <c r="Z36" s="1482" t="str">
        <f t="shared" si="15"/>
        <v>公共部分装修</v>
      </c>
      <c r="AA36" s="1483">
        <f t="shared" si="3"/>
        <v>1</v>
      </c>
      <c r="AB36" s="1483">
        <f t="shared" si="4"/>
        <v>1</v>
      </c>
      <c r="AC36" s="1483">
        <f t="shared" si="5"/>
        <v>1</v>
      </c>
    </row>
    <row r="37" spans="1:29" s="1183"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7"/>
      <c r="M37" s="1988"/>
      <c r="N37" s="1988"/>
      <c r="O37" s="1989"/>
      <c r="P37" s="3637"/>
      <c r="Q37" s="1114" t="str">
        <f t="shared" si="11"/>
        <v>成新度</v>
      </c>
      <c r="R37" s="1475" t="s">
        <v>11</v>
      </c>
      <c r="S37" s="1476">
        <f t="shared" si="12"/>
        <v>100</v>
      </c>
      <c r="T37" s="1475" t="s">
        <v>11</v>
      </c>
      <c r="U37" s="1476">
        <f t="shared" si="13"/>
        <v>100</v>
      </c>
      <c r="V37" s="1475" t="s">
        <v>11</v>
      </c>
      <c r="W37" s="1476">
        <f t="shared" si="14"/>
        <v>100</v>
      </c>
      <c r="X37" s="1477"/>
      <c r="Y37" s="3637"/>
      <c r="Z37" s="1113" t="str">
        <f t="shared" si="15"/>
        <v>成新度</v>
      </c>
      <c r="AA37" s="1478">
        <f t="shared" si="3"/>
        <v>1</v>
      </c>
      <c r="AB37" s="1478">
        <f t="shared" si="4"/>
        <v>1</v>
      </c>
      <c r="AC37" s="1478">
        <f t="shared" si="5"/>
        <v>1</v>
      </c>
    </row>
    <row r="38" spans="1:29" ht="15">
      <c r="A38" s="571"/>
      <c r="B38" s="504" t="s">
        <v>714</v>
      </c>
      <c r="C38" s="576" t="s">
        <v>3307</v>
      </c>
      <c r="D38" s="517">
        <v>100</v>
      </c>
      <c r="E38" s="576" t="s">
        <v>3307</v>
      </c>
      <c r="F38" s="552">
        <f>SUMIF(114:114,E38,115:115)-SUMIF(114:114,C38,115:115)+100</f>
        <v>100</v>
      </c>
      <c r="G38" s="576" t="s">
        <v>3307</v>
      </c>
      <c r="H38" s="517">
        <f>SUMIF(114:114,G38,115:115)-SUMIF(114:114,C38,115:115)+100</f>
        <v>100</v>
      </c>
      <c r="I38" s="576" t="s">
        <v>3307</v>
      </c>
      <c r="J38" s="517">
        <f>SUMIF(114:114,I38,115:115)-SUMIF(114:114,C38,115:115)+100</f>
        <v>100</v>
      </c>
      <c r="K38" s="836">
        <v>1</v>
      </c>
      <c r="L38" s="1994"/>
      <c r="M38" s="1986"/>
      <c r="N38" s="1986"/>
      <c r="O38" s="1993"/>
      <c r="P38" s="3637" t="s">
        <v>533</v>
      </c>
      <c r="Q38" s="1479" t="str">
        <f t="shared" si="11"/>
        <v>物业管理</v>
      </c>
      <c r="R38" s="1480" t="s">
        <v>11</v>
      </c>
      <c r="S38" s="1481">
        <f t="shared" si="12"/>
        <v>100</v>
      </c>
      <c r="T38" s="1480" t="s">
        <v>11</v>
      </c>
      <c r="U38" s="1481">
        <f t="shared" si="13"/>
        <v>100</v>
      </c>
      <c r="V38" s="1480" t="s">
        <v>11</v>
      </c>
      <c r="W38" s="1481">
        <f t="shared" si="14"/>
        <v>100</v>
      </c>
      <c r="X38" s="1474"/>
      <c r="Y38" s="3637" t="s">
        <v>533</v>
      </c>
      <c r="Z38" s="1482" t="str">
        <f t="shared" si="15"/>
        <v>物业管理</v>
      </c>
      <c r="AA38" s="1483">
        <f t="shared" si="3"/>
        <v>1</v>
      </c>
      <c r="AB38" s="1483">
        <f t="shared" si="4"/>
        <v>1</v>
      </c>
      <c r="AC38" s="1483">
        <f t="shared" si="5"/>
        <v>1</v>
      </c>
    </row>
    <row r="39" spans="1:29" ht="15">
      <c r="A39" s="571"/>
      <c r="B39" s="1780" t="s">
        <v>2464</v>
      </c>
      <c r="C39" s="576" t="s">
        <v>3264</v>
      </c>
      <c r="D39" s="517">
        <v>100</v>
      </c>
      <c r="E39" s="576" t="s">
        <v>3264</v>
      </c>
      <c r="F39" s="552">
        <f>SUMIF(116:116,E39,117:117)-SUMIF(116:116,C39,117:117)+100</f>
        <v>100</v>
      </c>
      <c r="G39" s="576" t="s">
        <v>3264</v>
      </c>
      <c r="H39" s="517">
        <f>SUMIF(116:116,G39,117:117)-SUMIF(116:116,C39,117:117)+100</f>
        <v>100</v>
      </c>
      <c r="I39" s="576" t="s">
        <v>3264</v>
      </c>
      <c r="J39" s="517">
        <f>SUMIF(116:116,I39,117:117)-SUMIF(116:116,C39,117:117)+100</f>
        <v>100</v>
      </c>
      <c r="K39" s="836">
        <v>1</v>
      </c>
      <c r="L39" s="1994"/>
      <c r="M39" s="1986"/>
      <c r="N39" s="1986"/>
      <c r="O39" s="1993"/>
      <c r="P39" s="3637"/>
      <c r="Q39" s="1479" t="str">
        <f t="shared" si="11"/>
        <v>市政基础设施</v>
      </c>
      <c r="R39" s="1480" t="s">
        <v>11</v>
      </c>
      <c r="S39" s="1481">
        <f t="shared" si="12"/>
        <v>100</v>
      </c>
      <c r="T39" s="1480" t="s">
        <v>11</v>
      </c>
      <c r="U39" s="1481">
        <f t="shared" si="13"/>
        <v>100</v>
      </c>
      <c r="V39" s="1480" t="s">
        <v>11</v>
      </c>
      <c r="W39" s="1481">
        <f t="shared" si="14"/>
        <v>100</v>
      </c>
      <c r="X39" s="1474"/>
      <c r="Y39" s="3637"/>
      <c r="Z39" s="1482" t="str">
        <f t="shared" si="15"/>
        <v>市政基础设施</v>
      </c>
      <c r="AA39" s="1483">
        <f t="shared" si="3"/>
        <v>1</v>
      </c>
      <c r="AB39" s="1483">
        <f t="shared" si="4"/>
        <v>1</v>
      </c>
      <c r="AC39" s="1483">
        <f t="shared" si="5"/>
        <v>1</v>
      </c>
    </row>
    <row r="40" spans="1:29" ht="15">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4"/>
      <c r="M40" s="1986"/>
      <c r="N40" s="1986"/>
      <c r="O40" s="1993"/>
      <c r="P40" s="3637"/>
      <c r="Q40" s="1479" t="str">
        <f t="shared" si="11"/>
        <v>房型</v>
      </c>
      <c r="R40" s="1480" t="s">
        <v>11</v>
      </c>
      <c r="S40" s="1481">
        <f t="shared" si="12"/>
        <v>100</v>
      </c>
      <c r="T40" s="1480" t="s">
        <v>11</v>
      </c>
      <c r="U40" s="1481">
        <f t="shared" si="13"/>
        <v>100</v>
      </c>
      <c r="V40" s="1480" t="s">
        <v>11</v>
      </c>
      <c r="W40" s="1481">
        <f t="shared" si="14"/>
        <v>100</v>
      </c>
      <c r="X40" s="1474"/>
      <c r="Y40" s="3637"/>
      <c r="Z40" s="1482" t="str">
        <f t="shared" si="15"/>
        <v>房型</v>
      </c>
      <c r="AA40" s="1483">
        <f t="shared" si="3"/>
        <v>1</v>
      </c>
      <c r="AB40" s="1483">
        <f t="shared" si="4"/>
        <v>1</v>
      </c>
      <c r="AC40" s="1483">
        <f t="shared" si="5"/>
        <v>1</v>
      </c>
    </row>
    <row r="41" spans="1:29" s="1265" customFormat="1" ht="28.5">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2"/>
      <c r="M41" s="2022"/>
      <c r="N41" s="2022"/>
      <c r="O41" s="1995"/>
      <c r="P41" s="3637"/>
      <c r="Q41" s="1508" t="str">
        <f t="shared" si="11"/>
        <v>单套/主力户型建筑面积</v>
      </c>
      <c r="R41" s="1484" t="s">
        <v>11</v>
      </c>
      <c r="S41" s="1485">
        <f t="shared" si="12"/>
        <v>100</v>
      </c>
      <c r="T41" s="1484" t="s">
        <v>11</v>
      </c>
      <c r="U41" s="1485">
        <f t="shared" si="13"/>
        <v>100</v>
      </c>
      <c r="V41" s="1484" t="s">
        <v>11</v>
      </c>
      <c r="W41" s="1485">
        <f t="shared" si="14"/>
        <v>100</v>
      </c>
      <c r="X41" s="1486"/>
      <c r="Y41" s="3637"/>
      <c r="Z41" s="1487" t="str">
        <f t="shared" si="15"/>
        <v>单套/主力户型建筑面积</v>
      </c>
      <c r="AA41" s="1483">
        <f t="shared" si="3"/>
        <v>1</v>
      </c>
      <c r="AB41" s="1483">
        <f t="shared" si="4"/>
        <v>1</v>
      </c>
      <c r="AC41" s="1483">
        <f t="shared" si="5"/>
        <v>1</v>
      </c>
    </row>
    <row r="42" spans="1:29" ht="15">
      <c r="A42" s="571"/>
      <c r="B42" s="504" t="s">
        <v>717</v>
      </c>
      <c r="C42" s="576" t="s">
        <v>3302</v>
      </c>
      <c r="D42" s="517">
        <v>100</v>
      </c>
      <c r="E42" s="576" t="s">
        <v>3302</v>
      </c>
      <c r="F42" s="552">
        <f>SUMIF(122:122,E42,123:123)-SUMIF(122:122,C42,123:123)+100</f>
        <v>100</v>
      </c>
      <c r="G42" s="576" t="s">
        <v>3302</v>
      </c>
      <c r="H42" s="517">
        <f>SUMIF(122:122,G42,123:123)-SUMIF(122:122,C42,123:123)+100</f>
        <v>100</v>
      </c>
      <c r="I42" s="576" t="s">
        <v>3302</v>
      </c>
      <c r="J42" s="517">
        <f>SUMIF(122:122,I42,123:123)-SUMIF(122:122,C42,123:123)+100</f>
        <v>100</v>
      </c>
      <c r="K42" s="836">
        <v>1</v>
      </c>
      <c r="L42" s="1994"/>
      <c r="M42" s="1986"/>
      <c r="N42" s="1986"/>
      <c r="O42" s="1993"/>
      <c r="P42" s="3637"/>
      <c r="Q42" s="1479" t="str">
        <f t="shared" si="11"/>
        <v>内部装修</v>
      </c>
      <c r="R42" s="1480" t="s">
        <v>11</v>
      </c>
      <c r="S42" s="1481">
        <f t="shared" si="12"/>
        <v>100</v>
      </c>
      <c r="T42" s="1480" t="s">
        <v>11</v>
      </c>
      <c r="U42" s="1481">
        <f t="shared" si="13"/>
        <v>100</v>
      </c>
      <c r="V42" s="1480" t="s">
        <v>11</v>
      </c>
      <c r="W42" s="1481">
        <f t="shared" si="14"/>
        <v>100</v>
      </c>
      <c r="X42" s="1474"/>
      <c r="Y42" s="3637"/>
      <c r="Z42" s="1482" t="str">
        <f t="shared" si="15"/>
        <v>内部装修</v>
      </c>
      <c r="AA42" s="1483">
        <f t="shared" si="3"/>
        <v>1</v>
      </c>
      <c r="AB42" s="1483">
        <f t="shared" si="4"/>
        <v>1</v>
      </c>
      <c r="AC42" s="1483">
        <f t="shared" si="5"/>
        <v>1</v>
      </c>
    </row>
    <row r="43" spans="1:29" ht="27.75" thickBot="1">
      <c r="A43" s="571"/>
      <c r="B43" s="504" t="s">
        <v>718</v>
      </c>
      <c r="C43" s="576" t="s">
        <v>3261</v>
      </c>
      <c r="D43" s="517">
        <v>100</v>
      </c>
      <c r="E43" s="576" t="s">
        <v>3261</v>
      </c>
      <c r="F43" s="552">
        <f>SUMIF(124:124,E43,125:125)-SUMIF(124:124,C43,125:125)+100</f>
        <v>100</v>
      </c>
      <c r="G43" s="576" t="s">
        <v>3261</v>
      </c>
      <c r="H43" s="517">
        <f>SUMIF(124:124,G43,125:125)-SUMIF(124:124,C43,125:125)+100</f>
        <v>100</v>
      </c>
      <c r="I43" s="576" t="s">
        <v>3261</v>
      </c>
      <c r="J43" s="517">
        <f>SUMIF(124:124,I43,125:125)-SUMIF(124:124,C43,125:125)+100</f>
        <v>100</v>
      </c>
      <c r="K43" s="836">
        <v>1</v>
      </c>
      <c r="L43" s="1994"/>
      <c r="M43" s="1986"/>
      <c r="N43" s="1986"/>
      <c r="O43" s="1993"/>
      <c r="P43" s="3637"/>
      <c r="Q43" s="1479" t="str">
        <f t="shared" si="11"/>
        <v>内部装修维护情况</v>
      </c>
      <c r="R43" s="1480" t="s">
        <v>11</v>
      </c>
      <c r="S43" s="1481">
        <f t="shared" si="12"/>
        <v>100</v>
      </c>
      <c r="T43" s="1480" t="s">
        <v>11</v>
      </c>
      <c r="U43" s="1481">
        <f t="shared" si="13"/>
        <v>100</v>
      </c>
      <c r="V43" s="1480" t="s">
        <v>11</v>
      </c>
      <c r="W43" s="1481">
        <f t="shared" si="14"/>
        <v>100</v>
      </c>
      <c r="X43" s="1474"/>
      <c r="Y43" s="3637"/>
      <c r="Z43" s="1482" t="str">
        <f t="shared" si="15"/>
        <v>内部装修维护情况</v>
      </c>
      <c r="AA43" s="1483">
        <f t="shared" si="3"/>
        <v>1</v>
      </c>
      <c r="AB43" s="1483">
        <f t="shared" si="4"/>
        <v>1</v>
      </c>
      <c r="AC43" s="1483">
        <f t="shared" si="5"/>
        <v>1</v>
      </c>
    </row>
    <row r="44" spans="1:29" s="1183"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7"/>
      <c r="M44" s="1988"/>
      <c r="N44" s="1988"/>
      <c r="O44" s="1989"/>
      <c r="P44" s="3637"/>
      <c r="Q44" s="1114">
        <f t="shared" si="11"/>
        <v>111</v>
      </c>
      <c r="R44" s="1475" t="s">
        <v>11</v>
      </c>
      <c r="S44" s="1476">
        <f t="shared" si="12"/>
        <v>100</v>
      </c>
      <c r="T44" s="1475" t="s">
        <v>11</v>
      </c>
      <c r="U44" s="1476">
        <f t="shared" si="13"/>
        <v>100</v>
      </c>
      <c r="V44" s="1475" t="s">
        <v>11</v>
      </c>
      <c r="W44" s="1476">
        <f t="shared" si="14"/>
        <v>100</v>
      </c>
      <c r="X44" s="1477"/>
      <c r="Y44" s="3637"/>
      <c r="Z44" s="1113">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4"/>
      <c r="M45" s="1986"/>
      <c r="N45" s="1986"/>
      <c r="O45" s="1993"/>
      <c r="P45" s="3637"/>
      <c r="Q45" s="1479">
        <f t="shared" si="11"/>
        <v>111</v>
      </c>
      <c r="R45" s="1480" t="s">
        <v>11</v>
      </c>
      <c r="S45" s="1481">
        <f t="shared" si="12"/>
        <v>100</v>
      </c>
      <c r="T45" s="1480" t="s">
        <v>11</v>
      </c>
      <c r="U45" s="1481">
        <f t="shared" si="13"/>
        <v>100</v>
      </c>
      <c r="V45" s="1480" t="s">
        <v>11</v>
      </c>
      <c r="W45" s="1481">
        <f t="shared" si="14"/>
        <v>100</v>
      </c>
      <c r="X45" s="1474"/>
      <c r="Y45" s="3637"/>
      <c r="Z45" s="1482">
        <f t="shared" si="15"/>
        <v>111</v>
      </c>
      <c r="AA45" s="1483">
        <f t="shared" si="3"/>
        <v>1</v>
      </c>
      <c r="AB45" s="1483">
        <f t="shared" si="4"/>
        <v>1</v>
      </c>
      <c r="AC45" s="1483">
        <f t="shared" si="5"/>
        <v>1</v>
      </c>
    </row>
    <row r="46" spans="1:29" ht="15.75" hidden="1" thickBot="1">
      <c r="A46" s="855"/>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4"/>
      <c r="M46" s="1986"/>
      <c r="N46" s="1986"/>
      <c r="O46" s="1993"/>
      <c r="P46" s="3719"/>
      <c r="Q46" s="1479">
        <f t="shared" si="11"/>
        <v>111</v>
      </c>
      <c r="R46" s="1480" t="s">
        <v>10</v>
      </c>
      <c r="S46" s="1481">
        <f t="shared" si="12"/>
        <v>100</v>
      </c>
      <c r="T46" s="1480" t="s">
        <v>10</v>
      </c>
      <c r="U46" s="1481">
        <f t="shared" si="13"/>
        <v>100</v>
      </c>
      <c r="V46" s="1480" t="s">
        <v>10</v>
      </c>
      <c r="W46" s="1481">
        <f t="shared" si="14"/>
        <v>100</v>
      </c>
      <c r="X46" s="1474"/>
      <c r="Y46" s="3719"/>
      <c r="Z46" s="1482">
        <f t="shared" si="15"/>
        <v>111</v>
      </c>
      <c r="AA46" s="1483">
        <f t="shared" si="3"/>
        <v>1</v>
      </c>
      <c r="AB46" s="1483">
        <f t="shared" si="4"/>
        <v>1</v>
      </c>
      <c r="AC46" s="1483">
        <f t="shared" si="5"/>
        <v>1</v>
      </c>
    </row>
    <row r="47" spans="1:29" ht="15">
      <c r="A47" s="584" t="s">
        <v>719</v>
      </c>
      <c r="B47" s="856"/>
      <c r="C47" s="2408" t="s">
        <v>9</v>
      </c>
      <c r="D47" s="2409"/>
      <c r="E47" s="2410">
        <v>51632</v>
      </c>
      <c r="F47" s="2411"/>
      <c r="G47" s="2412">
        <v>54535</v>
      </c>
      <c r="H47" s="2413"/>
      <c r="I47" s="2410">
        <f>案例!C4</f>
        <v>48795</v>
      </c>
      <c r="J47" s="2413"/>
      <c r="K47" s="1509"/>
      <c r="L47" s="1996"/>
      <c r="M47" s="1997"/>
      <c r="N47" s="1986"/>
      <c r="O47" s="1997"/>
      <c r="P47" s="3632" t="str">
        <f>A47</f>
        <v>成交单价（元/平方米）</v>
      </c>
      <c r="Q47" s="3632"/>
      <c r="R47" s="3718">
        <f>E47</f>
        <v>51632</v>
      </c>
      <c r="S47" s="3718"/>
      <c r="T47" s="3718">
        <f>G47</f>
        <v>54535</v>
      </c>
      <c r="U47" s="3718"/>
      <c r="V47" s="3718">
        <f>I47</f>
        <v>48795</v>
      </c>
      <c r="W47" s="3718"/>
      <c r="X47" s="1469"/>
      <c r="Y47" s="1488"/>
      <c r="Z47" s="1469"/>
      <c r="AA47" s="1469"/>
      <c r="AB47" s="1469"/>
      <c r="AC47" s="1469"/>
    </row>
    <row r="48" spans="1:29" ht="15.75" thickBot="1">
      <c r="A48" s="592" t="s">
        <v>2659</v>
      </c>
      <c r="B48" s="857"/>
      <c r="C48" s="2414">
        <f>R49</f>
        <v>51654</v>
      </c>
      <c r="D48" s="2948" t="s">
        <v>2881</v>
      </c>
      <c r="E48" s="2415">
        <f>R48</f>
        <v>51632</v>
      </c>
      <c r="F48" s="2949"/>
      <c r="G48" s="2414">
        <f>T48</f>
        <v>54535</v>
      </c>
      <c r="H48" s="2949"/>
      <c r="I48" s="2415">
        <f>V48</f>
        <v>48795</v>
      </c>
      <c r="J48" s="2949"/>
      <c r="K48" s="2957">
        <f>F48+H48+J48</f>
        <v>0</v>
      </c>
      <c r="L48" s="1996"/>
      <c r="M48" s="1997"/>
      <c r="N48" s="1997"/>
      <c r="O48" s="1997"/>
      <c r="P48" s="3632" t="str">
        <f>A48</f>
        <v>比较价格（元/平方米）</v>
      </c>
      <c r="Q48" s="3632"/>
      <c r="R48" s="3718">
        <f>IF(F1="售价",ROUND(PRODUCT(R47,AA7:AA46),0),ROUND(PRODUCT(R47,AA7:AA46),1))</f>
        <v>51632</v>
      </c>
      <c r="S48" s="3718"/>
      <c r="T48" s="3718">
        <f>IF(F1="售价",ROUND(PRODUCT(T47,AB7:AB46),0),ROUND(PRODUCT(T47,AB7:AB46),1))</f>
        <v>54535</v>
      </c>
      <c r="U48" s="3718"/>
      <c r="V48" s="3718">
        <f>IF(F1="售价",ROUND(PRODUCT(V47,AC7:AC46),0),ROUND(PRODUCT(V47,AC7:AC46),1))</f>
        <v>48795</v>
      </c>
      <c r="W48" s="3718"/>
      <c r="X48" s="1469"/>
      <c r="Y48" s="1469"/>
      <c r="Z48" s="1469"/>
      <c r="AA48" s="1469"/>
      <c r="AB48" s="1469"/>
      <c r="AC48" s="1469"/>
    </row>
    <row r="49" spans="1:29" ht="15.75" thickBot="1">
      <c r="A49" s="596" t="s">
        <v>2814</v>
      </c>
      <c r="B49" s="597"/>
      <c r="C49" s="2416">
        <f>R49</f>
        <v>51654</v>
      </c>
      <c r="D49" s="2416"/>
      <c r="E49" s="2416"/>
      <c r="F49" s="2416"/>
      <c r="G49" s="2416"/>
      <c r="H49" s="2416"/>
      <c r="I49" s="2416"/>
      <c r="J49" s="2416"/>
      <c r="K49" s="1510"/>
      <c r="L49" s="1996"/>
      <c r="M49" s="1997"/>
      <c r="N49" s="1997"/>
      <c r="O49" s="1997"/>
      <c r="P49" s="3653" t="str">
        <f>A49</f>
        <v>估价对象XX用房的比较价格（楼面单价，元/平方米）</v>
      </c>
      <c r="Q49" s="3654"/>
      <c r="R49" s="3717">
        <f>IF(F1="售价",ROUND(IF(D48="简单平均",AVERAGE(R48:V48),R48*F48+T48*H48+V48*J48),0),ROUND(IF(D48="简单平均",AVERAGE(R48:V48),R48*F48+T48*H48+V48*J48),1))</f>
        <v>51654</v>
      </c>
      <c r="S49" s="3717"/>
      <c r="T49" s="3717"/>
      <c r="U49" s="3717"/>
      <c r="V49" s="3717"/>
      <c r="W49" s="3717"/>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f>IF(E47&lt;E48,E48/E47-1,E47/E48-1)</f>
        <v>0</v>
      </c>
      <c r="F52" s="602" t="str">
        <f>IF(OR(E52&gt;=0.3,E52&lt;=-0.3),"超过30%","")</f>
        <v/>
      </c>
      <c r="G52" s="601">
        <f>IF(G47&lt;G48,G48/G47-1,G47/G48-1)</f>
        <v>0</v>
      </c>
      <c r="H52" s="602" t="str">
        <f>IF(OR(G52&gt;=0.3,G52&lt;=-0.3),"超过30%","")</f>
        <v/>
      </c>
      <c r="I52" s="601">
        <f>IF(I47&lt;I48,I48/I47-1,I47/I48-1)</f>
        <v>0</v>
      </c>
      <c r="J52" s="602" t="str">
        <f>IF(OR(I52&gt;=0.3,I52&lt;=-0.3),"超过30%","")</f>
        <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f>IF(E48&lt;G48,G48/E48-1,E48/G48-1)</f>
        <v>5.6224821815928028E-2</v>
      </c>
      <c r="F53" s="602" t="str">
        <f>IF(OR(E53&gt;=0.2,E53&lt;=-0.2),"超过20%","")</f>
        <v/>
      </c>
      <c r="G53" s="601">
        <f>IF(G48&lt;I48,I48/G48-1,G48/I48-1)</f>
        <v>0.11763500358643308</v>
      </c>
      <c r="H53" s="602" t="str">
        <f>IF(OR(G53&gt;=0.2,G53&lt;=-0.2),"超过20%","")</f>
        <v/>
      </c>
      <c r="I53" s="601">
        <f>IF(I48&lt;E48,E48/I48-1,I48/E48-1)</f>
        <v>5.8141202992109786E-2</v>
      </c>
      <c r="J53" s="602" t="str">
        <f>IF(OR(I53&gt;=0.2,I53&lt;=-0.2),"超过20%","")</f>
        <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f>IF(E47&lt;G47,G47/E47-1,E47/G47-1)</f>
        <v>5.6224821815928028E-2</v>
      </c>
      <c r="F54" s="602" t="str">
        <f>IF(OR(E54&gt;=0.3,E54&lt;=-0.3),"超过30%","")</f>
        <v/>
      </c>
      <c r="G54" s="601">
        <f>IF(G47&lt;I47,I47/G47-1,G47/I47-1)</f>
        <v>0.11763500358643308</v>
      </c>
      <c r="H54" s="602" t="str">
        <f>IF(OR(G54&gt;=0.3,G54&lt;=-0.3),"超过30%","")</f>
        <v/>
      </c>
      <c r="I54" s="601">
        <f>IF(I47&lt;E47,E47/I47-1,I47/E47-1)</f>
        <v>5.8141202992109786E-2</v>
      </c>
      <c r="J54" s="602" t="str">
        <f>IF(OR(I54&gt;=0.3,I54&lt;=-0.3),"超过30%","")</f>
        <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9"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v>100</v>
      </c>
      <c r="E59" s="625">
        <v>100</v>
      </c>
      <c r="F59" s="625"/>
      <c r="G59" s="625"/>
      <c r="H59" s="625"/>
      <c r="I59" s="625"/>
      <c r="J59" s="625"/>
      <c r="K59" s="625"/>
      <c r="L59" s="625"/>
      <c r="M59" s="625"/>
      <c r="N59" s="625"/>
      <c r="O59" s="625"/>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875"/>
    </row>
    <row r="63" spans="1:29">
      <c r="A63" s="639" t="s">
        <v>560</v>
      </c>
      <c r="B63" s="640" t="s">
        <v>517</v>
      </c>
      <c r="C63" s="679" t="str">
        <f>C9</f>
        <v>住宅</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v>100</v>
      </c>
      <c r="D64" s="646"/>
      <c r="E64" s="1511"/>
      <c r="F64" s="1511"/>
      <c r="G64" s="1511"/>
      <c r="H64" s="1511"/>
      <c r="I64" s="1511"/>
      <c r="J64" s="1511"/>
      <c r="K64" s="1511"/>
      <c r="L64" s="1511"/>
      <c r="M64" s="1512"/>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0（含）-5</v>
      </c>
      <c r="D67" s="657" t="str">
        <f t="shared" ref="D67:L67" si="18">D68&amp;"（含）"&amp;"-"&amp;E68</f>
        <v>5（含）-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v>0</v>
      </c>
      <c r="D68" s="518">
        <v>5</v>
      </c>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67"/>
      <c r="E73" s="667"/>
      <c r="F73" s="667"/>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99</v>
      </c>
      <c r="E77" s="654">
        <f>D77-$K15</f>
        <v>98</v>
      </c>
      <c r="F77" s="654">
        <f>E77-$K15</f>
        <v>97</v>
      </c>
      <c r="G77" s="654">
        <f>F77-$K15</f>
        <v>96</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99</v>
      </c>
      <c r="E79" s="654">
        <f>D79-$K17</f>
        <v>98</v>
      </c>
      <c r="F79" s="654">
        <f>E79-$K17</f>
        <v>97</v>
      </c>
      <c r="G79" s="654">
        <f>F79-$K17</f>
        <v>96</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99</v>
      </c>
      <c r="E81" s="654">
        <f>D81-$K19</f>
        <v>98</v>
      </c>
      <c r="F81" s="654">
        <f>E81-$K19</f>
        <v>97</v>
      </c>
      <c r="G81" s="654">
        <f>F81-$K19</f>
        <v>96</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99</v>
      </c>
      <c r="E83" s="654">
        <f>D83-$K21</f>
        <v>98</v>
      </c>
      <c r="F83" s="654">
        <f>E83-$K21</f>
        <v>97</v>
      </c>
      <c r="G83" s="654">
        <f>F83-$K21</f>
        <v>96</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99</v>
      </c>
      <c r="E85" s="654">
        <f>D85-$K23</f>
        <v>98</v>
      </c>
      <c r="F85" s="654">
        <f>E85-$K23</f>
        <v>97</v>
      </c>
      <c r="G85" s="654">
        <f>F85-$K23</f>
        <v>96</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1781" t="s">
        <v>2231</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
        <v>729</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道路级别</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67"/>
      <c r="D91" s="667"/>
      <c r="E91" s="667"/>
      <c r="F91" s="667"/>
      <c r="G91" s="667"/>
      <c r="H91" s="668"/>
      <c r="I91" s="668"/>
      <c r="J91" s="668"/>
      <c r="K91" s="668"/>
      <c r="L91" s="668"/>
      <c r="M91" s="669"/>
      <c r="N91" s="2018"/>
      <c r="O91" s="2018"/>
      <c r="P91" s="2019"/>
      <c r="Q91" s="2020"/>
      <c r="R91" s="2021"/>
      <c r="S91" s="2021"/>
      <c r="T91" s="2021"/>
      <c r="U91" s="2021"/>
      <c r="V91" s="2021"/>
      <c r="W91" s="2021"/>
      <c r="X91" s="2021"/>
      <c r="Y91" s="2021"/>
      <c r="Z91" s="2021"/>
      <c r="AA91" s="2021"/>
      <c r="AB91" s="2021"/>
      <c r="AC91" s="2021"/>
    </row>
    <row r="92" spans="1:29" ht="15.75" thickTop="1">
      <c r="A92" s="644"/>
      <c r="B92" s="648">
        <f>B28</f>
        <v>111</v>
      </c>
      <c r="C92" s="663"/>
      <c r="D92" s="663"/>
      <c r="E92" s="663"/>
      <c r="F92" s="663"/>
      <c r="G92" s="693"/>
      <c r="H92" s="693"/>
      <c r="I92" s="693"/>
      <c r="J92" s="693"/>
      <c r="K92" s="694"/>
      <c r="L92" s="695"/>
      <c r="M92" s="696"/>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67"/>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67"/>
      <c r="E95" s="667"/>
      <c r="F95" s="667"/>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75"/>
      <c r="D97" s="675"/>
      <c r="E97" s="675"/>
      <c r="F97" s="675"/>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97"/>
      <c r="D98" s="697"/>
      <c r="E98" s="697"/>
      <c r="F98" s="697"/>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701"/>
      <c r="D99" s="701"/>
      <c r="E99" s="701"/>
      <c r="F99" s="701"/>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730</v>
      </c>
      <c r="C100" s="3434" t="s">
        <v>3295</v>
      </c>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2">C101-$K32</f>
        <v>99</v>
      </c>
      <c r="E101" s="654">
        <f t="shared" si="22"/>
        <v>98</v>
      </c>
      <c r="F101" s="654">
        <f t="shared" si="22"/>
        <v>97</v>
      </c>
      <c r="G101" s="654">
        <f t="shared" si="22"/>
        <v>96</v>
      </c>
      <c r="H101" s="654">
        <f t="shared" si="22"/>
        <v>95</v>
      </c>
      <c r="I101" s="654">
        <f t="shared" si="22"/>
        <v>94</v>
      </c>
      <c r="J101" s="654">
        <f t="shared" si="22"/>
        <v>93</v>
      </c>
      <c r="K101" s="654">
        <f t="shared" si="22"/>
        <v>92</v>
      </c>
      <c r="L101" s="654">
        <f t="shared" si="22"/>
        <v>91</v>
      </c>
      <c r="M101" s="654">
        <f t="shared" si="22"/>
        <v>90</v>
      </c>
      <c r="N101" s="2017"/>
      <c r="O101" s="2017"/>
      <c r="P101" s="2016"/>
      <c r="Q101" s="2009"/>
      <c r="R101" s="1997"/>
      <c r="S101" s="1997"/>
      <c r="T101" s="1997"/>
      <c r="U101" s="1997"/>
      <c r="V101" s="1997"/>
      <c r="W101" s="1997"/>
      <c r="X101" s="1997"/>
      <c r="Y101" s="1997"/>
      <c r="Z101" s="1997"/>
      <c r="AA101" s="1997"/>
      <c r="AB101" s="1997"/>
      <c r="AC101" s="1997"/>
    </row>
    <row r="102" spans="1:29" ht="29.25" thickTop="1">
      <c r="A102" s="644"/>
      <c r="B102" s="648" t="s">
        <v>731</v>
      </c>
      <c r="C102" s="683" t="str">
        <f>C103&amp;"(含)"&amp;"-"&amp;D103</f>
        <v>0(含)-10000000</v>
      </c>
      <c r="D102" s="683" t="str">
        <f t="shared" ref="D102:L102" si="23">D103&amp;"(含)"&amp;"-"&amp;E103</f>
        <v>10000000(含)-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v>0</v>
      </c>
      <c r="D103" s="705">
        <v>10000000</v>
      </c>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v>100</v>
      </c>
      <c r="D104" s="646"/>
      <c r="E104" s="646"/>
      <c r="F104" s="646"/>
      <c r="G104" s="646"/>
      <c r="H104" s="646"/>
      <c r="I104" s="646"/>
      <c r="J104" s="646"/>
      <c r="K104" s="646"/>
      <c r="L104" s="646"/>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3436" t="s">
        <v>3297</v>
      </c>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733</v>
      </c>
      <c r="C107" s="3435" t="s">
        <v>3299</v>
      </c>
      <c r="D107" s="3435" t="s">
        <v>3300</v>
      </c>
      <c r="E107" s="3435" t="s">
        <v>3301</v>
      </c>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734</v>
      </c>
      <c r="C109" s="3436" t="s">
        <v>3303</v>
      </c>
      <c r="D109" s="3436" t="s">
        <v>3304</v>
      </c>
      <c r="E109" s="3436" t="s">
        <v>3305</v>
      </c>
      <c r="F109" s="3435" t="s">
        <v>3306</v>
      </c>
      <c r="G109" s="693"/>
      <c r="H109" s="69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ht="15.75" thickBot="1">
      <c r="A110" s="644"/>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2017"/>
      <c r="O110" s="2017"/>
      <c r="P110" s="2016"/>
      <c r="Q110" s="2009"/>
      <c r="R110" s="1997"/>
      <c r="S110" s="1997"/>
      <c r="T110" s="1997"/>
      <c r="U110" s="1997"/>
      <c r="V110" s="1997"/>
      <c r="W110" s="1997"/>
      <c r="X110" s="1997"/>
      <c r="Y110" s="1997"/>
      <c r="Z110" s="1997"/>
      <c r="AA110" s="1997"/>
      <c r="AB110" s="1997"/>
      <c r="AC110" s="1997"/>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8"/>
      <c r="O111" s="2018"/>
      <c r="P111" s="2019"/>
      <c r="Q111" s="2020"/>
      <c r="R111" s="2021"/>
      <c r="S111" s="2021"/>
      <c r="T111" s="2021"/>
      <c r="U111" s="2021"/>
      <c r="V111" s="2021"/>
      <c r="W111" s="2021"/>
      <c r="X111" s="2021"/>
      <c r="Y111" s="2021"/>
      <c r="Z111" s="2021"/>
      <c r="AA111" s="2021"/>
      <c r="AB111" s="2021"/>
      <c r="AC111" s="2021"/>
    </row>
    <row r="112" spans="1:29" s="1265" customFormat="1">
      <c r="A112" s="703"/>
      <c r="B112" s="656"/>
      <c r="C112" s="863">
        <v>0.5</v>
      </c>
      <c r="D112" s="863">
        <v>0.6</v>
      </c>
      <c r="E112" s="863">
        <v>0.7</v>
      </c>
      <c r="F112" s="863">
        <v>0.8</v>
      </c>
      <c r="G112" s="863">
        <v>0.9</v>
      </c>
      <c r="H112" s="863">
        <v>1.0001</v>
      </c>
      <c r="I112" s="863"/>
      <c r="J112" s="864"/>
      <c r="K112" s="864"/>
      <c r="L112" s="865"/>
      <c r="M112" s="86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736</v>
      </c>
      <c r="C114" s="3436" t="s">
        <v>3308</v>
      </c>
      <c r="D114" s="3436" t="s">
        <v>3309</v>
      </c>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1781" t="s">
        <v>2456</v>
      </c>
      <c r="C116" s="663" t="str">
        <f>C82</f>
        <v>七通</v>
      </c>
      <c r="D116" s="663" t="str">
        <f>D82</f>
        <v>六通</v>
      </c>
      <c r="E116" s="663" t="str">
        <f>E82</f>
        <v>五通</v>
      </c>
      <c r="F116" s="663" t="str">
        <f>F82</f>
        <v>四通</v>
      </c>
      <c r="G116" s="663" t="str">
        <f>G82</f>
        <v>三通</v>
      </c>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737</v>
      </c>
      <c r="C118" s="693"/>
      <c r="D118" s="693"/>
      <c r="E118" s="693"/>
      <c r="F118" s="693"/>
      <c r="G118" s="693"/>
      <c r="H118" s="693"/>
      <c r="I118" s="693"/>
      <c r="J118" s="693"/>
      <c r="K118" s="694"/>
      <c r="L118" s="695"/>
      <c r="M118" s="69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7"/>
      <c r="O119" s="2017"/>
      <c r="P119" s="2016"/>
      <c r="Q119" s="2009"/>
      <c r="R119" s="1997"/>
      <c r="S119" s="1997"/>
      <c r="T119" s="1997"/>
      <c r="U119" s="1997"/>
      <c r="V119" s="1997"/>
      <c r="W119" s="1997"/>
      <c r="X119" s="1997"/>
      <c r="Y119" s="1997"/>
      <c r="Z119" s="1997"/>
      <c r="AA119" s="1997"/>
      <c r="AB119" s="1997"/>
      <c r="AC119" s="1997"/>
    </row>
    <row r="120" spans="1:29" s="1265" customFormat="1" ht="28.5" thickTop="1">
      <c r="A120" s="703"/>
      <c r="B120" s="648" t="s">
        <v>716</v>
      </c>
      <c r="C120" s="663"/>
      <c r="D120" s="663"/>
      <c r="E120" s="663"/>
      <c r="F120" s="663"/>
      <c r="G120" s="663"/>
      <c r="H120" s="663"/>
      <c r="I120" s="663"/>
      <c r="J120" s="663"/>
      <c r="K120" s="663"/>
      <c r="L120" s="859"/>
      <c r="M120" s="860"/>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67"/>
      <c r="D121" s="646"/>
      <c r="E121" s="646"/>
      <c r="F121" s="646"/>
      <c r="G121" s="646"/>
      <c r="H121" s="646"/>
      <c r="I121" s="646"/>
      <c r="J121" s="646"/>
      <c r="K121" s="646"/>
      <c r="L121" s="646"/>
      <c r="M121" s="646"/>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t="str">
        <f>C109</f>
        <v>精装修</v>
      </c>
      <c r="D122" s="663" t="str">
        <f>D109</f>
        <v>普通装修</v>
      </c>
      <c r="E122" s="663" t="str">
        <f>E109</f>
        <v>简单装修</v>
      </c>
      <c r="F122" s="663" t="str">
        <f>F109</f>
        <v>毛坯</v>
      </c>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99</v>
      </c>
      <c r="E123" s="654">
        <f t="shared" si="29"/>
        <v>98</v>
      </c>
      <c r="F123" s="654">
        <f t="shared" si="29"/>
        <v>97</v>
      </c>
      <c r="G123" s="654">
        <f t="shared" si="29"/>
        <v>96</v>
      </c>
      <c r="H123" s="654">
        <f t="shared" si="29"/>
        <v>95</v>
      </c>
      <c r="I123" s="654">
        <f t="shared" si="29"/>
        <v>94</v>
      </c>
      <c r="J123" s="654">
        <f t="shared" si="29"/>
        <v>93</v>
      </c>
      <c r="K123" s="654">
        <f t="shared" si="29"/>
        <v>92</v>
      </c>
      <c r="L123" s="654">
        <f t="shared" si="29"/>
        <v>91</v>
      </c>
      <c r="M123" s="654">
        <f t="shared" si="29"/>
        <v>90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67"/>
      <c r="E129" s="667"/>
      <c r="F129" s="667"/>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0" t="s">
        <v>2232</v>
      </c>
      <c r="C136" s="1801"/>
      <c r="D136" s="1801"/>
      <c r="E136" s="1801"/>
      <c r="F136" s="1801"/>
      <c r="G136" s="1801"/>
      <c r="H136" s="1801"/>
      <c r="I136" s="1801"/>
      <c r="J136" s="1801"/>
      <c r="K136" s="1802"/>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3" t="s">
        <v>2233</v>
      </c>
      <c r="C137" s="1804"/>
      <c r="D137" s="1804"/>
      <c r="E137" s="1804"/>
      <c r="F137" s="1804"/>
      <c r="G137" s="1805"/>
      <c r="H137" s="1806"/>
      <c r="I137" s="1807" t="s">
        <v>2234</v>
      </c>
      <c r="J137" s="1804"/>
      <c r="K137" s="1808"/>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09"/>
      <c r="C138" s="1810" t="s">
        <v>2235</v>
      </c>
      <c r="D138" s="1810" t="s">
        <v>2236</v>
      </c>
      <c r="E138" s="1811" t="s">
        <v>2237</v>
      </c>
      <c r="F138" s="1812" t="s">
        <v>2238</v>
      </c>
      <c r="G138" s="1810" t="s">
        <v>2239</v>
      </c>
      <c r="H138" s="1813" t="s">
        <v>2240</v>
      </c>
      <c r="I138" s="1814"/>
      <c r="J138" s="1810" t="s">
        <v>2241</v>
      </c>
      <c r="K138" s="1813" t="s">
        <v>2242</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2">
        <v>6</v>
      </c>
      <c r="C139" s="1783">
        <v>96</v>
      </c>
      <c r="D139" s="1815" t="s">
        <v>2243</v>
      </c>
      <c r="E139" s="1784">
        <v>100</v>
      </c>
      <c r="F139" s="1785">
        <v>102.5</v>
      </c>
      <c r="G139" s="1815" t="s">
        <v>2244</v>
      </c>
      <c r="H139" s="1786">
        <v>105</v>
      </c>
      <c r="I139" s="1816" t="s">
        <v>2245</v>
      </c>
      <c r="J139" s="1783">
        <v>20</v>
      </c>
      <c r="K139" s="1787">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8">
        <v>5</v>
      </c>
      <c r="C140" s="1789">
        <v>100</v>
      </c>
      <c r="D140" s="1817"/>
      <c r="E140" s="1790"/>
      <c r="F140" s="1791">
        <v>102</v>
      </c>
      <c r="G140" s="1817"/>
      <c r="H140" s="1792"/>
      <c r="I140" s="1818" t="s">
        <v>2246</v>
      </c>
      <c r="J140" s="818">
        <f>ROUNDUP((J139-1)/2,0)</f>
        <v>10</v>
      </c>
      <c r="K140" s="1793">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8">
        <v>4</v>
      </c>
      <c r="C141" s="1789">
        <v>102</v>
      </c>
      <c r="D141" s="1817"/>
      <c r="E141" s="1790"/>
      <c r="F141" s="1791">
        <v>101.5</v>
      </c>
      <c r="G141" s="1817"/>
      <c r="H141" s="1792"/>
      <c r="I141" s="1818" t="s">
        <v>2247</v>
      </c>
      <c r="J141" s="818">
        <v>1</v>
      </c>
      <c r="K141" s="1794">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8">
        <v>3</v>
      </c>
      <c r="C142" s="1789">
        <v>103</v>
      </c>
      <c r="D142" s="1817"/>
      <c r="E142" s="1790"/>
      <c r="F142" s="1791">
        <v>101</v>
      </c>
      <c r="G142" s="1817"/>
      <c r="H142" s="1792"/>
      <c r="I142" s="1818" t="s">
        <v>2248</v>
      </c>
      <c r="J142" s="818">
        <f>J139</f>
        <v>20</v>
      </c>
      <c r="K142" s="1795">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8">
        <v>2</v>
      </c>
      <c r="C143" s="1789">
        <v>100</v>
      </c>
      <c r="D143" s="1817"/>
      <c r="E143" s="1790"/>
      <c r="F143" s="1791">
        <v>100.5</v>
      </c>
      <c r="G143" s="1817"/>
      <c r="H143" s="1792"/>
      <c r="I143" s="1818" t="s">
        <v>2249</v>
      </c>
      <c r="J143" s="1789">
        <v>15</v>
      </c>
      <c r="K143" s="1794">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8">
        <v>1</v>
      </c>
      <c r="C144" s="1789">
        <v>98</v>
      </c>
      <c r="D144" s="1819" t="s">
        <v>2250</v>
      </c>
      <c r="E144" s="1790">
        <v>102</v>
      </c>
      <c r="F144" s="1796">
        <v>100</v>
      </c>
      <c r="G144" s="1819" t="s">
        <v>2250</v>
      </c>
      <c r="H144" s="1792">
        <v>105</v>
      </c>
      <c r="I144" s="1818" t="s">
        <v>2249</v>
      </c>
      <c r="J144" s="1789">
        <v>18</v>
      </c>
      <c r="K144" s="1794">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0" t="s">
        <v>2251</v>
      </c>
      <c r="C145" s="1797">
        <f>ROUND(MAX(C139:C144)/MIN(C139:C144)-1,3)</f>
        <v>7.2999999999999995E-2</v>
      </c>
      <c r="D145" s="1821"/>
      <c r="E145" s="1821"/>
      <c r="F145" s="1822" t="s">
        <v>2252</v>
      </c>
      <c r="G145" s="1823"/>
      <c r="H145" s="1824"/>
      <c r="I145" s="1825" t="s">
        <v>2249</v>
      </c>
      <c r="J145" s="1798">
        <v>8</v>
      </c>
      <c r="K145" s="1799">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4" t="s">
        <v>2260</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4" t="s">
        <v>2261</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zoomScaleSheetLayoutView="80" workbookViewId="0">
      <selection activeCell="M27" sqref="M27"/>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3240</v>
      </c>
      <c r="C1" s="481" t="s">
        <v>775</v>
      </c>
      <c r="D1" s="821" t="s">
        <v>3256</v>
      </c>
      <c r="E1" s="483"/>
      <c r="F1" s="2462" t="s">
        <v>3312</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ROUND(B3*D3/10000,0)</f>
        <v>5467</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C37</f>
        <v>18189</v>
      </c>
      <c r="C3" s="824" t="s">
        <v>779</v>
      </c>
      <c r="D3" s="823">
        <f>SUMIF('数据-汇总表'!$C19:$C33,D1,'数据-汇总表'!$E19:$E33)</f>
        <v>3005.41</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38" t="s">
        <v>781</v>
      </c>
      <c r="D4" s="3639"/>
      <c r="E4" s="3667" t="s">
        <v>782</v>
      </c>
      <c r="F4" s="3668"/>
      <c r="G4" s="3638" t="s">
        <v>783</v>
      </c>
      <c r="H4" s="3639"/>
      <c r="I4" s="3638" t="s">
        <v>784</v>
      </c>
      <c r="J4" s="3639"/>
      <c r="K4" s="491" t="s">
        <v>785</v>
      </c>
      <c r="L4" s="1985"/>
      <c r="M4" s="1986"/>
      <c r="N4" s="1986"/>
      <c r="O4" s="1986"/>
      <c r="P4" s="3640" t="s">
        <v>786</v>
      </c>
      <c r="Q4" s="3641"/>
      <c r="R4" s="3626" t="s">
        <v>782</v>
      </c>
      <c r="S4" s="3627"/>
      <c r="T4" s="3626" t="s">
        <v>783</v>
      </c>
      <c r="U4" s="3627"/>
      <c r="V4" s="3646" t="s">
        <v>784</v>
      </c>
      <c r="W4" s="3646"/>
      <c r="X4" s="1474"/>
      <c r="Y4" s="3626" t="s">
        <v>786</v>
      </c>
      <c r="Z4" s="3627"/>
      <c r="AA4" s="3621" t="s">
        <v>782</v>
      </c>
      <c r="AB4" s="3622" t="s">
        <v>783</v>
      </c>
      <c r="AC4" s="3621" t="s">
        <v>784</v>
      </c>
    </row>
    <row r="5" spans="1:29" ht="15">
      <c r="A5" s="492"/>
      <c r="B5" s="493"/>
      <c r="C5" s="3649" t="s">
        <v>2808</v>
      </c>
      <c r="D5" s="3650"/>
      <c r="E5" s="3669" t="str">
        <f>案例!B12</f>
        <v>柏雅景苑</v>
      </c>
      <c r="F5" s="3670"/>
      <c r="G5" s="3649" t="str">
        <f>案例!B13</f>
        <v>兴韵雅苑</v>
      </c>
      <c r="H5" s="3650"/>
      <c r="I5" s="3649" t="str">
        <f>案例!B14</f>
        <v>云锦佳园</v>
      </c>
      <c r="J5" s="3650"/>
      <c r="K5" s="491"/>
      <c r="L5" s="1985"/>
      <c r="M5" s="1986"/>
      <c r="N5" s="1986"/>
      <c r="O5" s="1986"/>
      <c r="P5" s="3642"/>
      <c r="Q5" s="3643"/>
      <c r="R5" s="3628"/>
      <c r="S5" s="3629"/>
      <c r="T5" s="3628"/>
      <c r="U5" s="3629"/>
      <c r="V5" s="3646"/>
      <c r="W5" s="3646"/>
      <c r="X5" s="1474"/>
      <c r="Y5" s="3628"/>
      <c r="Z5" s="3629"/>
      <c r="AA5" s="3622"/>
      <c r="AB5" s="3622"/>
      <c r="AC5" s="3622"/>
    </row>
    <row r="6" spans="1:29" ht="15.75" thickBot="1">
      <c r="A6" s="494"/>
      <c r="B6" s="495"/>
      <c r="C6" s="3647" t="s">
        <v>2812</v>
      </c>
      <c r="D6" s="3648"/>
      <c r="E6" s="3671" t="s">
        <v>2812</v>
      </c>
      <c r="F6" s="3672"/>
      <c r="G6" s="3647" t="s">
        <v>2812</v>
      </c>
      <c r="H6" s="3648"/>
      <c r="I6" s="3647" t="s">
        <v>2812</v>
      </c>
      <c r="J6" s="3648"/>
      <c r="K6" s="491" t="s">
        <v>511</v>
      </c>
      <c r="L6" s="1985"/>
      <c r="M6" s="1986"/>
      <c r="N6" s="1986"/>
      <c r="O6" s="1986"/>
      <c r="P6" s="3644"/>
      <c r="Q6" s="3645"/>
      <c r="R6" s="3628"/>
      <c r="S6" s="3629"/>
      <c r="T6" s="3630"/>
      <c r="U6" s="3631"/>
      <c r="V6" s="3646"/>
      <c r="W6" s="3646"/>
      <c r="X6" s="1474"/>
      <c r="Y6" s="3630"/>
      <c r="Z6" s="3631"/>
      <c r="AA6" s="3623"/>
      <c r="AB6" s="3623"/>
      <c r="AC6" s="3623"/>
    </row>
    <row r="7" spans="1:29" s="1183" customFormat="1" ht="15.75" thickBot="1">
      <c r="A7" s="2567"/>
      <c r="B7" s="2574" t="s">
        <v>512</v>
      </c>
      <c r="C7" s="496">
        <f>'数据-取费表'!B2</f>
        <v>44649</v>
      </c>
      <c r="D7" s="497">
        <v>100</v>
      </c>
      <c r="E7" s="498">
        <v>44621</v>
      </c>
      <c r="F7" s="499">
        <f>SUMIF(46:46,YEAR(E7)&amp;"-"&amp;MONTH(E7),47:47)</f>
        <v>100</v>
      </c>
      <c r="G7" s="498">
        <v>44621</v>
      </c>
      <c r="H7" s="497">
        <f>SUMIF(46:46,YEAR(G7)&amp;"-"&amp;MONTH(G7),47:47)</f>
        <v>100</v>
      </c>
      <c r="I7" s="498">
        <v>44621</v>
      </c>
      <c r="J7" s="497">
        <f>SUMIF(46:46,YEAR(I7)&amp;"-"&amp;MONTH(I7),47:47)</f>
        <v>100</v>
      </c>
      <c r="K7" s="501"/>
      <c r="L7" s="1987"/>
      <c r="M7" s="1988"/>
      <c r="N7" s="1988"/>
      <c r="O7" s="1988"/>
      <c r="P7" s="3624" t="s">
        <v>513</v>
      </c>
      <c r="Q7" s="3633"/>
      <c r="R7" s="1475" t="s">
        <v>8</v>
      </c>
      <c r="S7" s="1476">
        <f t="shared" ref="S7:S14" si="0">F7</f>
        <v>100</v>
      </c>
      <c r="T7" s="1475" t="s">
        <v>8</v>
      </c>
      <c r="U7" s="1476">
        <f t="shared" ref="U7:U14" si="1">H7</f>
        <v>100</v>
      </c>
      <c r="V7" s="1475" t="s">
        <v>8</v>
      </c>
      <c r="W7" s="1476">
        <f t="shared" ref="W7:W14" si="2">J7</f>
        <v>100</v>
      </c>
      <c r="X7" s="1477"/>
      <c r="Y7" s="3624" t="s">
        <v>513</v>
      </c>
      <c r="Z7" s="3625"/>
      <c r="AA7" s="1478">
        <f>D7/F7</f>
        <v>1</v>
      </c>
      <c r="AB7" s="1478">
        <f>D7/H7</f>
        <v>1</v>
      </c>
      <c r="AC7" s="1478">
        <f>D7/J7</f>
        <v>1</v>
      </c>
    </row>
    <row r="8" spans="1:29" s="1183" customFormat="1" ht="15.75" thickBot="1">
      <c r="A8" s="2568"/>
      <c r="B8" s="2575" t="s">
        <v>514</v>
      </c>
      <c r="C8" s="502" t="s">
        <v>559</v>
      </c>
      <c r="D8" s="497">
        <v>100</v>
      </c>
      <c r="E8" s="502" t="s">
        <v>559</v>
      </c>
      <c r="F8" s="499">
        <f>SUMIF(49:49,E8,50:50)-SUMIF(49:49,C8,50:50)+100</f>
        <v>100</v>
      </c>
      <c r="G8" s="502" t="s">
        <v>559</v>
      </c>
      <c r="H8" s="497">
        <f>SUMIF(49:49,G8,50:50)-SUMIF(49:49,C8,50:50)+100</f>
        <v>100</v>
      </c>
      <c r="I8" s="502" t="s">
        <v>559</v>
      </c>
      <c r="J8" s="497">
        <f>SUMIF(49:49,I8,50:50)-SUMIF(49:49,C8,50:50)+100</f>
        <v>100</v>
      </c>
      <c r="K8" s="501"/>
      <c r="L8" s="1987"/>
      <c r="M8" s="1988"/>
      <c r="N8" s="1988"/>
      <c r="O8" s="1988"/>
      <c r="P8" s="3624" t="s">
        <v>516</v>
      </c>
      <c r="Q8" s="3625"/>
      <c r="R8" s="1475" t="s">
        <v>8</v>
      </c>
      <c r="S8" s="1476">
        <f t="shared" si="0"/>
        <v>100</v>
      </c>
      <c r="T8" s="1475" t="s">
        <v>8</v>
      </c>
      <c r="U8" s="1476">
        <f t="shared" si="1"/>
        <v>100</v>
      </c>
      <c r="V8" s="1475" t="s">
        <v>8</v>
      </c>
      <c r="W8" s="1476">
        <f t="shared" si="2"/>
        <v>100</v>
      </c>
      <c r="X8" s="1477"/>
      <c r="Y8" s="3624" t="s">
        <v>516</v>
      </c>
      <c r="Z8" s="3625"/>
      <c r="AA8" s="1478">
        <f t="shared" ref="AA8:AA34" si="3">D8/F8</f>
        <v>1</v>
      </c>
      <c r="AB8" s="1478">
        <f t="shared" ref="AB8:AB34" si="4">D8/H8</f>
        <v>1</v>
      </c>
      <c r="AC8" s="1478">
        <f t="shared" ref="AC8:AC34" si="5">D8/J8</f>
        <v>1</v>
      </c>
    </row>
    <row r="9" spans="1:29" s="1183" customFormat="1" ht="15">
      <c r="A9" s="2569"/>
      <c r="B9" s="2576" t="s">
        <v>2655</v>
      </c>
      <c r="C9" s="3440" t="s">
        <v>3314</v>
      </c>
      <c r="D9" s="252">
        <v>100</v>
      </c>
      <c r="E9" s="832" t="s">
        <v>3313</v>
      </c>
      <c r="F9" s="252">
        <f>SUMIF(51:51,E9,52:52)-SUMIF(51:51,C9,52:52)+100</f>
        <v>100</v>
      </c>
      <c r="G9" s="832" t="s">
        <v>3313</v>
      </c>
      <c r="H9" s="252">
        <f>SUMIF(51:51,G9,52:52)-SUMIF(51:51,C9,52:52)+100</f>
        <v>100</v>
      </c>
      <c r="I9" s="832" t="s">
        <v>3313</v>
      </c>
      <c r="J9" s="252">
        <f>SUMIF(51:51,I9,52:52)-SUMIF(51:51,C9,52:52)+100</f>
        <v>100</v>
      </c>
      <c r="K9" s="501"/>
      <c r="L9" s="1987"/>
      <c r="M9" s="1988"/>
      <c r="N9" s="1988"/>
      <c r="O9" s="1989"/>
      <c r="P9" s="3632" t="s">
        <v>518</v>
      </c>
      <c r="Q9" s="1114" t="str">
        <f t="shared" ref="Q9:Q14" si="6">B9</f>
        <v>用途</v>
      </c>
      <c r="R9" s="1475" t="s">
        <v>8</v>
      </c>
      <c r="S9" s="1476">
        <f t="shared" si="0"/>
        <v>100</v>
      </c>
      <c r="T9" s="1475" t="s">
        <v>8</v>
      </c>
      <c r="U9" s="1476">
        <f t="shared" si="1"/>
        <v>100</v>
      </c>
      <c r="V9" s="1475" t="s">
        <v>8</v>
      </c>
      <c r="W9" s="1476">
        <f t="shared" si="2"/>
        <v>100</v>
      </c>
      <c r="X9" s="1477"/>
      <c r="Y9" s="3583"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3315</v>
      </c>
      <c r="D10" s="253">
        <v>100</v>
      </c>
      <c r="E10" s="833" t="s">
        <v>3315</v>
      </c>
      <c r="F10" s="253">
        <f>SUMIF(53:53,E10,54:54)-SUMIF(53:53,C10,54:54)+100</f>
        <v>100</v>
      </c>
      <c r="G10" s="833" t="s">
        <v>3315</v>
      </c>
      <c r="H10" s="253">
        <f>SUMIF(53:53,G10,54:54)-SUMIF(53:53,C10,54:54)+100</f>
        <v>100</v>
      </c>
      <c r="I10" s="833" t="s">
        <v>3315</v>
      </c>
      <c r="J10" s="253">
        <f>SUMIF(53:53,I10,54:54)-SUMIF(53:53,C10,54:54)+100</f>
        <v>100</v>
      </c>
      <c r="K10" s="561">
        <v>1</v>
      </c>
      <c r="L10" s="1990"/>
      <c r="M10" s="2029"/>
      <c r="N10" s="2029"/>
      <c r="O10" s="1991"/>
      <c r="P10" s="3632"/>
      <c r="Q10" s="1114" t="str">
        <f t="shared" si="6"/>
        <v>土地使用年限（年）</v>
      </c>
      <c r="R10" s="1475" t="s">
        <v>8</v>
      </c>
      <c r="S10" s="1476">
        <f t="shared" si="0"/>
        <v>100</v>
      </c>
      <c r="T10" s="1475" t="s">
        <v>8</v>
      </c>
      <c r="U10" s="1476">
        <f t="shared" si="1"/>
        <v>100</v>
      </c>
      <c r="V10" s="1475" t="s">
        <v>8</v>
      </c>
      <c r="W10" s="1476">
        <f t="shared" si="2"/>
        <v>100</v>
      </c>
      <c r="X10" s="1477"/>
      <c r="Y10" s="3583"/>
      <c r="Z10" s="1113" t="str">
        <f t="shared" si="7"/>
        <v>土地使用年限（年）</v>
      </c>
      <c r="AA10" s="1478">
        <f t="shared" si="3"/>
        <v>1</v>
      </c>
      <c r="AB10" s="1478">
        <f t="shared" si="4"/>
        <v>1</v>
      </c>
      <c r="AC10" s="1478">
        <f t="shared" si="5"/>
        <v>1</v>
      </c>
    </row>
    <row r="11" spans="1:29" ht="15" hidden="1">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2"/>
      <c r="M11" s="1986"/>
      <c r="N11" s="1986"/>
      <c r="O11" s="1993"/>
      <c r="P11" s="3632"/>
      <c r="Q11" s="1114">
        <f t="shared" si="6"/>
        <v>111</v>
      </c>
      <c r="R11" s="1475" t="s">
        <v>8</v>
      </c>
      <c r="S11" s="1476">
        <f t="shared" si="0"/>
        <v>100</v>
      </c>
      <c r="T11" s="1475" t="s">
        <v>8</v>
      </c>
      <c r="U11" s="1476">
        <f t="shared" si="1"/>
        <v>100</v>
      </c>
      <c r="V11" s="1475" t="s">
        <v>8</v>
      </c>
      <c r="W11" s="1476">
        <f t="shared" si="2"/>
        <v>100</v>
      </c>
      <c r="X11" s="1477"/>
      <c r="Y11" s="3583"/>
      <c r="Z11" s="1113">
        <f t="shared" si="7"/>
        <v>111</v>
      </c>
      <c r="AA11" s="1478">
        <f t="shared" si="3"/>
        <v>1</v>
      </c>
      <c r="AB11" s="1478">
        <f t="shared" si="4"/>
        <v>1</v>
      </c>
      <c r="AC11" s="1478">
        <f t="shared" si="5"/>
        <v>1</v>
      </c>
    </row>
    <row r="12" spans="1:29" s="1183" customFormat="1" ht="15" hidden="1">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7"/>
      <c r="M12" s="1988"/>
      <c r="N12" s="1988"/>
      <c r="O12" s="1989"/>
      <c r="P12" s="3632"/>
      <c r="Q12" s="1114">
        <f t="shared" si="6"/>
        <v>111</v>
      </c>
      <c r="R12" s="1475" t="s">
        <v>8</v>
      </c>
      <c r="S12" s="1476">
        <f t="shared" si="0"/>
        <v>100</v>
      </c>
      <c r="T12" s="1475" t="s">
        <v>8</v>
      </c>
      <c r="U12" s="1476">
        <f t="shared" si="1"/>
        <v>100</v>
      </c>
      <c r="V12" s="1475" t="s">
        <v>8</v>
      </c>
      <c r="W12" s="1476">
        <f t="shared" si="2"/>
        <v>100</v>
      </c>
      <c r="X12" s="1477"/>
      <c r="Y12" s="3583"/>
      <c r="Z12" s="1113">
        <f t="shared" si="7"/>
        <v>111</v>
      </c>
      <c r="AA12" s="1478">
        <f>D12/F12</f>
        <v>1</v>
      </c>
      <c r="AB12" s="1478">
        <f>D12/H12</f>
        <v>1</v>
      </c>
      <c r="AC12" s="1478">
        <f>D12/J12</f>
        <v>1</v>
      </c>
    </row>
    <row r="13" spans="1:29" ht="15.75" hidden="1"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4"/>
      <c r="M13" s="1986"/>
      <c r="N13" s="1986"/>
      <c r="O13" s="1993"/>
      <c r="P13" s="3632"/>
      <c r="Q13" s="1114">
        <f t="shared" si="6"/>
        <v>111</v>
      </c>
      <c r="R13" s="1475" t="s">
        <v>8</v>
      </c>
      <c r="S13" s="1476">
        <f t="shared" si="0"/>
        <v>100</v>
      </c>
      <c r="T13" s="1475" t="s">
        <v>8</v>
      </c>
      <c r="U13" s="1476">
        <f t="shared" si="1"/>
        <v>100</v>
      </c>
      <c r="V13" s="1475" t="s">
        <v>8</v>
      </c>
      <c r="W13" s="1476">
        <f t="shared" si="2"/>
        <v>100</v>
      </c>
      <c r="X13" s="1477"/>
      <c r="Y13" s="3583"/>
      <c r="Z13" s="1113">
        <f t="shared" si="7"/>
        <v>111</v>
      </c>
      <c r="AA13" s="1478">
        <f t="shared" si="3"/>
        <v>1</v>
      </c>
      <c r="AB13" s="1478">
        <f t="shared" si="4"/>
        <v>1</v>
      </c>
      <c r="AC13" s="1478">
        <f t="shared" si="5"/>
        <v>1</v>
      </c>
    </row>
    <row r="14" spans="1:29" ht="15">
      <c r="A14" s="2565" t="s">
        <v>2653</v>
      </c>
      <c r="B14" s="164" t="s">
        <v>526</v>
      </c>
      <c r="C14" s="890" t="str">
        <f>IF(B1="工业",估价对象房地状况!G4,估价对象房地状况!C6)</f>
        <v>一般</v>
      </c>
      <c r="D14" s="526">
        <v>100</v>
      </c>
      <c r="E14" s="527" t="s">
        <v>3262</v>
      </c>
      <c r="F14" s="528">
        <f>SUMIF(61:61,E15,62:62)-SUMIF(61:61,C15,62:62)+100</f>
        <v>100</v>
      </c>
      <c r="G14" s="527" t="s">
        <v>3262</v>
      </c>
      <c r="H14" s="526">
        <f>SUMIF(61:61,G15,62:62)-SUMIF(61:61,C15,62:62)+100</f>
        <v>100</v>
      </c>
      <c r="I14" s="527" t="s">
        <v>3262</v>
      </c>
      <c r="J14" s="526">
        <f>SUMIF(61:61,I15,62:62)-SUMIF(61:61,C15,62:62)+100</f>
        <v>100</v>
      </c>
      <c r="K14" s="867">
        <v>1</v>
      </c>
      <c r="L14" s="1994"/>
      <c r="M14" s="1986"/>
      <c r="N14" s="1986"/>
      <c r="O14" s="1993"/>
      <c r="P14" s="3634" t="s">
        <v>523</v>
      </c>
      <c r="Q14" s="1479" t="str">
        <f t="shared" si="6"/>
        <v>交通便捷度</v>
      </c>
      <c r="R14" s="1480" t="s">
        <v>8</v>
      </c>
      <c r="S14" s="1481">
        <f t="shared" si="0"/>
        <v>100</v>
      </c>
      <c r="T14" s="1480" t="s">
        <v>8</v>
      </c>
      <c r="U14" s="1481">
        <f t="shared" si="1"/>
        <v>100</v>
      </c>
      <c r="V14" s="1480" t="s">
        <v>8</v>
      </c>
      <c r="W14" s="1481">
        <f t="shared" si="2"/>
        <v>100</v>
      </c>
      <c r="X14" s="1474"/>
      <c r="Y14" s="3634" t="s">
        <v>523</v>
      </c>
      <c r="Z14" s="1482" t="str">
        <f t="shared" si="7"/>
        <v>交通便捷度</v>
      </c>
      <c r="AA14" s="1483">
        <f t="shared" si="3"/>
        <v>1</v>
      </c>
      <c r="AB14" s="1483">
        <f t="shared" si="4"/>
        <v>1</v>
      </c>
      <c r="AC14" s="1483">
        <f t="shared" si="5"/>
        <v>1</v>
      </c>
    </row>
    <row r="15" spans="1:29" ht="15">
      <c r="A15" s="509"/>
      <c r="B15" s="841"/>
      <c r="C15" s="553" t="s">
        <v>3262</v>
      </c>
      <c r="D15" s="532"/>
      <c r="E15" s="553" t="s">
        <v>3262</v>
      </c>
      <c r="F15" s="534"/>
      <c r="G15" s="553" t="s">
        <v>3262</v>
      </c>
      <c r="H15" s="536"/>
      <c r="I15" s="553" t="s">
        <v>3262</v>
      </c>
      <c r="J15" s="532"/>
      <c r="K15" s="868"/>
      <c r="L15" s="1994"/>
      <c r="M15" s="1986"/>
      <c r="N15" s="1986"/>
      <c r="O15" s="1993"/>
      <c r="P15" s="3635"/>
      <c r="Q15" s="1479"/>
      <c r="R15" s="1480"/>
      <c r="S15" s="1481"/>
      <c r="T15" s="1480"/>
      <c r="U15" s="1481"/>
      <c r="V15" s="1480"/>
      <c r="W15" s="1481"/>
      <c r="X15" s="1474"/>
      <c r="Y15" s="3635"/>
      <c r="Z15" s="1482"/>
      <c r="AA15" s="1483">
        <v>1</v>
      </c>
      <c r="AB15" s="1483">
        <v>1</v>
      </c>
      <c r="AC15" s="1483">
        <v>1</v>
      </c>
    </row>
    <row r="16" spans="1:29" ht="15">
      <c r="A16" s="509"/>
      <c r="B16" s="2385" t="s">
        <v>2446</v>
      </c>
      <c r="C16" s="844" t="str">
        <f>IF(B1="工业",估价对象房地状况!G5,估价对象房地状况!C7)</f>
        <v>一般</v>
      </c>
      <c r="D16" s="542">
        <v>100</v>
      </c>
      <c r="E16" s="547" t="s">
        <v>3262</v>
      </c>
      <c r="F16" s="548">
        <f>SUMIF(63:63,E17,64:64)-SUMIF(63:63,C17,64:64)+100</f>
        <v>100</v>
      </c>
      <c r="G16" s="547" t="s">
        <v>3262</v>
      </c>
      <c r="H16" s="542">
        <f>SUMIF(63:63,G17,64:64)-SUMIF(63:63,C17,64:64)+100</f>
        <v>100</v>
      </c>
      <c r="I16" s="547" t="s">
        <v>3262</v>
      </c>
      <c r="J16" s="542">
        <f>SUMIF(63:63,I17,64:64)-SUMIF(63:63,C17,64:64)+100</f>
        <v>100</v>
      </c>
      <c r="K16" s="867">
        <v>1</v>
      </c>
      <c r="L16" s="1994"/>
      <c r="M16" s="1986"/>
      <c r="N16" s="1986"/>
      <c r="O16" s="1993"/>
      <c r="P16" s="3635"/>
      <c r="Q16" s="1479" t="str">
        <f>B16</f>
        <v>公共配套设施</v>
      </c>
      <c r="R16" s="1480" t="s">
        <v>8</v>
      </c>
      <c r="S16" s="1481">
        <f>F16</f>
        <v>100</v>
      </c>
      <c r="T16" s="1480" t="s">
        <v>8</v>
      </c>
      <c r="U16" s="1481">
        <f>H16</f>
        <v>100</v>
      </c>
      <c r="V16" s="1480" t="s">
        <v>8</v>
      </c>
      <c r="W16" s="1481">
        <f>J16</f>
        <v>100</v>
      </c>
      <c r="X16" s="1474"/>
      <c r="Y16" s="3635"/>
      <c r="Z16" s="1482" t="str">
        <f>Q16</f>
        <v>公共配套设施</v>
      </c>
      <c r="AA16" s="1483">
        <f t="shared" si="3"/>
        <v>1</v>
      </c>
      <c r="AB16" s="1483">
        <f t="shared" si="4"/>
        <v>1</v>
      </c>
      <c r="AC16" s="1483">
        <f t="shared" si="5"/>
        <v>1</v>
      </c>
    </row>
    <row r="17" spans="1:29" ht="15">
      <c r="A17" s="509"/>
      <c r="B17" s="543"/>
      <c r="C17" s="845" t="s">
        <v>3262</v>
      </c>
      <c r="D17" s="532"/>
      <c r="E17" s="553" t="s">
        <v>3262</v>
      </c>
      <c r="F17" s="534"/>
      <c r="G17" s="553" t="s">
        <v>3262</v>
      </c>
      <c r="H17" s="532"/>
      <c r="I17" s="553" t="s">
        <v>3262</v>
      </c>
      <c r="J17" s="532"/>
      <c r="K17" s="868"/>
      <c r="L17" s="1994"/>
      <c r="M17" s="1986"/>
      <c r="N17" s="1986"/>
      <c r="O17" s="1993"/>
      <c r="P17" s="3635"/>
      <c r="Q17" s="1479"/>
      <c r="R17" s="1480"/>
      <c r="S17" s="1481"/>
      <c r="T17" s="1480"/>
      <c r="U17" s="1481"/>
      <c r="V17" s="1480"/>
      <c r="W17" s="1481"/>
      <c r="X17" s="1474"/>
      <c r="Y17" s="3635"/>
      <c r="Z17" s="1482"/>
      <c r="AA17" s="1483">
        <v>1</v>
      </c>
      <c r="AB17" s="1483">
        <v>1</v>
      </c>
      <c r="AC17" s="1483">
        <v>1</v>
      </c>
    </row>
    <row r="18" spans="1:29" ht="15">
      <c r="A18" s="509"/>
      <c r="B18" s="2373" t="s">
        <v>2458</v>
      </c>
      <c r="C18" s="844" t="str">
        <f>IF(B1="工业",估价对象房地状况!G6,估价对象房地状况!C8)</f>
        <v>七通</v>
      </c>
      <c r="D18" s="536">
        <v>100</v>
      </c>
      <c r="E18" s="539" t="s">
        <v>3264</v>
      </c>
      <c r="F18" s="540">
        <f>SUMIF(65:65,E19,66:66)-SUMIF(65:65,C19,66:66)+100</f>
        <v>100</v>
      </c>
      <c r="G18" s="539" t="s">
        <v>3264</v>
      </c>
      <c r="H18" s="542">
        <f>SUMIF(65:65,G19,66:66)-SUMIF(65:65,C19,66:66)+100</f>
        <v>100</v>
      </c>
      <c r="I18" s="539" t="s">
        <v>3264</v>
      </c>
      <c r="J18" s="542">
        <f>SUMIF(65:65,I19,66:66)-SUMIF(65:65,C19,66:66)+100</f>
        <v>100</v>
      </c>
      <c r="K18" s="867">
        <v>1</v>
      </c>
      <c r="L18" s="1994"/>
      <c r="M18" s="1986"/>
      <c r="N18" s="1986"/>
      <c r="O18" s="1993"/>
      <c r="P18" s="3635"/>
      <c r="Q18" s="2367" t="str">
        <f>B18</f>
        <v>基础设施水平</v>
      </c>
      <c r="R18" s="1480" t="s">
        <v>8</v>
      </c>
      <c r="S18" s="1481">
        <f>F18</f>
        <v>100</v>
      </c>
      <c r="T18" s="1480" t="s">
        <v>8</v>
      </c>
      <c r="U18" s="1481">
        <f>H18</f>
        <v>100</v>
      </c>
      <c r="V18" s="1480" t="s">
        <v>8</v>
      </c>
      <c r="W18" s="1481">
        <f>J18</f>
        <v>100</v>
      </c>
      <c r="X18" s="2369"/>
      <c r="Y18" s="3635"/>
      <c r="Z18" s="2368" t="str">
        <f>Q18</f>
        <v>基础设施水平</v>
      </c>
      <c r="AA18" s="1483">
        <f t="shared" ref="AA18" si="8">D18/F18</f>
        <v>1</v>
      </c>
      <c r="AB18" s="1483">
        <f t="shared" ref="AB18" si="9">D18/H18</f>
        <v>1</v>
      </c>
      <c r="AC18" s="1483">
        <f t="shared" ref="AC18" si="10">D18/J18</f>
        <v>1</v>
      </c>
    </row>
    <row r="19" spans="1:29" ht="15">
      <c r="A19" s="509"/>
      <c r="B19" s="555"/>
      <c r="C19" s="845" t="s">
        <v>3264</v>
      </c>
      <c r="D19" s="536"/>
      <c r="E19" s="845" t="s">
        <v>3264</v>
      </c>
      <c r="F19" s="540"/>
      <c r="G19" s="845" t="s">
        <v>3264</v>
      </c>
      <c r="H19" s="532"/>
      <c r="I19" s="845" t="s">
        <v>3264</v>
      </c>
      <c r="J19" s="532"/>
      <c r="K19" s="2384"/>
      <c r="L19" s="1994"/>
      <c r="M19" s="1986"/>
      <c r="N19" s="1986"/>
      <c r="O19" s="1993"/>
      <c r="P19" s="3635"/>
      <c r="Q19" s="2367"/>
      <c r="R19" s="1480"/>
      <c r="S19" s="1481"/>
      <c r="T19" s="1480"/>
      <c r="U19" s="1481"/>
      <c r="V19" s="1480"/>
      <c r="W19" s="1481"/>
      <c r="X19" s="2369"/>
      <c r="Y19" s="3635"/>
      <c r="Z19" s="2368"/>
      <c r="AA19" s="1483">
        <v>1</v>
      </c>
      <c r="AB19" s="1483">
        <v>1</v>
      </c>
      <c r="AC19" s="1483">
        <v>1</v>
      </c>
    </row>
    <row r="20" spans="1:29" ht="15">
      <c r="A20" s="509"/>
      <c r="B20" s="843" t="s">
        <v>787</v>
      </c>
      <c r="C20" s="844" t="str">
        <f>IF(B1="工业",估价对象房地状况!G7,估价对象房地状况!C9)</f>
        <v>一般</v>
      </c>
      <c r="D20" s="542">
        <v>100</v>
      </c>
      <c r="E20" s="547" t="s">
        <v>3262</v>
      </c>
      <c r="F20" s="548">
        <f>SUMIF(67:67,E21,68:68)-SUMIF(67:67,C21,68:68)+100</f>
        <v>100</v>
      </c>
      <c r="G20" s="547" t="s">
        <v>3262</v>
      </c>
      <c r="H20" s="536">
        <f>SUMIF(67:67,G21,68:68)-SUMIF(67:67,C21,68:68)+100</f>
        <v>100</v>
      </c>
      <c r="I20" s="547" t="s">
        <v>3262</v>
      </c>
      <c r="J20" s="536">
        <f>SUMIF(67:67,I21,68:68)-SUMIF(67:67,C21,68:68)+100</f>
        <v>100</v>
      </c>
      <c r="K20" s="867">
        <v>1</v>
      </c>
      <c r="L20" s="1994"/>
      <c r="M20" s="1986"/>
      <c r="N20" s="1986"/>
      <c r="O20" s="1993"/>
      <c r="P20" s="3635"/>
      <c r="Q20" s="1479" t="str">
        <f>B20</f>
        <v>自然及人文环境</v>
      </c>
      <c r="R20" s="1480" t="s">
        <v>8</v>
      </c>
      <c r="S20" s="1481">
        <f>F20</f>
        <v>100</v>
      </c>
      <c r="T20" s="1480" t="s">
        <v>8</v>
      </c>
      <c r="U20" s="1481">
        <f>H20</f>
        <v>100</v>
      </c>
      <c r="V20" s="1480" t="s">
        <v>8</v>
      </c>
      <c r="W20" s="1481">
        <f>J20</f>
        <v>100</v>
      </c>
      <c r="X20" s="1474"/>
      <c r="Y20" s="3635"/>
      <c r="Z20" s="1482" t="str">
        <f>Q20</f>
        <v>自然及人文环境</v>
      </c>
      <c r="AA20" s="1483">
        <f t="shared" si="3"/>
        <v>1</v>
      </c>
      <c r="AB20" s="1483">
        <f t="shared" si="4"/>
        <v>1</v>
      </c>
      <c r="AC20" s="1483">
        <f t="shared" si="5"/>
        <v>1</v>
      </c>
    </row>
    <row r="21" spans="1:29" ht="15">
      <c r="A21" s="509"/>
      <c r="B21" s="572"/>
      <c r="C21" s="553" t="s">
        <v>3262</v>
      </c>
      <c r="D21" s="532"/>
      <c r="E21" s="553" t="s">
        <v>3262</v>
      </c>
      <c r="F21" s="534"/>
      <c r="G21" s="553" t="s">
        <v>3262</v>
      </c>
      <c r="H21" s="532"/>
      <c r="I21" s="553" t="s">
        <v>3262</v>
      </c>
      <c r="J21" s="532"/>
      <c r="K21" s="868"/>
      <c r="L21" s="1994"/>
      <c r="M21" s="1986"/>
      <c r="N21" s="1986"/>
      <c r="O21" s="1993"/>
      <c r="P21" s="3635"/>
      <c r="Q21" s="1479"/>
      <c r="R21" s="1480"/>
      <c r="S21" s="1481"/>
      <c r="T21" s="1480"/>
      <c r="U21" s="1481"/>
      <c r="V21" s="1480"/>
      <c r="W21" s="1481"/>
      <c r="X21" s="1474"/>
      <c r="Y21" s="3635"/>
      <c r="Z21" s="1482"/>
      <c r="AA21" s="1483">
        <v>1</v>
      </c>
      <c r="AB21" s="1483">
        <v>1</v>
      </c>
      <c r="AC21" s="1483">
        <v>1</v>
      </c>
    </row>
    <row r="22" spans="1:29" ht="15.75" thickBot="1">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4"/>
      <c r="M22" s="1986"/>
      <c r="N22" s="1986"/>
      <c r="O22" s="1993"/>
      <c r="P22" s="3635"/>
      <c r="Q22" s="1479" t="str">
        <f>B22</f>
        <v>楼层</v>
      </c>
      <c r="R22" s="1480" t="s">
        <v>8</v>
      </c>
      <c r="S22" s="1481">
        <f>F22</f>
        <v>100</v>
      </c>
      <c r="T22" s="1480" t="s">
        <v>8</v>
      </c>
      <c r="U22" s="1481">
        <f>H22</f>
        <v>100</v>
      </c>
      <c r="V22" s="1480" t="s">
        <v>8</v>
      </c>
      <c r="W22" s="1481">
        <f>J22</f>
        <v>100</v>
      </c>
      <c r="X22" s="1474"/>
      <c r="Y22" s="3635"/>
      <c r="Z22" s="1482" t="str">
        <f>Q22</f>
        <v>楼层</v>
      </c>
      <c r="AA22" s="1483">
        <f t="shared" si="3"/>
        <v>1</v>
      </c>
      <c r="AB22" s="1483">
        <f t="shared" si="4"/>
        <v>1</v>
      </c>
      <c r="AC22" s="1483">
        <f t="shared" si="5"/>
        <v>1</v>
      </c>
    </row>
    <row r="23" spans="1:29" ht="15" hidden="1">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4"/>
      <c r="M23" s="1986"/>
      <c r="N23" s="1986"/>
      <c r="O23" s="1993"/>
      <c r="P23" s="3635"/>
      <c r="Q23" s="1479">
        <f>B23</f>
        <v>111</v>
      </c>
      <c r="R23" s="1480" t="s">
        <v>8</v>
      </c>
      <c r="S23" s="1481">
        <f>F23</f>
        <v>100</v>
      </c>
      <c r="T23" s="1480" t="s">
        <v>8</v>
      </c>
      <c r="U23" s="1481">
        <f>H23</f>
        <v>100</v>
      </c>
      <c r="V23" s="1480" t="s">
        <v>8</v>
      </c>
      <c r="W23" s="1481">
        <f>J23</f>
        <v>100</v>
      </c>
      <c r="X23" s="1474"/>
      <c r="Y23" s="3635"/>
      <c r="Z23" s="1482">
        <f>Q23</f>
        <v>111</v>
      </c>
      <c r="AA23" s="1483">
        <f t="shared" si="3"/>
        <v>1</v>
      </c>
      <c r="AB23" s="1483">
        <f t="shared" si="4"/>
        <v>1</v>
      </c>
      <c r="AC23" s="1483">
        <f t="shared" si="5"/>
        <v>1</v>
      </c>
    </row>
    <row r="24" spans="1:29" ht="15" hidden="1">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4"/>
      <c r="M24" s="1986"/>
      <c r="N24" s="1986"/>
      <c r="O24" s="1993"/>
      <c r="P24" s="3635"/>
      <c r="Q24" s="1479">
        <f t="shared" ref="Q24:Q34" si="11">B24</f>
        <v>111</v>
      </c>
      <c r="R24" s="1480" t="s">
        <v>8</v>
      </c>
      <c r="S24" s="1481">
        <f>F24</f>
        <v>100</v>
      </c>
      <c r="T24" s="1480" t="s">
        <v>8</v>
      </c>
      <c r="U24" s="1481">
        <f>H24</f>
        <v>100</v>
      </c>
      <c r="V24" s="1480" t="s">
        <v>8</v>
      </c>
      <c r="W24" s="1481">
        <f>J24</f>
        <v>100</v>
      </c>
      <c r="X24" s="1474"/>
      <c r="Y24" s="3635"/>
      <c r="Z24" s="1482">
        <f>Q24</f>
        <v>111</v>
      </c>
      <c r="AA24" s="1483">
        <f t="shared" si="3"/>
        <v>1</v>
      </c>
      <c r="AB24" s="1483">
        <f t="shared" si="4"/>
        <v>1</v>
      </c>
      <c r="AC24" s="1483">
        <f t="shared" si="5"/>
        <v>1</v>
      </c>
    </row>
    <row r="25" spans="1:29" s="1183" customFormat="1" ht="15.75" hidden="1" thickBot="1">
      <c r="A25" s="513"/>
      <c r="B25" s="514">
        <v>111</v>
      </c>
      <c r="C25" s="909"/>
      <c r="D25" s="910">
        <v>100</v>
      </c>
      <c r="E25" s="909"/>
      <c r="F25" s="911">
        <f>SUMIF(75:75,E25,76:76)-SUMIF(75:75,C25,76:76)+100</f>
        <v>100</v>
      </c>
      <c r="G25" s="909"/>
      <c r="H25" s="910">
        <f>SUMIF(75:75,G25,76:76)-SUMIF(75:75,C25,76:76)+100</f>
        <v>100</v>
      </c>
      <c r="I25" s="909"/>
      <c r="J25" s="910">
        <f>SUMIF(75:75,I25,76:76)-SUMIF(75:75,C25,76:76)+100</f>
        <v>100</v>
      </c>
      <c r="K25" s="558"/>
      <c r="L25" s="1987"/>
      <c r="M25" s="1988"/>
      <c r="N25" s="1988"/>
      <c r="O25" s="1989"/>
      <c r="P25" s="3635"/>
      <c r="Q25" s="1114">
        <f t="shared" si="11"/>
        <v>111</v>
      </c>
      <c r="R25" s="1475" t="s">
        <v>8</v>
      </c>
      <c r="S25" s="1476">
        <f>F25</f>
        <v>100</v>
      </c>
      <c r="T25" s="1475" t="s">
        <v>8</v>
      </c>
      <c r="U25" s="1476">
        <f>H25</f>
        <v>100</v>
      </c>
      <c r="V25" s="1475" t="s">
        <v>8</v>
      </c>
      <c r="W25" s="1476">
        <f>J25</f>
        <v>100</v>
      </c>
      <c r="X25" s="1477"/>
      <c r="Y25" s="3635"/>
      <c r="Z25" s="1113">
        <f>Q25</f>
        <v>111</v>
      </c>
      <c r="AA25" s="1483">
        <f>D25/F25</f>
        <v>1</v>
      </c>
      <c r="AB25" s="1483">
        <f>D25/H25</f>
        <v>1</v>
      </c>
      <c r="AC25" s="1483">
        <f>D25/J25</f>
        <v>1</v>
      </c>
    </row>
    <row r="26" spans="1:29" ht="15">
      <c r="A26" s="2562" t="s">
        <v>2654</v>
      </c>
      <c r="B26" s="170" t="s">
        <v>791</v>
      </c>
      <c r="C26" s="885" t="s">
        <v>3302</v>
      </c>
      <c r="D26" s="574">
        <v>100</v>
      </c>
      <c r="E26" s="885" t="s">
        <v>3302</v>
      </c>
      <c r="F26" s="912">
        <f>SUMIF(77:77,E26,78:78)-SUMIF(77:77,C26,78:78)+100</f>
        <v>100</v>
      </c>
      <c r="G26" s="885" t="s">
        <v>3302</v>
      </c>
      <c r="H26" s="574">
        <f>SUMIF(77:77,G26,78:78)-SUMIF(77:77,C26,78:78)+100</f>
        <v>100</v>
      </c>
      <c r="I26" s="885" t="s">
        <v>3302</v>
      </c>
      <c r="J26" s="574">
        <f>SUMIF(77:77,I26,78:78)-SUMIF(77:77,C26,78:78)+100</f>
        <v>100</v>
      </c>
      <c r="K26" s="561">
        <v>1</v>
      </c>
      <c r="L26" s="1994"/>
      <c r="M26" s="1986"/>
      <c r="N26" s="1986"/>
      <c r="O26" s="1993"/>
      <c r="P26" s="3636"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37" t="s">
        <v>804</v>
      </c>
      <c r="Z26" s="1482" t="str">
        <f t="shared" ref="Z26:Z34" si="15">Q26</f>
        <v>公共部分装修</v>
      </c>
      <c r="AA26" s="1483">
        <f t="shared" si="3"/>
        <v>1</v>
      </c>
      <c r="AB26" s="1483">
        <f t="shared" si="4"/>
        <v>1</v>
      </c>
      <c r="AC26" s="1483">
        <f t="shared" si="5"/>
        <v>1</v>
      </c>
    </row>
    <row r="27" spans="1:29" s="1265" customFormat="1" ht="15">
      <c r="A27" s="580"/>
      <c r="B27" s="504" t="s">
        <v>792</v>
      </c>
      <c r="C27" s="854">
        <v>1</v>
      </c>
      <c r="D27" s="253">
        <v>100</v>
      </c>
      <c r="E27" s="854">
        <v>1</v>
      </c>
      <c r="F27" s="552">
        <f>LOOKUP(E27,80:80,81:81)-LOOKUP(C27,80:80,81:81)+100</f>
        <v>100</v>
      </c>
      <c r="G27" s="854">
        <v>1</v>
      </c>
      <c r="H27" s="517">
        <f>LOOKUP(G27,80:80,81:81)-LOOKUP(C27,80:80,81:81)+100</f>
        <v>100</v>
      </c>
      <c r="I27" s="854">
        <v>1</v>
      </c>
      <c r="J27" s="517">
        <f>LOOKUP(I27,80:80,81:81)-LOOKUP(C27,80:80,81:81)+100</f>
        <v>100</v>
      </c>
      <c r="K27" s="561">
        <v>1</v>
      </c>
      <c r="L27" s="1992"/>
      <c r="M27" s="2022"/>
      <c r="N27" s="2022"/>
      <c r="O27" s="1995"/>
      <c r="P27" s="3637"/>
      <c r="Q27" s="1508" t="str">
        <f t="shared" si="11"/>
        <v>成新率</v>
      </c>
      <c r="R27" s="1484" t="s">
        <v>8</v>
      </c>
      <c r="S27" s="1485">
        <f t="shared" si="12"/>
        <v>100</v>
      </c>
      <c r="T27" s="1484" t="s">
        <v>8</v>
      </c>
      <c r="U27" s="1485">
        <f t="shared" si="13"/>
        <v>100</v>
      </c>
      <c r="V27" s="1484" t="s">
        <v>8</v>
      </c>
      <c r="W27" s="1485">
        <f t="shared" si="14"/>
        <v>100</v>
      </c>
      <c r="X27" s="1486"/>
      <c r="Y27" s="3637"/>
      <c r="Z27" s="1487" t="str">
        <f t="shared" si="15"/>
        <v>成新率</v>
      </c>
      <c r="AA27" s="1483">
        <f t="shared" si="3"/>
        <v>1</v>
      </c>
      <c r="AB27" s="1483">
        <f t="shared" si="4"/>
        <v>1</v>
      </c>
      <c r="AC27" s="1483">
        <f t="shared" si="5"/>
        <v>1</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4"/>
      <c r="M28" s="1986"/>
      <c r="N28" s="1986"/>
      <c r="O28" s="1993"/>
      <c r="P28" s="3637"/>
      <c r="Q28" s="1479" t="str">
        <f t="shared" si="11"/>
        <v>物业等级</v>
      </c>
      <c r="R28" s="1480" t="s">
        <v>8</v>
      </c>
      <c r="S28" s="1481">
        <f t="shared" si="12"/>
        <v>100</v>
      </c>
      <c r="T28" s="1480" t="s">
        <v>8</v>
      </c>
      <c r="U28" s="1481">
        <f t="shared" si="13"/>
        <v>100</v>
      </c>
      <c r="V28" s="1480" t="s">
        <v>8</v>
      </c>
      <c r="W28" s="1481">
        <f t="shared" si="14"/>
        <v>100</v>
      </c>
      <c r="X28" s="1474"/>
      <c r="Y28" s="3637"/>
      <c r="Z28" s="1482" t="str">
        <f t="shared" si="15"/>
        <v>物业等级</v>
      </c>
      <c r="AA28" s="1483">
        <f t="shared" si="3"/>
        <v>1</v>
      </c>
      <c r="AB28" s="1483">
        <f t="shared" si="4"/>
        <v>1</v>
      </c>
      <c r="AC28" s="1483">
        <f t="shared" si="5"/>
        <v>1</v>
      </c>
    </row>
    <row r="29" spans="1:29" ht="15">
      <c r="A29" s="571"/>
      <c r="B29" s="504" t="s">
        <v>805</v>
      </c>
      <c r="C29" s="901"/>
      <c r="D29" s="517">
        <v>100</v>
      </c>
      <c r="E29" s="901"/>
      <c r="F29" s="552">
        <f>SUMIF(84:84,E29,85:85)-SUMIF(84:84,C29,85:85)+100</f>
        <v>100</v>
      </c>
      <c r="G29" s="901"/>
      <c r="H29" s="517">
        <f>SUMIF(84:84,G29,85:85)-SUMIF(84:84,C29,85:85)+100</f>
        <v>100</v>
      </c>
      <c r="I29" s="901"/>
      <c r="J29" s="517">
        <f>SUMIF(84:84,I29,85:85)-SUMIF(84:84,C29,85:85)+100</f>
        <v>100</v>
      </c>
      <c r="K29" s="561"/>
      <c r="L29" s="1994"/>
      <c r="M29" s="1986"/>
      <c r="N29" s="1986"/>
      <c r="O29" s="1993"/>
      <c r="P29" s="3637"/>
      <c r="Q29" s="1479" t="str">
        <f t="shared" si="11"/>
        <v>有无电梯</v>
      </c>
      <c r="R29" s="1480" t="s">
        <v>8</v>
      </c>
      <c r="S29" s="1481">
        <f t="shared" si="12"/>
        <v>100</v>
      </c>
      <c r="T29" s="1480" t="s">
        <v>8</v>
      </c>
      <c r="U29" s="1481">
        <f t="shared" si="13"/>
        <v>100</v>
      </c>
      <c r="V29" s="1480" t="s">
        <v>8</v>
      </c>
      <c r="W29" s="1481">
        <f t="shared" si="14"/>
        <v>100</v>
      </c>
      <c r="X29" s="1474"/>
      <c r="Y29" s="3637"/>
      <c r="Z29" s="1482" t="str">
        <f t="shared" si="15"/>
        <v>有无电梯</v>
      </c>
      <c r="AA29" s="1483">
        <f t="shared" si="3"/>
        <v>1</v>
      </c>
      <c r="AB29" s="1483">
        <f t="shared" si="4"/>
        <v>1</v>
      </c>
      <c r="AC29" s="1483">
        <f t="shared" si="5"/>
        <v>1</v>
      </c>
    </row>
    <row r="30" spans="1:29" ht="15">
      <c r="A30" s="571"/>
      <c r="B30" s="504" t="s">
        <v>806</v>
      </c>
      <c r="C30" s="851"/>
      <c r="D30" s="517">
        <v>100</v>
      </c>
      <c r="E30" s="851"/>
      <c r="F30" s="552">
        <f>LOOKUP(E30,87:87,88:88)-LOOKUP(C30,87:87,88:88)+100</f>
        <v>100</v>
      </c>
      <c r="G30" s="851"/>
      <c r="H30" s="517">
        <f>LOOKUP(G30,87:87,88:88)-LOOKUP(C30,87:87,88:88)+100</f>
        <v>100</v>
      </c>
      <c r="I30" s="851"/>
      <c r="J30" s="517">
        <f>LOOKUP(I30,87:87,88:88)-LOOKUP(C30,87:87,88:88)+100</f>
        <v>100</v>
      </c>
      <c r="K30" s="558"/>
      <c r="L30" s="1994"/>
      <c r="M30" s="1986"/>
      <c r="N30" s="1986"/>
      <c r="O30" s="1993"/>
      <c r="P30" s="3637"/>
      <c r="Q30" s="1479" t="str">
        <f t="shared" si="11"/>
        <v>建筑面积</v>
      </c>
      <c r="R30" s="1480" t="s">
        <v>8</v>
      </c>
      <c r="S30" s="1481">
        <f t="shared" si="12"/>
        <v>100</v>
      </c>
      <c r="T30" s="1480" t="s">
        <v>8</v>
      </c>
      <c r="U30" s="1481">
        <f t="shared" si="13"/>
        <v>100</v>
      </c>
      <c r="V30" s="1480" t="s">
        <v>8</v>
      </c>
      <c r="W30" s="1481">
        <f t="shared" si="14"/>
        <v>100</v>
      </c>
      <c r="X30" s="1474"/>
      <c r="Y30" s="3637"/>
      <c r="Z30" s="1482" t="str">
        <f t="shared" si="15"/>
        <v>建筑面积</v>
      </c>
      <c r="AA30" s="1483">
        <f t="shared" si="3"/>
        <v>1</v>
      </c>
      <c r="AB30" s="1483">
        <f t="shared" si="4"/>
        <v>1</v>
      </c>
      <c r="AC30" s="1483">
        <f t="shared" si="5"/>
        <v>1</v>
      </c>
    </row>
    <row r="31" spans="1:29" s="1183" customFormat="1" ht="15.75" thickBot="1">
      <c r="A31" s="577"/>
      <c r="B31" s="504" t="s">
        <v>807</v>
      </c>
      <c r="C31" s="901"/>
      <c r="D31" s="253">
        <v>100</v>
      </c>
      <c r="E31" s="901"/>
      <c r="F31" s="552">
        <f>SUMIF(89:89,E31,90:90)-SUMIF(89:89,C31,90:90)+100</f>
        <v>100</v>
      </c>
      <c r="G31" s="901"/>
      <c r="H31" s="517">
        <f>SUMIF(89:89,G31,90:90)-SUMIF(89:89,C31,90:90)+100</f>
        <v>100</v>
      </c>
      <c r="I31" s="901"/>
      <c r="J31" s="517">
        <f>SUMIF(89:89,I31,90:90)-SUMIF(89:89,C31,90:90)+100</f>
        <v>100</v>
      </c>
      <c r="K31" s="561"/>
      <c r="L31" s="1987"/>
      <c r="M31" s="1988"/>
      <c r="N31" s="1988"/>
      <c r="O31" s="1989"/>
      <c r="P31" s="3637"/>
      <c r="Q31" s="1114" t="str">
        <f t="shared" si="11"/>
        <v>是否封闭</v>
      </c>
      <c r="R31" s="1475" t="s">
        <v>8</v>
      </c>
      <c r="S31" s="1476">
        <f t="shared" si="12"/>
        <v>100</v>
      </c>
      <c r="T31" s="1475" t="s">
        <v>8</v>
      </c>
      <c r="U31" s="1476">
        <f t="shared" si="13"/>
        <v>100</v>
      </c>
      <c r="V31" s="1475" t="s">
        <v>8</v>
      </c>
      <c r="W31" s="1476">
        <f t="shared" si="14"/>
        <v>100</v>
      </c>
      <c r="X31" s="1477"/>
      <c r="Y31" s="3637"/>
      <c r="Z31" s="1113" t="str">
        <f t="shared" si="15"/>
        <v>是否封闭</v>
      </c>
      <c r="AA31" s="1478">
        <f t="shared" si="3"/>
        <v>1</v>
      </c>
      <c r="AB31" s="1478">
        <f t="shared" si="4"/>
        <v>1</v>
      </c>
      <c r="AC31" s="1478">
        <f t="shared" si="5"/>
        <v>1</v>
      </c>
    </row>
    <row r="32" spans="1:29" ht="15" hidden="1">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4"/>
      <c r="M32" s="1986"/>
      <c r="N32" s="1986"/>
      <c r="O32" s="1993"/>
      <c r="P32" s="3637" t="s">
        <v>533</v>
      </c>
      <c r="Q32" s="1479">
        <f t="shared" si="11"/>
        <v>111</v>
      </c>
      <c r="R32" s="1480" t="s">
        <v>8</v>
      </c>
      <c r="S32" s="1481">
        <f t="shared" si="12"/>
        <v>100</v>
      </c>
      <c r="T32" s="1480" t="s">
        <v>8</v>
      </c>
      <c r="U32" s="1481">
        <f t="shared" si="13"/>
        <v>100</v>
      </c>
      <c r="V32" s="1480" t="s">
        <v>8</v>
      </c>
      <c r="W32" s="1481">
        <f t="shared" si="14"/>
        <v>100</v>
      </c>
      <c r="X32" s="1474"/>
      <c r="Y32" s="3637" t="s">
        <v>533</v>
      </c>
      <c r="Z32" s="1482">
        <f t="shared" si="15"/>
        <v>111</v>
      </c>
      <c r="AA32" s="1483">
        <f t="shared" si="3"/>
        <v>1</v>
      </c>
      <c r="AB32" s="1483">
        <f t="shared" si="4"/>
        <v>1</v>
      </c>
      <c r="AC32" s="1483">
        <f t="shared" si="5"/>
        <v>1</v>
      </c>
    </row>
    <row r="33" spans="1:29" ht="15" hidden="1">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4"/>
      <c r="M33" s="1986"/>
      <c r="N33" s="1986"/>
      <c r="O33" s="1993"/>
      <c r="P33" s="3637"/>
      <c r="Q33" s="1479">
        <f t="shared" si="11"/>
        <v>111</v>
      </c>
      <c r="R33" s="1480" t="s">
        <v>8</v>
      </c>
      <c r="S33" s="1481">
        <f t="shared" si="12"/>
        <v>100</v>
      </c>
      <c r="T33" s="1480" t="s">
        <v>8</v>
      </c>
      <c r="U33" s="1481">
        <f t="shared" si="13"/>
        <v>100</v>
      </c>
      <c r="V33" s="1480" t="s">
        <v>8</v>
      </c>
      <c r="W33" s="1481">
        <f t="shared" si="14"/>
        <v>100</v>
      </c>
      <c r="X33" s="1474"/>
      <c r="Y33" s="3637"/>
      <c r="Z33" s="1482">
        <f t="shared" si="15"/>
        <v>111</v>
      </c>
      <c r="AA33" s="1483">
        <f t="shared" si="3"/>
        <v>1</v>
      </c>
      <c r="AB33" s="1483">
        <f t="shared" si="4"/>
        <v>1</v>
      </c>
      <c r="AC33" s="1483">
        <f t="shared" si="5"/>
        <v>1</v>
      </c>
    </row>
    <row r="34" spans="1:29" ht="15.75" hidden="1" thickBot="1">
      <c r="A34" s="855"/>
      <c r="B34" s="521">
        <v>111</v>
      </c>
      <c r="C34" s="522"/>
      <c r="D34" s="523">
        <v>100</v>
      </c>
      <c r="E34" s="913"/>
      <c r="F34" s="838">
        <f>SUMIF(95:95,E34,96:96)-SUMIF(95:95,C34,96:96)+100</f>
        <v>100</v>
      </c>
      <c r="G34" s="913"/>
      <c r="H34" s="523">
        <f>SUMIF(95:95,G34,96:96)-SUMIF(95:95,C34,96:96)+100</f>
        <v>100</v>
      </c>
      <c r="I34" s="913"/>
      <c r="J34" s="523">
        <f>SUMIF(95:95,I34,96:96)-SUMIF(95:95,C34,96:96)+100</f>
        <v>100</v>
      </c>
      <c r="K34" s="558"/>
      <c r="L34" s="1994"/>
      <c r="M34" s="1986"/>
      <c r="N34" s="1986"/>
      <c r="O34" s="1993"/>
      <c r="P34" s="3637"/>
      <c r="Q34" s="1479">
        <f t="shared" si="11"/>
        <v>111</v>
      </c>
      <c r="R34" s="1480" t="s">
        <v>8</v>
      </c>
      <c r="S34" s="1481">
        <f t="shared" si="12"/>
        <v>100</v>
      </c>
      <c r="T34" s="1480" t="s">
        <v>8</v>
      </c>
      <c r="U34" s="1481">
        <f t="shared" si="13"/>
        <v>100</v>
      </c>
      <c r="V34" s="1480" t="s">
        <v>8</v>
      </c>
      <c r="W34" s="1481">
        <f t="shared" si="14"/>
        <v>100</v>
      </c>
      <c r="X34" s="1474"/>
      <c r="Y34" s="3637"/>
      <c r="Z34" s="1482">
        <f t="shared" si="15"/>
        <v>111</v>
      </c>
      <c r="AA34" s="1483">
        <f t="shared" si="3"/>
        <v>1</v>
      </c>
      <c r="AB34" s="1483">
        <f t="shared" si="4"/>
        <v>1</v>
      </c>
      <c r="AC34" s="1483">
        <f t="shared" si="5"/>
        <v>1</v>
      </c>
    </row>
    <row r="35" spans="1:29" ht="15">
      <c r="A35" s="584" t="s">
        <v>719</v>
      </c>
      <c r="B35" s="856"/>
      <c r="C35" s="2408" t="s">
        <v>1</v>
      </c>
      <c r="D35" s="2409"/>
      <c r="E35" s="2410">
        <f>案例!C12</f>
        <v>17000</v>
      </c>
      <c r="F35" s="2411"/>
      <c r="G35" s="2412">
        <f>案例!C13</f>
        <v>17146</v>
      </c>
      <c r="H35" s="2413"/>
      <c r="I35" s="2410">
        <f>案例!C14</f>
        <v>20420</v>
      </c>
      <c r="J35" s="2413"/>
      <c r="K35" s="1513"/>
      <c r="L35" s="1996"/>
      <c r="M35" s="1997"/>
      <c r="N35" s="1986"/>
      <c r="O35" s="1997"/>
      <c r="P35" s="3632" t="str">
        <f>A35</f>
        <v>成交单价（元/平方米）</v>
      </c>
      <c r="Q35" s="3632"/>
      <c r="R35" s="3718">
        <f>E35</f>
        <v>17000</v>
      </c>
      <c r="S35" s="3718"/>
      <c r="T35" s="3718">
        <f>G35</f>
        <v>17146</v>
      </c>
      <c r="U35" s="3718"/>
      <c r="V35" s="3718">
        <f>I35</f>
        <v>20420</v>
      </c>
      <c r="W35" s="3718"/>
      <c r="X35" s="1469"/>
      <c r="Y35" s="1488"/>
      <c r="Z35" s="1469"/>
      <c r="AA35" s="1469"/>
      <c r="AB35" s="1469"/>
      <c r="AC35" s="1469"/>
    </row>
    <row r="36" spans="1:29" ht="15.75" thickBot="1">
      <c r="A36" s="592" t="s">
        <v>2659</v>
      </c>
      <c r="B36" s="857"/>
      <c r="C36" s="2414">
        <f>R37</f>
        <v>18189</v>
      </c>
      <c r="D36" s="2948" t="s">
        <v>2881</v>
      </c>
      <c r="E36" s="2415">
        <f>R36</f>
        <v>17000</v>
      </c>
      <c r="F36" s="2949"/>
      <c r="G36" s="2414">
        <f>T36</f>
        <v>17146</v>
      </c>
      <c r="H36" s="2949"/>
      <c r="I36" s="2415">
        <f>V36</f>
        <v>20420</v>
      </c>
      <c r="J36" s="2949"/>
      <c r="K36" s="2957">
        <f>F36+H36+J36</f>
        <v>0</v>
      </c>
      <c r="L36" s="1996"/>
      <c r="M36" s="1997"/>
      <c r="N36" s="1986"/>
      <c r="O36" s="1997"/>
      <c r="P36" s="3632" t="str">
        <f>A36</f>
        <v>比较价格（元/平方米）</v>
      </c>
      <c r="Q36" s="3632"/>
      <c r="R36" s="3718">
        <f>IF(F1="售价",ROUND(PRODUCT(R35,AA7:AA34),0),ROUND(PRODUCT(R35,AA7:AA34),1))</f>
        <v>17000</v>
      </c>
      <c r="S36" s="3718"/>
      <c r="T36" s="3718">
        <f>IF(F1="售价",ROUND(PRODUCT(T35,AB7:AB34),0),ROUND(PRODUCT(T35,AB7:AB34),1))</f>
        <v>17146</v>
      </c>
      <c r="U36" s="3718"/>
      <c r="V36" s="3718">
        <f>IF(F1="售价",ROUND(PRODUCT(V35,AC7:AC34),0),ROUND(PRODUCT(V35,AC7:AC34),1))</f>
        <v>20420</v>
      </c>
      <c r="W36" s="3718"/>
      <c r="X36" s="1469"/>
      <c r="Y36" s="1469"/>
      <c r="Z36" s="1469"/>
      <c r="AA36" s="1469"/>
      <c r="AB36" s="1469"/>
      <c r="AC36" s="1469"/>
    </row>
    <row r="37" spans="1:29" ht="15.75" thickBot="1">
      <c r="A37" s="596" t="s">
        <v>2814</v>
      </c>
      <c r="B37" s="597"/>
      <c r="C37" s="2416">
        <f>R37</f>
        <v>18189</v>
      </c>
      <c r="D37" s="2416"/>
      <c r="E37" s="2416"/>
      <c r="F37" s="2416"/>
      <c r="G37" s="2416"/>
      <c r="H37" s="2416"/>
      <c r="I37" s="2416"/>
      <c r="J37" s="2416"/>
      <c r="K37" s="1514"/>
      <c r="L37" s="1996"/>
      <c r="M37" s="1997"/>
      <c r="N37" s="1997"/>
      <c r="O37" s="1997"/>
      <c r="P37" s="3653" t="str">
        <f>A37</f>
        <v>估价对象XX用房的比较价格（楼面单价，元/平方米）</v>
      </c>
      <c r="Q37" s="3654"/>
      <c r="R37" s="3717">
        <f>IF(F1="售价",ROUND(IF(D36="简单平均",AVERAGE(R36:W36),R36*F36+T36*H36+V36*J36),0),ROUND(IF(D36="简单平均",AVERAGE(R36:V36),R36*F36+T36*H36+V36*J36),1))</f>
        <v>18189</v>
      </c>
      <c r="S37" s="3717"/>
      <c r="T37" s="3717"/>
      <c r="U37" s="3717"/>
      <c r="V37" s="3717"/>
      <c r="W37" s="3717"/>
      <c r="X37" s="1469"/>
      <c r="Y37" s="1469"/>
      <c r="Z37" s="1469"/>
      <c r="AA37" s="1469"/>
      <c r="AB37" s="1469"/>
      <c r="AC37" s="1469"/>
    </row>
    <row r="38" spans="1:29">
      <c r="A38" s="3146"/>
      <c r="B38" s="3146"/>
      <c r="C38" s="3146"/>
      <c r="D38" s="3146"/>
      <c r="E38" s="3146"/>
      <c r="F38" s="3146"/>
      <c r="G38" s="3148"/>
      <c r="H38" s="3146"/>
      <c r="I38" s="3146"/>
      <c r="J38" s="3146"/>
      <c r="K38" s="3149"/>
      <c r="L38" s="2001"/>
      <c r="M38" s="1997"/>
      <c r="N38" s="1997"/>
      <c r="O38" s="1997"/>
      <c r="P38" s="1997"/>
      <c r="Q38" s="1997"/>
      <c r="R38" s="1997"/>
      <c r="S38" s="1997"/>
      <c r="T38" s="1997"/>
      <c r="U38" s="1997"/>
      <c r="V38" s="1997"/>
      <c r="W38" s="1997"/>
      <c r="X38" s="1997"/>
      <c r="Y38" s="1997"/>
      <c r="Z38" s="1997"/>
      <c r="AA38" s="1997"/>
      <c r="AB38" s="1997"/>
      <c r="AC38" s="1997"/>
    </row>
    <row r="39" spans="1:29">
      <c r="A39" s="3146"/>
      <c r="B39" s="3146"/>
      <c r="C39" s="3146"/>
      <c r="D39" s="3146"/>
      <c r="E39" s="3146"/>
      <c r="F39" s="3146"/>
      <c r="G39" s="3146"/>
      <c r="H39" s="3146"/>
      <c r="I39" s="3146"/>
      <c r="J39" s="3146"/>
      <c r="K39" s="314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46"/>
      <c r="B40" s="3146"/>
      <c r="C40" s="599" t="s">
        <v>540</v>
      </c>
      <c r="D40" s="600"/>
      <c r="E40" s="601">
        <f>IF(E35&lt;E36,E36/E35-1,E35/E36-1)</f>
        <v>0</v>
      </c>
      <c r="F40" s="602" t="str">
        <f>IF(OR(E40&gt;=0.3,E40&lt;=-0.3),"超过30%","")</f>
        <v/>
      </c>
      <c r="G40" s="601">
        <f>IF(G35&lt;G36,G36/G35-1,G35/G36-1)</f>
        <v>0</v>
      </c>
      <c r="H40" s="602" t="str">
        <f>IF(OR(G40&gt;=0.3,G40&lt;=-0.3),"超过30%","")</f>
        <v/>
      </c>
      <c r="I40" s="601">
        <f>IF(I35&lt;I36,I36/I35-1,I35/I36-1)</f>
        <v>0</v>
      </c>
      <c r="J40" s="602" t="str">
        <f>IF(OR(I40&gt;=0.3,I40&lt;=-0.3),"超过30%","")</f>
        <v/>
      </c>
      <c r="K40" s="314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46"/>
      <c r="B41" s="3146"/>
      <c r="C41" s="599" t="s">
        <v>541</v>
      </c>
      <c r="D41" s="603"/>
      <c r="E41" s="601">
        <f>IF(E36&lt;G36,G36/E36-1,E36/G36-1)</f>
        <v>8.5882352941175633E-3</v>
      </c>
      <c r="F41" s="602" t="str">
        <f>IF(OR(E41&gt;=0.2,E41&lt;=-0.2),"超过20%","")</f>
        <v/>
      </c>
      <c r="G41" s="601">
        <f>IF(G36&lt;I36,I36/G36-1,G36/I36-1)</f>
        <v>0.19094832614020762</v>
      </c>
      <c r="H41" s="602" t="str">
        <f>IF(OR(G41&gt;=0.2,G41&lt;=-0.2),"超过20%","")</f>
        <v/>
      </c>
      <c r="I41" s="601">
        <f>IF(I36&lt;E36,E36/I36-1,I36/E36-1)</f>
        <v>0.20117647058823529</v>
      </c>
      <c r="J41" s="602" t="str">
        <f>IF(OR(I41&gt;=0.2,I41&lt;=-0.2),"超过20%","")</f>
        <v>超过20%</v>
      </c>
      <c r="K41" s="3149"/>
      <c r="L41" s="2001"/>
      <c r="M41" s="1997"/>
      <c r="N41" s="1997"/>
      <c r="O41" s="1997"/>
      <c r="P41" s="1997"/>
      <c r="Q41" s="1997"/>
      <c r="R41" s="1997"/>
      <c r="S41" s="1997"/>
      <c r="T41" s="1997"/>
      <c r="U41" s="1997"/>
      <c r="V41" s="1997"/>
      <c r="W41" s="1997"/>
      <c r="X41" s="1997"/>
      <c r="Y41" s="1997"/>
      <c r="Z41" s="1997"/>
      <c r="AA41" s="1997"/>
      <c r="AB41" s="1997"/>
      <c r="AC41" s="1997"/>
    </row>
    <row r="42" spans="1:29" s="1270" customFormat="1" ht="13.5" customHeight="1">
      <c r="A42" s="3147"/>
      <c r="B42" s="3147"/>
      <c r="C42" s="599" t="s">
        <v>542</v>
      </c>
      <c r="D42" s="603"/>
      <c r="E42" s="601">
        <f>IF(E35&lt;G35,G35/E35-1,E35/G35-1)</f>
        <v>8.5882352941175633E-3</v>
      </c>
      <c r="F42" s="602" t="str">
        <f>IF(OR(E42&gt;=0.3,E42&lt;=-0.3),"超过30%","")</f>
        <v/>
      </c>
      <c r="G42" s="601">
        <f>IF(G35&lt;I35,I35/G35-1,G35/I35-1)</f>
        <v>0.19094832614020762</v>
      </c>
      <c r="H42" s="602" t="str">
        <f>IF(OR(G42&gt;=0.3,G42&lt;=-0.3),"超过30%","")</f>
        <v/>
      </c>
      <c r="I42" s="601">
        <f>IF(I35&lt;E35,E35/I35-1,I35/E35-1)</f>
        <v>0.20117647058823529</v>
      </c>
      <c r="J42" s="602" t="str">
        <f>IF(OR(I42&gt;=0.3,I42&lt;=-0.3),"超过30%","")</f>
        <v/>
      </c>
      <c r="K42" s="3150"/>
      <c r="L42" s="2004"/>
      <c r="M42" s="1998"/>
      <c r="N42" s="1998"/>
      <c r="O42" s="1998"/>
      <c r="P42" s="1998"/>
      <c r="Q42" s="1998"/>
      <c r="R42" s="1998"/>
      <c r="S42" s="1998"/>
      <c r="T42" s="1998"/>
      <c r="U42" s="1998"/>
      <c r="V42" s="1998"/>
      <c r="W42" s="1998"/>
      <c r="X42" s="1998"/>
      <c r="Y42" s="1998"/>
      <c r="Z42" s="1998"/>
      <c r="AA42" s="1998"/>
      <c r="AB42" s="1998"/>
      <c r="AC42" s="1998"/>
    </row>
    <row r="43" spans="1:29" s="1270"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1" t="s">
        <v>557</v>
      </c>
      <c r="B45" s="1469"/>
      <c r="C45" s="1490"/>
      <c r="D45" s="1490"/>
      <c r="E45" s="1490"/>
      <c r="F45" s="1492"/>
      <c r="G45" s="1492"/>
      <c r="H45" s="1490"/>
      <c r="I45" s="1490"/>
      <c r="J45" s="1490"/>
      <c r="K45" s="1493"/>
      <c r="L45" s="1489"/>
      <c r="M45" s="1490"/>
      <c r="N45" s="2008"/>
      <c r="O45" s="2008"/>
      <c r="P45" s="2008"/>
      <c r="Q45" s="2009"/>
      <c r="R45" s="1997"/>
      <c r="S45" s="1997"/>
      <c r="T45" s="1997"/>
      <c r="U45" s="1997"/>
      <c r="V45" s="1997"/>
      <c r="W45" s="1997"/>
      <c r="X45" s="1997"/>
      <c r="Y45" s="1997"/>
      <c r="Z45" s="1997"/>
      <c r="AA45" s="1997"/>
      <c r="AB45" s="1997"/>
      <c r="AC45" s="1997"/>
    </row>
    <row r="46" spans="1:29" s="1272" customFormat="1" ht="15">
      <c r="A46" s="620" t="s">
        <v>512</v>
      </c>
      <c r="B46" s="621"/>
      <c r="C46" s="2457" t="str">
        <f>YEAR(C7)&amp;"-"&amp;MONTH(C7)</f>
        <v>2022-3</v>
      </c>
      <c r="D46" s="2459">
        <f>EDATE(C46,-1)</f>
        <v>44593</v>
      </c>
      <c r="E46" s="2459">
        <f t="shared" ref="E46:O46" si="16">EDATE(D46,-1)</f>
        <v>44562</v>
      </c>
      <c r="F46" s="2459">
        <f t="shared" si="16"/>
        <v>44531</v>
      </c>
      <c r="G46" s="2459">
        <f t="shared" si="16"/>
        <v>44501</v>
      </c>
      <c r="H46" s="2459">
        <f t="shared" si="16"/>
        <v>44470</v>
      </c>
      <c r="I46" s="2459">
        <f t="shared" si="16"/>
        <v>44440</v>
      </c>
      <c r="J46" s="2459">
        <f t="shared" si="16"/>
        <v>44409</v>
      </c>
      <c r="K46" s="2459">
        <f t="shared" si="16"/>
        <v>44378</v>
      </c>
      <c r="L46" s="2459">
        <f t="shared" si="16"/>
        <v>44348</v>
      </c>
      <c r="M46" s="2459">
        <f t="shared" si="16"/>
        <v>44317</v>
      </c>
      <c r="N46" s="2459">
        <f t="shared" si="16"/>
        <v>44287</v>
      </c>
      <c r="O46" s="2459">
        <f t="shared" si="16"/>
        <v>44256</v>
      </c>
      <c r="P46" s="2011"/>
      <c r="Q46" s="2012"/>
      <c r="R46" s="2012"/>
      <c r="S46" s="2012"/>
      <c r="T46" s="2012"/>
      <c r="U46" s="2012"/>
      <c r="V46" s="2012"/>
      <c r="W46" s="2012"/>
      <c r="X46" s="2012"/>
      <c r="Y46" s="2012"/>
      <c r="Z46" s="2012"/>
      <c r="AA46" s="2012"/>
      <c r="AB46" s="2012"/>
      <c r="AC46" s="2012"/>
    </row>
    <row r="47" spans="1:29" s="1183" customFormat="1" ht="15">
      <c r="A47" s="622"/>
      <c r="B47" s="623"/>
      <c r="C47" s="624">
        <v>100</v>
      </c>
      <c r="D47" s="625">
        <v>100</v>
      </c>
      <c r="E47" s="625">
        <v>100</v>
      </c>
      <c r="F47" s="625"/>
      <c r="G47" s="625"/>
      <c r="H47" s="625"/>
      <c r="I47" s="625"/>
      <c r="J47" s="625"/>
      <c r="K47" s="625"/>
      <c r="L47" s="625"/>
      <c r="M47" s="626"/>
      <c r="N47" s="625"/>
      <c r="O47" s="627"/>
      <c r="P47" s="2009"/>
      <c r="Q47" s="1875"/>
      <c r="R47" s="1875"/>
      <c r="S47" s="1875"/>
      <c r="T47" s="1875"/>
      <c r="U47" s="1875"/>
      <c r="V47" s="1875"/>
      <c r="W47" s="1875"/>
      <c r="X47" s="1875"/>
      <c r="Y47" s="1875"/>
      <c r="Z47" s="1875"/>
      <c r="AA47" s="1875"/>
      <c r="AB47" s="1875"/>
      <c r="AC47" s="1875"/>
    </row>
    <row r="48" spans="1:29" s="1183" customFormat="1" ht="15.75" thickBot="1">
      <c r="A48" s="628" t="s">
        <v>558</v>
      </c>
      <c r="B48" s="629"/>
      <c r="C48" s="630"/>
      <c r="D48" s="631"/>
      <c r="E48" s="631"/>
      <c r="F48" s="631"/>
      <c r="G48" s="631"/>
      <c r="H48" s="631"/>
      <c r="I48" s="631"/>
      <c r="J48" s="631"/>
      <c r="K48" s="631"/>
      <c r="L48" s="631"/>
      <c r="M48" s="632"/>
      <c r="N48" s="631"/>
      <c r="O48" s="633"/>
      <c r="P48" s="2009"/>
      <c r="Q48" s="2009"/>
      <c r="R48" s="1875"/>
      <c r="S48" s="1875"/>
      <c r="T48" s="1875"/>
      <c r="U48" s="1875"/>
      <c r="V48" s="1875"/>
      <c r="W48" s="1875"/>
      <c r="X48" s="1875"/>
      <c r="Y48" s="1875"/>
      <c r="Z48" s="1875"/>
      <c r="AA48" s="1875"/>
      <c r="AB48" s="1875"/>
      <c r="AC48" s="1875"/>
    </row>
    <row r="49" spans="1:29" s="1183" customFormat="1" ht="15">
      <c r="A49" s="634" t="s">
        <v>514</v>
      </c>
      <c r="B49" s="623"/>
      <c r="C49" s="635" t="s">
        <v>559</v>
      </c>
      <c r="D49" s="636"/>
      <c r="E49" s="636"/>
      <c r="F49" s="636"/>
      <c r="G49" s="636"/>
      <c r="H49" s="636"/>
      <c r="I49" s="636"/>
      <c r="J49" s="636"/>
      <c r="K49" s="636"/>
      <c r="L49" s="637"/>
      <c r="M49" s="638"/>
      <c r="N49" s="2013"/>
      <c r="O49" s="2013"/>
      <c r="P49" s="2014"/>
      <c r="Q49" s="2009"/>
      <c r="R49" s="1875"/>
      <c r="S49" s="1875"/>
      <c r="T49" s="1875"/>
      <c r="U49" s="1875"/>
      <c r="V49" s="1875"/>
      <c r="W49" s="1875"/>
      <c r="X49" s="1875"/>
      <c r="Y49" s="1875"/>
      <c r="Z49" s="1875"/>
      <c r="AA49" s="1875"/>
      <c r="AB49" s="1875"/>
      <c r="AC49" s="1875"/>
    </row>
    <row r="50" spans="1:29" s="1183" customFormat="1" ht="15.75" thickBot="1">
      <c r="A50" s="634"/>
      <c r="B50" s="623"/>
      <c r="C50" s="624">
        <v>100</v>
      </c>
      <c r="D50" s="625"/>
      <c r="E50" s="625"/>
      <c r="F50" s="625"/>
      <c r="G50" s="625"/>
      <c r="H50" s="625"/>
      <c r="I50" s="625"/>
      <c r="J50" s="625"/>
      <c r="K50" s="625"/>
      <c r="L50" s="625"/>
      <c r="M50" s="627"/>
      <c r="N50" s="2013"/>
      <c r="O50" s="2013"/>
      <c r="P50" s="2009"/>
      <c r="Q50" s="2009"/>
      <c r="R50" s="1875"/>
      <c r="S50" s="1875"/>
      <c r="T50" s="1875"/>
      <c r="U50" s="1875"/>
      <c r="V50" s="1875"/>
      <c r="W50" s="1875"/>
      <c r="X50" s="1875"/>
      <c r="Y50" s="1875"/>
      <c r="Z50" s="1875"/>
      <c r="AA50" s="1875"/>
      <c r="AB50" s="1875"/>
      <c r="AC50" s="1875"/>
    </row>
    <row r="51" spans="1:29">
      <c r="A51" s="639" t="s">
        <v>560</v>
      </c>
      <c r="B51" s="640" t="s">
        <v>517</v>
      </c>
      <c r="C51" s="679" t="str">
        <f>C9</f>
        <v>库房</v>
      </c>
      <c r="D51" s="575"/>
      <c r="E51" s="575"/>
      <c r="F51" s="575"/>
      <c r="G51" s="575"/>
      <c r="H51" s="575"/>
      <c r="I51" s="575"/>
      <c r="J51" s="575"/>
      <c r="K51" s="641"/>
      <c r="L51" s="642"/>
      <c r="M51" s="643"/>
      <c r="N51" s="2015"/>
      <c r="O51" s="2015"/>
      <c r="P51" s="2016"/>
      <c r="Q51" s="2009"/>
      <c r="R51" s="1997"/>
      <c r="S51" s="1997"/>
      <c r="T51" s="1997"/>
      <c r="U51" s="1997"/>
      <c r="V51" s="1997"/>
      <c r="W51" s="1997"/>
      <c r="X51" s="1997"/>
      <c r="Y51" s="1997"/>
      <c r="Z51" s="1997"/>
      <c r="AA51" s="1997"/>
      <c r="AB51" s="1997"/>
      <c r="AC51" s="1997"/>
    </row>
    <row r="52" spans="1:29" ht="15.75" thickBot="1">
      <c r="A52" s="644"/>
      <c r="B52" s="645"/>
      <c r="C52" s="646">
        <v>100</v>
      </c>
      <c r="D52" s="646"/>
      <c r="E52" s="646"/>
      <c r="F52" s="646"/>
      <c r="G52" s="646"/>
      <c r="H52" s="646"/>
      <c r="I52" s="646"/>
      <c r="J52" s="646"/>
      <c r="K52" s="646"/>
      <c r="L52" s="646"/>
      <c r="M52" s="647"/>
      <c r="N52" s="2017"/>
      <c r="O52" s="2017"/>
      <c r="P52" s="2016"/>
      <c r="Q52" s="2009"/>
      <c r="R52" s="1997"/>
      <c r="S52" s="1997"/>
      <c r="T52" s="1997"/>
      <c r="U52" s="1997"/>
      <c r="V52" s="1997"/>
      <c r="W52" s="1997"/>
      <c r="X52" s="1997"/>
      <c r="Y52" s="1997"/>
      <c r="Z52" s="1997"/>
      <c r="AA52" s="1997"/>
      <c r="AB52" s="1997"/>
      <c r="AC52" s="1997"/>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5"/>
      <c r="O53" s="2015"/>
      <c r="P53" s="2016"/>
      <c r="Q53" s="2009"/>
      <c r="R53" s="1997"/>
      <c r="S53" s="1997"/>
      <c r="T53" s="1997"/>
      <c r="U53" s="1997"/>
      <c r="V53" s="1997"/>
      <c r="W53" s="1997"/>
      <c r="X53" s="1997"/>
      <c r="Y53" s="1997"/>
      <c r="Z53" s="1997"/>
      <c r="AA53" s="1997"/>
      <c r="AB53" s="1997"/>
      <c r="AC53" s="1997"/>
    </row>
    <row r="54" spans="1:29" ht="15.75" thickBot="1">
      <c r="A54" s="644"/>
      <c r="B54" s="653"/>
      <c r="C54" s="654" t="s">
        <v>14</v>
      </c>
      <c r="D54" s="654" t="s">
        <v>15</v>
      </c>
      <c r="E54" s="654">
        <v>100</v>
      </c>
      <c r="F54" s="654">
        <f>E54-$K10</f>
        <v>99</v>
      </c>
      <c r="G54" s="654">
        <f>F54-$K10</f>
        <v>98</v>
      </c>
      <c r="H54" s="654">
        <f>G54-$K10</f>
        <v>97</v>
      </c>
      <c r="I54" s="654">
        <f>H54-$K10</f>
        <v>96</v>
      </c>
      <c r="J54" s="654"/>
      <c r="K54" s="654"/>
      <c r="L54" s="654"/>
      <c r="M54" s="655"/>
      <c r="N54" s="2017"/>
      <c r="O54" s="2017"/>
      <c r="P54" s="2016"/>
      <c r="Q54" s="2009"/>
      <c r="R54" s="1997"/>
      <c r="S54" s="1997"/>
      <c r="T54" s="1997"/>
      <c r="U54" s="1997"/>
      <c r="V54" s="1997"/>
      <c r="W54" s="1997"/>
      <c r="X54" s="1997"/>
      <c r="Y54" s="1997"/>
      <c r="Z54" s="1997"/>
      <c r="AA54" s="1997"/>
      <c r="AB54" s="1997"/>
      <c r="AC54" s="1997"/>
    </row>
    <row r="55" spans="1:29" ht="15.75" thickTop="1">
      <c r="A55" s="644"/>
      <c r="B55" s="904">
        <f>B11</f>
        <v>111</v>
      </c>
      <c r="C55" s="518"/>
      <c r="D55" s="518"/>
      <c r="E55" s="518"/>
      <c r="F55" s="518"/>
      <c r="G55" s="518"/>
      <c r="H55" s="518"/>
      <c r="I55" s="518"/>
      <c r="J55" s="518"/>
      <c r="K55" s="659"/>
      <c r="L55" s="660"/>
      <c r="M55" s="661"/>
      <c r="N55" s="2015"/>
      <c r="O55" s="2015"/>
      <c r="P55" s="2016"/>
      <c r="Q55" s="2009"/>
      <c r="R55" s="1997"/>
      <c r="S55" s="1997"/>
      <c r="T55" s="1997"/>
      <c r="U55" s="1997"/>
      <c r="V55" s="1997"/>
      <c r="W55" s="1997"/>
      <c r="X55" s="1997"/>
      <c r="Y55" s="1997"/>
      <c r="Z55" s="1997"/>
      <c r="AA55" s="1997"/>
      <c r="AB55" s="1997"/>
      <c r="AC55" s="1997"/>
    </row>
    <row r="56" spans="1:29" ht="15.75" thickBot="1">
      <c r="A56" s="644"/>
      <c r="B56" s="645"/>
      <c r="C56" s="667"/>
      <c r="D56" s="646"/>
      <c r="E56" s="646"/>
      <c r="F56" s="646"/>
      <c r="G56" s="646"/>
      <c r="H56" s="646"/>
      <c r="I56" s="646"/>
      <c r="J56" s="646"/>
      <c r="K56" s="646"/>
      <c r="L56" s="646"/>
      <c r="M56" s="647"/>
      <c r="N56" s="2017"/>
      <c r="O56" s="2017"/>
      <c r="P56" s="2016"/>
      <c r="Q56" s="2009"/>
      <c r="R56" s="1997"/>
      <c r="S56" s="1997"/>
      <c r="T56" s="1997"/>
      <c r="U56" s="1997"/>
      <c r="V56" s="1997"/>
      <c r="W56" s="1997"/>
      <c r="X56" s="1997"/>
      <c r="Y56" s="1997"/>
      <c r="Z56" s="1997"/>
      <c r="AA56" s="1997"/>
      <c r="AB56" s="1997"/>
      <c r="AC56" s="1997"/>
    </row>
    <row r="57" spans="1:29" s="1265" customFormat="1" ht="15.75" thickTop="1">
      <c r="A57" s="662"/>
      <c r="B57" s="648">
        <f>B12</f>
        <v>111</v>
      </c>
      <c r="C57" s="518"/>
      <c r="D57" s="518"/>
      <c r="E57" s="518"/>
      <c r="F57" s="518"/>
      <c r="G57" s="663"/>
      <c r="H57" s="664"/>
      <c r="I57" s="664"/>
      <c r="J57" s="664"/>
      <c r="K57" s="664"/>
      <c r="L57" s="665"/>
      <c r="M57" s="666"/>
      <c r="N57" s="2018"/>
      <c r="O57" s="2018"/>
      <c r="P57" s="2019"/>
      <c r="Q57" s="2020"/>
      <c r="R57" s="2021"/>
      <c r="S57" s="2021"/>
      <c r="T57" s="2021"/>
      <c r="U57" s="2021"/>
      <c r="V57" s="2021"/>
      <c r="W57" s="2021"/>
      <c r="X57" s="2021"/>
      <c r="Y57" s="2021"/>
      <c r="Z57" s="2021"/>
      <c r="AA57" s="2021"/>
      <c r="AB57" s="2021"/>
      <c r="AC57" s="2021"/>
    </row>
    <row r="58" spans="1:29" s="1265" customFormat="1" ht="15.75" thickBot="1">
      <c r="A58" s="662"/>
      <c r="B58" s="653"/>
      <c r="C58" s="667"/>
      <c r="D58" s="646"/>
      <c r="E58" s="646"/>
      <c r="F58" s="646"/>
      <c r="G58" s="646"/>
      <c r="H58" s="646"/>
      <c r="I58" s="646"/>
      <c r="J58" s="646"/>
      <c r="K58" s="646"/>
      <c r="L58" s="646"/>
      <c r="M58" s="647"/>
      <c r="N58" s="2017"/>
      <c r="O58" s="2017"/>
      <c r="P58" s="2019"/>
      <c r="Q58" s="2020"/>
      <c r="R58" s="2021"/>
      <c r="S58" s="2021"/>
      <c r="T58" s="2021"/>
      <c r="U58" s="2021"/>
      <c r="V58" s="2021"/>
      <c r="W58" s="2021"/>
      <c r="X58" s="2021"/>
      <c r="Y58" s="2021"/>
      <c r="Z58" s="2021"/>
      <c r="AA58" s="2021"/>
      <c r="AB58" s="2021"/>
      <c r="AC58" s="2021"/>
    </row>
    <row r="59" spans="1:29" s="1265" customFormat="1" ht="15.75" thickTop="1">
      <c r="A59" s="662"/>
      <c r="B59" s="648">
        <f>B13</f>
        <v>111</v>
      </c>
      <c r="C59" s="518"/>
      <c r="D59" s="518"/>
      <c r="E59" s="518"/>
      <c r="F59" s="518"/>
      <c r="G59" s="663"/>
      <c r="H59" s="664"/>
      <c r="I59" s="664"/>
      <c r="J59" s="664"/>
      <c r="K59" s="664"/>
      <c r="L59" s="665"/>
      <c r="M59" s="666"/>
      <c r="N59" s="2018"/>
      <c r="O59" s="2018"/>
      <c r="P59" s="2022"/>
      <c r="Q59" s="2023"/>
      <c r="R59" s="2021"/>
      <c r="S59" s="2021"/>
      <c r="T59" s="2021"/>
      <c r="U59" s="2021"/>
      <c r="V59" s="2021"/>
      <c r="W59" s="2021"/>
      <c r="X59" s="2021"/>
      <c r="Y59" s="2021"/>
      <c r="Z59" s="2021"/>
      <c r="AA59" s="2021"/>
      <c r="AB59" s="2021"/>
      <c r="AC59" s="2021"/>
    </row>
    <row r="60" spans="1:29" s="1265" customFormat="1" ht="15.75" thickBot="1">
      <c r="A60" s="662"/>
      <c r="B60" s="653"/>
      <c r="C60" s="667"/>
      <c r="D60" s="667"/>
      <c r="E60" s="667"/>
      <c r="F60" s="667"/>
      <c r="G60" s="667"/>
      <c r="H60" s="668"/>
      <c r="I60" s="668"/>
      <c r="J60" s="668"/>
      <c r="K60" s="668"/>
      <c r="L60" s="668"/>
      <c r="M60" s="669"/>
      <c r="N60" s="2018"/>
      <c r="O60" s="2018"/>
      <c r="P60" s="2019"/>
      <c r="Q60" s="2020"/>
      <c r="R60" s="2021"/>
      <c r="S60" s="2021"/>
      <c r="T60" s="2021"/>
      <c r="U60" s="2021"/>
      <c r="V60" s="2021"/>
      <c r="W60" s="2021"/>
      <c r="X60" s="2021"/>
      <c r="Y60" s="2021"/>
      <c r="Z60" s="2021"/>
      <c r="AA60" s="2021"/>
      <c r="AB60" s="2021"/>
      <c r="AC60" s="2021"/>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5"/>
      <c r="O61" s="2015"/>
      <c r="P61" s="2025"/>
      <c r="Q61" s="2009"/>
      <c r="R61" s="1997"/>
      <c r="S61" s="1997"/>
      <c r="T61" s="1997"/>
      <c r="U61" s="1997"/>
      <c r="V61" s="1997"/>
      <c r="W61" s="1997"/>
      <c r="X61" s="1997"/>
      <c r="Y61" s="1997"/>
      <c r="Z61" s="1997"/>
      <c r="AA61" s="1997"/>
      <c r="AB61" s="1997"/>
      <c r="AC61" s="1997"/>
    </row>
    <row r="62" spans="1:29" ht="15.75" thickBot="1">
      <c r="A62" s="644"/>
      <c r="B62" s="653"/>
      <c r="C62" s="654">
        <v>100</v>
      </c>
      <c r="D62" s="654">
        <f>C62-$K14</f>
        <v>99</v>
      </c>
      <c r="E62" s="654">
        <f>D62-$K14</f>
        <v>98</v>
      </c>
      <c r="F62" s="654">
        <f>E62-$K14</f>
        <v>97</v>
      </c>
      <c r="G62" s="654">
        <f>F62-$K14</f>
        <v>96</v>
      </c>
      <c r="H62" s="654"/>
      <c r="I62" s="654"/>
      <c r="J62" s="654"/>
      <c r="K62" s="654"/>
      <c r="L62" s="654"/>
      <c r="M62" s="655"/>
      <c r="N62" s="2017"/>
      <c r="O62" s="2017"/>
      <c r="P62" s="2016"/>
      <c r="Q62" s="2009"/>
      <c r="R62" s="1997"/>
      <c r="S62" s="1997"/>
      <c r="T62" s="1997"/>
      <c r="U62" s="1997"/>
      <c r="V62" s="1997"/>
      <c r="W62" s="1997"/>
      <c r="X62" s="1997"/>
      <c r="Y62" s="1997"/>
      <c r="Z62" s="1997"/>
      <c r="AA62" s="1997"/>
      <c r="AB62" s="1997"/>
      <c r="AC62" s="1997"/>
    </row>
    <row r="63" spans="1:29" ht="15.75" thickTop="1">
      <c r="A63" s="644"/>
      <c r="B63" s="1781" t="s">
        <v>2457</v>
      </c>
      <c r="C63" s="683" t="s">
        <v>562</v>
      </c>
      <c r="D63" s="683" t="s">
        <v>563</v>
      </c>
      <c r="E63" s="683" t="s">
        <v>564</v>
      </c>
      <c r="F63" s="683" t="s">
        <v>565</v>
      </c>
      <c r="G63" s="683" t="s">
        <v>566</v>
      </c>
      <c r="H63" s="649"/>
      <c r="I63" s="649"/>
      <c r="J63" s="649"/>
      <c r="K63" s="650"/>
      <c r="L63" s="651"/>
      <c r="M63" s="652"/>
      <c r="N63" s="2015"/>
      <c r="O63" s="2015"/>
      <c r="P63" s="2016"/>
      <c r="Q63" s="2009"/>
      <c r="R63" s="1997"/>
      <c r="S63" s="1997"/>
      <c r="T63" s="1997"/>
      <c r="U63" s="1997"/>
      <c r="V63" s="1997"/>
      <c r="W63" s="1997"/>
      <c r="X63" s="1997"/>
      <c r="Y63" s="1997"/>
      <c r="Z63" s="1997"/>
      <c r="AA63" s="1997"/>
      <c r="AB63" s="1997"/>
      <c r="AC63" s="1997"/>
    </row>
    <row r="64" spans="1:29" ht="15.75" thickBot="1">
      <c r="A64" s="644"/>
      <c r="B64" s="653"/>
      <c r="C64" s="654">
        <v>100</v>
      </c>
      <c r="D64" s="654">
        <f>C64-$K16</f>
        <v>99</v>
      </c>
      <c r="E64" s="654">
        <f>D64-$K16</f>
        <v>98</v>
      </c>
      <c r="F64" s="654">
        <f>E64-$K16</f>
        <v>97</v>
      </c>
      <c r="G64" s="654">
        <f>F64-$K16</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2379" t="s">
        <v>2458</v>
      </c>
      <c r="C65" s="2380" t="s">
        <v>2459</v>
      </c>
      <c r="D65" s="2380" t="s">
        <v>2460</v>
      </c>
      <c r="E65" s="2380" t="s">
        <v>2461</v>
      </c>
      <c r="F65" s="2380" t="s">
        <v>2462</v>
      </c>
      <c r="G65" s="2380" t="s">
        <v>2463</v>
      </c>
      <c r="H65" s="649"/>
      <c r="I65" s="649"/>
      <c r="J65" s="649"/>
      <c r="K65" s="649"/>
      <c r="L65" s="649"/>
      <c r="M65" s="2383"/>
      <c r="N65" s="2017"/>
      <c r="O65" s="2017"/>
      <c r="P65" s="2016"/>
      <c r="Q65" s="2009"/>
      <c r="R65" s="1997"/>
      <c r="S65" s="1997"/>
      <c r="T65" s="1997"/>
      <c r="U65" s="1997"/>
      <c r="V65" s="1997"/>
      <c r="W65" s="1997"/>
      <c r="X65" s="1997"/>
      <c r="Y65" s="1997"/>
      <c r="Z65" s="1997"/>
      <c r="AA65" s="1997"/>
      <c r="AB65" s="1997"/>
      <c r="AC65" s="1997"/>
    </row>
    <row r="66" spans="1:29" ht="15.75" thickBot="1">
      <c r="A66" s="644"/>
      <c r="B66" s="656"/>
      <c r="C66" s="654">
        <v>100</v>
      </c>
      <c r="D66" s="654">
        <f>C66-$K18</f>
        <v>99</v>
      </c>
      <c r="E66" s="654">
        <f>D66-$K18</f>
        <v>98</v>
      </c>
      <c r="F66" s="654">
        <f>E66-$K18</f>
        <v>97</v>
      </c>
      <c r="G66" s="654">
        <f>F66-$K18</f>
        <v>96</v>
      </c>
      <c r="H66" s="904"/>
      <c r="I66" s="904"/>
      <c r="J66" s="904"/>
      <c r="K66" s="904"/>
      <c r="L66" s="904"/>
      <c r="M66" s="536"/>
      <c r="N66" s="2017"/>
      <c r="O66" s="2017"/>
      <c r="P66" s="2016"/>
      <c r="Q66" s="2009"/>
      <c r="R66" s="1997"/>
      <c r="S66" s="1997"/>
      <c r="T66" s="1997"/>
      <c r="U66" s="1997"/>
      <c r="V66" s="1997"/>
      <c r="W66" s="1997"/>
      <c r="X66" s="1997"/>
      <c r="Y66" s="1997"/>
      <c r="Z66" s="1997"/>
      <c r="AA66" s="1997"/>
      <c r="AB66" s="1997"/>
      <c r="AC66" s="1997"/>
    </row>
    <row r="67" spans="1:29" ht="15.75" thickTop="1">
      <c r="A67" s="644"/>
      <c r="B67" s="648" t="s">
        <v>727</v>
      </c>
      <c r="C67" s="683" t="s">
        <v>562</v>
      </c>
      <c r="D67" s="683" t="s">
        <v>563</v>
      </c>
      <c r="E67" s="683" t="s">
        <v>564</v>
      </c>
      <c r="F67" s="683" t="s">
        <v>565</v>
      </c>
      <c r="G67" s="683" t="s">
        <v>566</v>
      </c>
      <c r="H67" s="649"/>
      <c r="I67" s="649"/>
      <c r="J67" s="649"/>
      <c r="K67" s="650"/>
      <c r="L67" s="651"/>
      <c r="M67" s="652"/>
      <c r="N67" s="2015"/>
      <c r="O67" s="2015"/>
      <c r="P67" s="2016"/>
      <c r="Q67" s="2009"/>
      <c r="R67" s="1997"/>
      <c r="S67" s="1997"/>
      <c r="T67" s="1997"/>
      <c r="U67" s="1997"/>
      <c r="V67" s="1997"/>
      <c r="W67" s="1997"/>
      <c r="X67" s="1997"/>
      <c r="Y67" s="1997"/>
      <c r="Z67" s="1997"/>
      <c r="AA67" s="1997"/>
      <c r="AB67" s="1997"/>
      <c r="AC67" s="1997"/>
    </row>
    <row r="68" spans="1:29" ht="15.75" thickBot="1">
      <c r="A68" s="644"/>
      <c r="B68" s="653"/>
      <c r="C68" s="654">
        <v>100</v>
      </c>
      <c r="D68" s="654">
        <f>C68-$K20</f>
        <v>99</v>
      </c>
      <c r="E68" s="654">
        <f>D68-$K20</f>
        <v>98</v>
      </c>
      <c r="F68" s="654">
        <f>E68-$K20</f>
        <v>97</v>
      </c>
      <c r="G68" s="654">
        <f>F68-$K20</f>
        <v>96</v>
      </c>
      <c r="H68" s="654"/>
      <c r="I68" s="654"/>
      <c r="J68" s="654"/>
      <c r="K68" s="654"/>
      <c r="L68" s="654"/>
      <c r="M68" s="655"/>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728</v>
      </c>
      <c r="C69" s="663"/>
      <c r="D69" s="663"/>
      <c r="E69" s="663"/>
      <c r="F69" s="663"/>
      <c r="G69" s="663"/>
      <c r="H69" s="693"/>
      <c r="I69" s="693"/>
      <c r="J69" s="693"/>
      <c r="K69" s="694"/>
      <c r="L69" s="695"/>
      <c r="M69" s="696"/>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C70-$K22</f>
        <v>100</v>
      </c>
      <c r="E70" s="654"/>
      <c r="F70" s="654"/>
      <c r="G70" s="654"/>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s="1183" customFormat="1" ht="15.75" thickTop="1">
      <c r="A71" s="684"/>
      <c r="B71" s="648">
        <f>B23</f>
        <v>111</v>
      </c>
      <c r="C71" s="518"/>
      <c r="D71" s="518"/>
      <c r="E71" s="518"/>
      <c r="F71" s="518"/>
      <c r="G71" s="663"/>
      <c r="H71" s="663"/>
      <c r="I71" s="663"/>
      <c r="J71" s="663"/>
      <c r="K71" s="663"/>
      <c r="L71" s="859"/>
      <c r="M71" s="860"/>
      <c r="N71" s="2013"/>
      <c r="O71" s="2013"/>
      <c r="P71" s="2016"/>
      <c r="Q71" s="2009"/>
      <c r="R71" s="1875"/>
      <c r="S71" s="1875"/>
      <c r="T71" s="1875"/>
      <c r="U71" s="1875"/>
      <c r="V71" s="1875"/>
      <c r="W71" s="1875"/>
      <c r="X71" s="1875"/>
      <c r="Y71" s="1875"/>
      <c r="Z71" s="1875"/>
      <c r="AA71" s="1875"/>
      <c r="AB71" s="1875"/>
      <c r="AC71" s="1875"/>
    </row>
    <row r="72" spans="1:29" s="1183" customFormat="1" ht="15.75" thickBot="1">
      <c r="A72" s="684"/>
      <c r="B72" s="653"/>
      <c r="C72" s="667"/>
      <c r="D72" s="646"/>
      <c r="E72" s="646"/>
      <c r="F72" s="646"/>
      <c r="G72" s="646"/>
      <c r="H72" s="646"/>
      <c r="I72" s="646"/>
      <c r="J72" s="646"/>
      <c r="K72" s="646"/>
      <c r="L72" s="646"/>
      <c r="M72" s="647"/>
      <c r="N72" s="2017"/>
      <c r="O72" s="2017"/>
      <c r="P72" s="2016"/>
      <c r="Q72" s="2009"/>
      <c r="R72" s="1875"/>
      <c r="S72" s="1875"/>
      <c r="T72" s="1875"/>
      <c r="U72" s="1875"/>
      <c r="V72" s="1875"/>
      <c r="W72" s="1875"/>
      <c r="X72" s="1875"/>
      <c r="Y72" s="1875"/>
      <c r="Z72" s="1875"/>
      <c r="AA72" s="1875"/>
      <c r="AB72" s="1875"/>
      <c r="AC72" s="1875"/>
    </row>
    <row r="73" spans="1:29" s="1183" customFormat="1" ht="15.75" thickTop="1">
      <c r="A73" s="684"/>
      <c r="B73" s="648">
        <f>B24</f>
        <v>111</v>
      </c>
      <c r="C73" s="518"/>
      <c r="D73" s="518"/>
      <c r="E73" s="518"/>
      <c r="F73" s="518"/>
      <c r="G73" s="663"/>
      <c r="H73" s="663"/>
      <c r="I73" s="663"/>
      <c r="J73" s="663"/>
      <c r="K73" s="663"/>
      <c r="L73" s="663"/>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265" customFormat="1" ht="15.75" thickTop="1">
      <c r="A75" s="662"/>
      <c r="B75" s="648">
        <f>B25</f>
        <v>111</v>
      </c>
      <c r="C75" s="518"/>
      <c r="D75" s="518"/>
      <c r="E75" s="518"/>
      <c r="F75" s="518"/>
      <c r="G75" s="663"/>
      <c r="H75" s="664"/>
      <c r="I75" s="664"/>
      <c r="J75" s="664"/>
      <c r="K75" s="664"/>
      <c r="L75" s="665"/>
      <c r="M75" s="666"/>
      <c r="N75" s="2018"/>
      <c r="O75" s="2018"/>
      <c r="P75" s="2019"/>
      <c r="Q75" s="2020"/>
      <c r="R75" s="2021"/>
      <c r="S75" s="2021"/>
      <c r="T75" s="2021"/>
      <c r="U75" s="2021"/>
      <c r="V75" s="2021"/>
      <c r="W75" s="2021"/>
      <c r="X75" s="2021"/>
      <c r="Y75" s="2021"/>
      <c r="Z75" s="2021"/>
      <c r="AA75" s="2021"/>
      <c r="AB75" s="2021"/>
      <c r="AC75" s="2021"/>
    </row>
    <row r="76" spans="1:29" s="1265" customFormat="1" ht="15.75" thickBot="1">
      <c r="A76" s="662"/>
      <c r="B76" s="653"/>
      <c r="C76" s="667"/>
      <c r="D76" s="667"/>
      <c r="E76" s="667"/>
      <c r="F76" s="667"/>
      <c r="G76" s="646"/>
      <c r="H76" s="646"/>
      <c r="I76" s="646"/>
      <c r="J76" s="646"/>
      <c r="K76" s="646"/>
      <c r="L76" s="646"/>
      <c r="M76" s="647"/>
      <c r="N76" s="2018"/>
      <c r="O76" s="2018"/>
      <c r="P76" s="2019"/>
      <c r="Q76" s="2020"/>
      <c r="R76" s="2021"/>
      <c r="S76" s="2021"/>
      <c r="T76" s="2021"/>
      <c r="U76" s="2021"/>
      <c r="V76" s="2021"/>
      <c r="W76" s="2021"/>
      <c r="X76" s="2021"/>
      <c r="Y76" s="2021"/>
      <c r="Z76" s="2021"/>
      <c r="AA76" s="2021"/>
      <c r="AB76" s="2021"/>
      <c r="AC76" s="2021"/>
    </row>
    <row r="77" spans="1:29" ht="15" thickTop="1">
      <c r="A77" s="639" t="s">
        <v>534</v>
      </c>
      <c r="B77" s="640" t="s">
        <v>734</v>
      </c>
      <c r="C77" s="3436" t="s">
        <v>3316</v>
      </c>
      <c r="D77" s="3436" t="s">
        <v>3317</v>
      </c>
      <c r="E77" s="3434" t="s">
        <v>3318</v>
      </c>
      <c r="F77" s="3434" t="s">
        <v>3319</v>
      </c>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53"/>
      <c r="C78" s="654">
        <v>100</v>
      </c>
      <c r="D78" s="654">
        <f t="shared" ref="D78:M78" si="17">C78-$K26</f>
        <v>99</v>
      </c>
      <c r="E78" s="654">
        <f t="shared" si="17"/>
        <v>98</v>
      </c>
      <c r="F78" s="654">
        <f t="shared" si="17"/>
        <v>97</v>
      </c>
      <c r="G78" s="654">
        <f t="shared" si="17"/>
        <v>96</v>
      </c>
      <c r="H78" s="654">
        <f t="shared" si="17"/>
        <v>95</v>
      </c>
      <c r="I78" s="654">
        <f t="shared" si="17"/>
        <v>94</v>
      </c>
      <c r="J78" s="654">
        <f t="shared" si="17"/>
        <v>93</v>
      </c>
      <c r="K78" s="654">
        <f t="shared" si="17"/>
        <v>92</v>
      </c>
      <c r="L78" s="654">
        <f t="shared" si="17"/>
        <v>91</v>
      </c>
      <c r="M78" s="655">
        <f t="shared" si="17"/>
        <v>90</v>
      </c>
      <c r="N78" s="2017"/>
      <c r="O78" s="2017"/>
      <c r="P78" s="2016"/>
      <c r="Q78" s="2009"/>
      <c r="R78" s="1997"/>
      <c r="S78" s="1997"/>
      <c r="T78" s="1997"/>
      <c r="U78" s="1997"/>
      <c r="V78" s="1997"/>
      <c r="W78" s="1997"/>
      <c r="X78" s="1997"/>
      <c r="Y78" s="1997"/>
      <c r="Z78" s="1997"/>
      <c r="AA78" s="1997"/>
      <c r="AB78" s="1997"/>
      <c r="AC78" s="1997"/>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3"/>
      <c r="O79" s="2013"/>
      <c r="P79" s="2016"/>
      <c r="Q79" s="2009"/>
      <c r="R79" s="1997"/>
      <c r="S79" s="1997"/>
      <c r="T79" s="1997"/>
      <c r="U79" s="1997"/>
      <c r="V79" s="1997"/>
      <c r="W79" s="1997"/>
      <c r="X79" s="1997"/>
      <c r="Y79" s="1997"/>
      <c r="Z79" s="1997"/>
      <c r="AA79" s="1997"/>
      <c r="AB79" s="1997"/>
      <c r="AC79" s="1997"/>
    </row>
    <row r="80" spans="1:29" ht="15">
      <c r="A80" s="644"/>
      <c r="B80" s="656"/>
      <c r="C80" s="863">
        <v>0.5</v>
      </c>
      <c r="D80" s="863">
        <v>0.6</v>
      </c>
      <c r="E80" s="863">
        <v>0.7</v>
      </c>
      <c r="F80" s="863">
        <v>0.8</v>
      </c>
      <c r="G80" s="863">
        <v>0.9</v>
      </c>
      <c r="H80" s="863">
        <v>1.0001</v>
      </c>
      <c r="I80" s="904"/>
      <c r="J80" s="904"/>
      <c r="K80" s="914"/>
      <c r="L80" s="915"/>
      <c r="M80" s="916"/>
      <c r="N80" s="2013"/>
      <c r="O80" s="2013"/>
      <c r="P80" s="2016"/>
      <c r="Q80" s="2009"/>
      <c r="R80" s="1997"/>
      <c r="S80" s="1997"/>
      <c r="T80" s="1997"/>
      <c r="U80" s="1997"/>
      <c r="V80" s="1997"/>
      <c r="W80" s="1997"/>
      <c r="X80" s="1997"/>
      <c r="Y80" s="1997"/>
      <c r="Z80" s="1997"/>
      <c r="AA80" s="1997"/>
      <c r="AB80" s="1997"/>
      <c r="AC80" s="1997"/>
    </row>
    <row r="81" spans="1:29" s="1265" customFormat="1" ht="15.75" thickBot="1">
      <c r="A81" s="662"/>
      <c r="B81" s="653"/>
      <c r="C81" s="687">
        <v>100</v>
      </c>
      <c r="D81" s="654">
        <f t="shared" ref="D81:M81" si="18">C81+$K27</f>
        <v>101</v>
      </c>
      <c r="E81" s="654">
        <f t="shared" si="18"/>
        <v>102</v>
      </c>
      <c r="F81" s="654">
        <f t="shared" si="18"/>
        <v>103</v>
      </c>
      <c r="G81" s="654">
        <f t="shared" si="18"/>
        <v>104</v>
      </c>
      <c r="H81" s="654">
        <f t="shared" si="18"/>
        <v>105</v>
      </c>
      <c r="I81" s="654">
        <f t="shared" si="18"/>
        <v>106</v>
      </c>
      <c r="J81" s="654">
        <f t="shared" si="18"/>
        <v>107</v>
      </c>
      <c r="K81" s="654">
        <f t="shared" si="18"/>
        <v>108</v>
      </c>
      <c r="L81" s="654">
        <f t="shared" si="18"/>
        <v>109</v>
      </c>
      <c r="M81" s="654">
        <f t="shared" si="18"/>
        <v>110</v>
      </c>
      <c r="N81" s="2017"/>
      <c r="O81" s="2017"/>
      <c r="P81" s="2019"/>
      <c r="Q81" s="2020"/>
      <c r="R81" s="2021"/>
      <c r="S81" s="2021"/>
      <c r="T81" s="2021"/>
      <c r="U81" s="2021"/>
      <c r="V81" s="2021"/>
      <c r="W81" s="2021"/>
      <c r="X81" s="2021"/>
      <c r="Y81" s="2021"/>
      <c r="Z81" s="2021"/>
      <c r="AA81" s="2021"/>
      <c r="AB81" s="2021"/>
      <c r="AC81" s="2021"/>
    </row>
    <row r="82" spans="1:29" ht="15" thickTop="1">
      <c r="A82" s="710"/>
      <c r="B82" s="656" t="s">
        <v>800</v>
      </c>
      <c r="C82" s="3436" t="s">
        <v>3320</v>
      </c>
      <c r="D82" s="3436" t="s">
        <v>3321</v>
      </c>
      <c r="E82" s="693"/>
      <c r="F82" s="693"/>
      <c r="G82" s="693"/>
      <c r="H82" s="693"/>
      <c r="I82" s="693"/>
      <c r="J82" s="693"/>
      <c r="K82" s="694"/>
      <c r="L82" s="695"/>
      <c r="M82" s="696"/>
      <c r="N82" s="2015"/>
      <c r="O82" s="2015"/>
      <c r="P82" s="2016"/>
      <c r="Q82" s="2009"/>
      <c r="R82" s="1997"/>
      <c r="S82" s="1997"/>
      <c r="T82" s="1997"/>
      <c r="U82" s="1997"/>
      <c r="V82" s="1997"/>
      <c r="W82" s="1997"/>
      <c r="X82" s="1997"/>
      <c r="Y82" s="1997"/>
      <c r="Z82" s="1997"/>
      <c r="AA82" s="1997"/>
      <c r="AB82" s="1997"/>
      <c r="AC82" s="1997"/>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10"/>
      <c r="B84" s="648" t="s">
        <v>808</v>
      </c>
      <c r="C84" s="3436" t="s">
        <v>3322</v>
      </c>
      <c r="D84" s="3436" t="s">
        <v>3323</v>
      </c>
      <c r="E84" s="663"/>
      <c r="F84" s="663"/>
      <c r="G84" s="663"/>
      <c r="H84" s="663"/>
      <c r="I84" s="693"/>
      <c r="J84" s="693"/>
      <c r="K84" s="694"/>
      <c r="L84" s="695"/>
      <c r="M84" s="696"/>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10"/>
      <c r="B86" s="656" t="s">
        <v>809</v>
      </c>
      <c r="C86" s="683" t="str">
        <f t="shared" ref="C86:L86" si="21">C87&amp;"(含)"&amp;"-"&amp;D87</f>
        <v>0(含)-30</v>
      </c>
      <c r="D86" s="683" t="str">
        <f t="shared" si="21"/>
        <v>30(含)-60</v>
      </c>
      <c r="E86" s="683" t="str">
        <f t="shared" si="21"/>
        <v>60(含)-100</v>
      </c>
      <c r="F86" s="683" t="str">
        <f t="shared" si="21"/>
        <v>100(含)-150</v>
      </c>
      <c r="G86" s="683" t="str">
        <f t="shared" si="21"/>
        <v>150(含)-200</v>
      </c>
      <c r="H86" s="683" t="str">
        <f t="shared" si="21"/>
        <v>200(含)-</v>
      </c>
      <c r="I86" s="683" t="str">
        <f t="shared" si="21"/>
        <v>(含)-</v>
      </c>
      <c r="J86" s="683" t="str">
        <f t="shared" si="21"/>
        <v>(含)-</v>
      </c>
      <c r="K86" s="683" t="str">
        <f t="shared" si="21"/>
        <v>(含)-</v>
      </c>
      <c r="L86" s="683" t="str">
        <f t="shared" si="21"/>
        <v>(含)-</v>
      </c>
      <c r="M86" s="686" t="str">
        <f>M87&amp;"(含)"&amp;"-"&amp;P87</f>
        <v>(含)-</v>
      </c>
      <c r="N86" s="2015"/>
      <c r="O86" s="2015"/>
      <c r="P86" s="2016"/>
      <c r="Q86" s="2009"/>
      <c r="R86" s="1997"/>
      <c r="S86" s="1997"/>
      <c r="T86" s="1997"/>
      <c r="U86" s="1997"/>
      <c r="V86" s="1997"/>
      <c r="W86" s="1997"/>
      <c r="X86" s="1997"/>
      <c r="Y86" s="1997"/>
      <c r="Z86" s="1997"/>
      <c r="AA86" s="1997"/>
      <c r="AB86" s="1997"/>
      <c r="AC86" s="1997"/>
    </row>
    <row r="87" spans="1:29">
      <c r="A87" s="710"/>
      <c r="B87" s="656"/>
      <c r="C87" s="705">
        <v>0</v>
      </c>
      <c r="D87" s="705">
        <v>30</v>
      </c>
      <c r="E87" s="705">
        <v>60</v>
      </c>
      <c r="F87" s="705">
        <v>100</v>
      </c>
      <c r="G87" s="705">
        <v>150</v>
      </c>
      <c r="H87" s="705">
        <v>200</v>
      </c>
      <c r="I87" s="705"/>
      <c r="J87" s="706"/>
      <c r="K87" s="706"/>
      <c r="L87" s="707"/>
      <c r="M87" s="708"/>
      <c r="N87" s="2015"/>
      <c r="O87" s="2015"/>
      <c r="P87" s="2016"/>
      <c r="Q87" s="2009"/>
      <c r="R87" s="1997"/>
      <c r="S87" s="1997"/>
      <c r="T87" s="1997"/>
      <c r="U87" s="1997"/>
      <c r="V87" s="1997"/>
      <c r="W87" s="1997"/>
      <c r="X87" s="1997"/>
      <c r="Y87" s="1997"/>
      <c r="Z87" s="1997"/>
      <c r="AA87" s="1997"/>
      <c r="AB87" s="1997"/>
      <c r="AC87" s="1997"/>
    </row>
    <row r="88" spans="1:29" ht="15.75" thickBot="1">
      <c r="A88" s="644"/>
      <c r="B88" s="653"/>
      <c r="C88" s="667">
        <v>100</v>
      </c>
      <c r="D88" s="646">
        <f>C88-1</f>
        <v>99</v>
      </c>
      <c r="E88" s="646">
        <f>D88-1</f>
        <v>98</v>
      </c>
      <c r="F88" s="646">
        <f>E88-1</f>
        <v>97</v>
      </c>
      <c r="G88" s="646">
        <f>F88-1</f>
        <v>96</v>
      </c>
      <c r="H88" s="646"/>
      <c r="I88" s="646"/>
      <c r="J88" s="646"/>
      <c r="K88" s="646"/>
      <c r="L88" s="646"/>
      <c r="M88" s="646"/>
      <c r="N88" s="2017"/>
      <c r="O88" s="2017"/>
      <c r="P88" s="2016"/>
      <c r="Q88" s="2009"/>
      <c r="R88" s="1997"/>
      <c r="S88" s="1997"/>
      <c r="T88" s="1997"/>
      <c r="U88" s="1997"/>
      <c r="V88" s="1997"/>
      <c r="W88" s="1997"/>
      <c r="X88" s="1997"/>
      <c r="Y88" s="1997"/>
      <c r="Z88" s="1997"/>
      <c r="AA88" s="1997"/>
      <c r="AB88" s="1997"/>
      <c r="AC88" s="1997"/>
    </row>
    <row r="89" spans="1:29" s="1265" customFormat="1" ht="15" thickTop="1">
      <c r="A89" s="703"/>
      <c r="B89" s="648" t="s">
        <v>810</v>
      </c>
      <c r="C89" s="3436" t="s">
        <v>3324</v>
      </c>
      <c r="D89" s="3436" t="s">
        <v>3325</v>
      </c>
      <c r="E89" s="663"/>
      <c r="F89" s="663"/>
      <c r="G89" s="663"/>
      <c r="H89" s="663"/>
      <c r="I89" s="663"/>
      <c r="J89" s="663"/>
      <c r="K89" s="663"/>
      <c r="L89" s="663"/>
      <c r="M89" s="860"/>
      <c r="N89" s="2018"/>
      <c r="O89" s="2018"/>
      <c r="P89" s="2019"/>
      <c r="Q89" s="2020"/>
      <c r="R89" s="2021"/>
      <c r="S89" s="2021"/>
      <c r="T89" s="2021"/>
      <c r="U89" s="2021"/>
      <c r="V89" s="2021"/>
      <c r="W89" s="2021"/>
      <c r="X89" s="2021"/>
      <c r="Y89" s="2021"/>
      <c r="Z89" s="2021"/>
      <c r="AA89" s="2021"/>
      <c r="AB89" s="2021"/>
      <c r="AC89" s="2021"/>
    </row>
    <row r="90" spans="1:29" s="1265" customFormat="1" ht="15.75" thickBot="1">
      <c r="A90" s="662"/>
      <c r="B90" s="653"/>
      <c r="C90" s="667">
        <v>100</v>
      </c>
      <c r="D90" s="646">
        <v>90</v>
      </c>
      <c r="E90" s="646"/>
      <c r="F90" s="646"/>
      <c r="G90" s="646"/>
      <c r="H90" s="646"/>
      <c r="I90" s="646"/>
      <c r="J90" s="646"/>
      <c r="K90" s="646"/>
      <c r="L90" s="646"/>
      <c r="M90" s="647"/>
      <c r="N90" s="2018"/>
      <c r="O90" s="2018"/>
      <c r="P90" s="2019"/>
      <c r="Q90" s="2020"/>
      <c r="R90" s="2021"/>
      <c r="S90" s="2021"/>
      <c r="T90" s="2021"/>
      <c r="U90" s="2021"/>
      <c r="V90" s="2021"/>
      <c r="W90" s="2021"/>
      <c r="X90" s="2021"/>
      <c r="Y90" s="2021"/>
      <c r="Z90" s="2021"/>
      <c r="AA90" s="2021"/>
      <c r="AB90" s="2021"/>
      <c r="AC90" s="2021"/>
    </row>
    <row r="91" spans="1:29" ht="15" thickTop="1">
      <c r="A91" s="710"/>
      <c r="B91" s="648">
        <f>B32</f>
        <v>111</v>
      </c>
      <c r="C91" s="518"/>
      <c r="D91" s="518"/>
      <c r="E91" s="518"/>
      <c r="F91" s="518"/>
      <c r="G91" s="663"/>
      <c r="H91" s="664"/>
      <c r="I91" s="664"/>
      <c r="J91" s="664"/>
      <c r="K91" s="664"/>
      <c r="L91" s="665"/>
      <c r="M91" s="666"/>
      <c r="N91" s="2015"/>
      <c r="O91" s="2015"/>
      <c r="P91" s="2016"/>
      <c r="Q91" s="2009"/>
      <c r="R91" s="1997"/>
      <c r="S91" s="1997"/>
      <c r="T91" s="1997"/>
      <c r="U91" s="1997"/>
      <c r="V91" s="1997"/>
      <c r="W91" s="1997"/>
      <c r="X91" s="1997"/>
      <c r="Y91" s="1997"/>
      <c r="Z91" s="1997"/>
      <c r="AA91" s="1997"/>
      <c r="AB91" s="1997"/>
      <c r="AC91" s="1997"/>
    </row>
    <row r="92" spans="1:29" ht="15.75" thickBot="1">
      <c r="A92" s="644"/>
      <c r="B92" s="653"/>
      <c r="C92" s="667"/>
      <c r="D92" s="646"/>
      <c r="E92" s="646"/>
      <c r="F92" s="646"/>
      <c r="G92" s="667"/>
      <c r="H92" s="668"/>
      <c r="I92" s="668"/>
      <c r="J92" s="668"/>
      <c r="K92" s="668"/>
      <c r="L92" s="668"/>
      <c r="M92" s="669"/>
      <c r="N92" s="2017"/>
      <c r="O92" s="2017"/>
      <c r="P92" s="2016"/>
      <c r="Q92" s="2009"/>
      <c r="R92" s="1997"/>
      <c r="S92" s="1997"/>
      <c r="T92" s="1997"/>
      <c r="U92" s="1997"/>
      <c r="V92" s="1997"/>
      <c r="W92" s="1997"/>
      <c r="X92" s="1997"/>
      <c r="Y92" s="1997"/>
      <c r="Z92" s="1997"/>
      <c r="AA92" s="1997"/>
      <c r="AB92" s="1997"/>
      <c r="AC92" s="1997"/>
    </row>
    <row r="93" spans="1:29" ht="15" thickTop="1">
      <c r="A93" s="710"/>
      <c r="B93" s="648">
        <f>B33</f>
        <v>111</v>
      </c>
      <c r="C93" s="518"/>
      <c r="D93" s="518"/>
      <c r="E93" s="518"/>
      <c r="F93" s="518"/>
      <c r="G93" s="663"/>
      <c r="H93" s="664"/>
      <c r="I93" s="664"/>
      <c r="J93" s="664"/>
      <c r="K93" s="664"/>
      <c r="L93" s="665"/>
      <c r="M93" s="66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67"/>
      <c r="H94" s="668"/>
      <c r="I94" s="668"/>
      <c r="J94" s="668"/>
      <c r="K94" s="668"/>
      <c r="L94" s="668"/>
      <c r="M94" s="669"/>
      <c r="N94" s="2017"/>
      <c r="O94" s="2017"/>
      <c r="P94" s="2016"/>
      <c r="Q94" s="2009"/>
      <c r="R94" s="1997"/>
      <c r="S94" s="1997"/>
      <c r="T94" s="1997"/>
      <c r="U94" s="1997"/>
      <c r="V94" s="1997"/>
      <c r="W94" s="1997"/>
      <c r="X94" s="1997"/>
      <c r="Y94" s="1997"/>
      <c r="Z94" s="1997"/>
      <c r="AA94" s="1997"/>
      <c r="AB94" s="1997"/>
      <c r="AC94" s="1997"/>
    </row>
    <row r="95" spans="1:29" ht="15" thickTop="1">
      <c r="A95" s="710"/>
      <c r="B95" s="886">
        <f>B34</f>
        <v>111</v>
      </c>
      <c r="C95" s="518"/>
      <c r="D95" s="518"/>
      <c r="E95" s="518"/>
      <c r="F95" s="518"/>
      <c r="G95" s="663"/>
      <c r="H95" s="664"/>
      <c r="I95" s="664"/>
      <c r="J95" s="664"/>
      <c r="K95" s="664"/>
      <c r="L95" s="665"/>
      <c r="M95" s="666"/>
      <c r="N95" s="2017"/>
      <c r="O95" s="2017"/>
      <c r="P95" s="2056"/>
      <c r="Q95" s="2057"/>
      <c r="R95" s="1997"/>
      <c r="S95" s="1997"/>
      <c r="T95" s="1997"/>
      <c r="U95" s="1997"/>
      <c r="V95" s="1997"/>
      <c r="W95" s="1997"/>
      <c r="X95" s="1997"/>
      <c r="Y95" s="1997"/>
      <c r="Z95" s="1997"/>
      <c r="AA95" s="1997"/>
      <c r="AB95" s="1997"/>
      <c r="AC95" s="1997"/>
    </row>
    <row r="96" spans="1:29" ht="15.75" thickBot="1">
      <c r="A96" s="644"/>
      <c r="B96" s="653"/>
      <c r="C96" s="667"/>
      <c r="D96" s="667"/>
      <c r="E96" s="667"/>
      <c r="F96" s="667"/>
      <c r="G96" s="667"/>
      <c r="H96" s="668"/>
      <c r="I96" s="668"/>
      <c r="J96" s="668"/>
      <c r="K96" s="668"/>
      <c r="L96" s="668"/>
      <c r="M96" s="669"/>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03" priority="18" stopIfTrue="1" operator="containsText" text="超过">
      <formula>NOT(ISERROR(SEARCH("超过",F40)))</formula>
    </cfRule>
  </conditionalFormatting>
  <conditionalFormatting sqref="J42">
    <cfRule type="containsText" dxfId="102" priority="17" stopIfTrue="1" operator="containsText" text="超过">
      <formula>NOT(ISERROR(SEARCH("超过",J42)))</formula>
    </cfRule>
  </conditionalFormatting>
  <conditionalFormatting sqref="H42">
    <cfRule type="containsText" dxfId="101" priority="16" stopIfTrue="1" operator="containsText" text="超过">
      <formula>NOT(ISERROR(SEARCH("超过",H42)))</formula>
    </cfRule>
  </conditionalFormatting>
  <conditionalFormatting sqref="F42">
    <cfRule type="containsText" dxfId="100" priority="15" stopIfTrue="1" operator="containsText" text="超过">
      <formula>NOT(ISERROR(SEARCH("超过",F42)))</formula>
    </cfRule>
  </conditionalFormatting>
  <conditionalFormatting sqref="F41 H41 J41">
    <cfRule type="containsText" dxfId="99" priority="14" stopIfTrue="1" operator="containsText" text="超过">
      <formula>NOT(ISERROR(SEARCH("超过",F41)))</formula>
    </cfRule>
  </conditionalFormatting>
  <conditionalFormatting sqref="E40">
    <cfRule type="expression" dxfId="98" priority="13" stopIfTrue="1">
      <formula>$F$40="超过30%"</formula>
    </cfRule>
  </conditionalFormatting>
  <conditionalFormatting sqref="G42">
    <cfRule type="expression" dxfId="97" priority="12" stopIfTrue="1">
      <formula>$H$54+$H$42="超过30%"</formula>
    </cfRule>
  </conditionalFormatting>
  <conditionalFormatting sqref="E41">
    <cfRule type="expression" dxfId="96" priority="11" stopIfTrue="1">
      <formula>$F$41="超过20%"</formula>
    </cfRule>
  </conditionalFormatting>
  <conditionalFormatting sqref="E42">
    <cfRule type="expression" dxfId="95" priority="10" stopIfTrue="1">
      <formula>$F$42="超过30%"</formula>
    </cfRule>
  </conditionalFormatting>
  <conditionalFormatting sqref="G40">
    <cfRule type="expression" dxfId="94" priority="9" stopIfTrue="1">
      <formula>$H$52+$H$40="超过30%"</formula>
    </cfRule>
  </conditionalFormatting>
  <conditionalFormatting sqref="G41">
    <cfRule type="expression" dxfId="93" priority="8" stopIfTrue="1">
      <formula>$H$53+$H$41="超过20%"</formula>
    </cfRule>
  </conditionalFormatting>
  <conditionalFormatting sqref="I40">
    <cfRule type="expression" dxfId="92" priority="7" stopIfTrue="1">
      <formula>$J$40="超过30%"</formula>
    </cfRule>
  </conditionalFormatting>
  <conditionalFormatting sqref="I41">
    <cfRule type="expression" dxfId="91" priority="6" stopIfTrue="1">
      <formula>$J$41="超过20%"</formula>
    </cfRule>
  </conditionalFormatting>
  <conditionalFormatting sqref="I42">
    <cfRule type="expression" dxfId="90" priority="5" stopIfTrue="1">
      <formula>$J$42="超过30%"</formula>
    </cfRule>
  </conditionalFormatting>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F7:F34 H7:H34 J7:J34">
    <cfRule type="cellIs" dxfId="8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N44" sqref="N4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3239</v>
      </c>
      <c r="C1" s="481" t="s">
        <v>775</v>
      </c>
      <c r="D1" s="821" t="s">
        <v>35</v>
      </c>
      <c r="E1" s="483"/>
      <c r="F1" s="2462" t="s">
        <v>3312</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IF(B37="元/平方米",ROUND(B3*D3/10000,0),ROUND(F3*C39/10000,0))</f>
        <v>10110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IF(B37="元/平方米",C39,ROUND(B2*10000/D3,0))</f>
        <v>8503</v>
      </c>
      <c r="C3" s="824" t="s">
        <v>779</v>
      </c>
      <c r="D3" s="823">
        <f>SUMIF('数据-汇总表'!$C19:$C33,D1,'数据-汇总表'!$E19:$E33)</f>
        <v>11890.43</v>
      </c>
      <c r="E3" s="1733" t="s">
        <v>2050</v>
      </c>
      <c r="F3" s="823">
        <f>SUMIF('数据-取费表'!A5:A15,D1,'数据-取费表'!AH5:AH15)</f>
        <v>379</v>
      </c>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38" t="s">
        <v>781</v>
      </c>
      <c r="D4" s="3639"/>
      <c r="E4" s="3638" t="s">
        <v>782</v>
      </c>
      <c r="F4" s="3639"/>
      <c r="G4" s="3638" t="s">
        <v>783</v>
      </c>
      <c r="H4" s="3639"/>
      <c r="I4" s="3638" t="s">
        <v>784</v>
      </c>
      <c r="J4" s="3639"/>
      <c r="K4" s="491" t="s">
        <v>785</v>
      </c>
      <c r="L4" s="1985"/>
      <c r="M4" s="1986"/>
      <c r="N4" s="1986"/>
      <c r="O4" s="1986"/>
      <c r="P4" s="3640" t="s">
        <v>786</v>
      </c>
      <c r="Q4" s="3641"/>
      <c r="R4" s="3626" t="s">
        <v>782</v>
      </c>
      <c r="S4" s="3627"/>
      <c r="T4" s="3626" t="s">
        <v>783</v>
      </c>
      <c r="U4" s="3627"/>
      <c r="V4" s="3646" t="s">
        <v>784</v>
      </c>
      <c r="W4" s="3646"/>
      <c r="X4" s="1474"/>
      <c r="Y4" s="3626" t="s">
        <v>786</v>
      </c>
      <c r="Z4" s="3627"/>
      <c r="AA4" s="3621" t="s">
        <v>782</v>
      </c>
      <c r="AB4" s="3622" t="s">
        <v>783</v>
      </c>
      <c r="AC4" s="3621" t="s">
        <v>784</v>
      </c>
    </row>
    <row r="5" spans="1:29" ht="15">
      <c r="A5" s="492"/>
      <c r="B5" s="493"/>
      <c r="C5" s="3649" t="s">
        <v>2808</v>
      </c>
      <c r="D5" s="3650"/>
      <c r="E5" s="3649" t="str">
        <f>案例!B7</f>
        <v>雅居乐京华雅郡</v>
      </c>
      <c r="F5" s="3650"/>
      <c r="G5" s="3649" t="str">
        <f>案例!B8</f>
        <v>招商臻珑府</v>
      </c>
      <c r="H5" s="3650"/>
      <c r="I5" s="3649" t="str">
        <f>案例!B9</f>
        <v>熙悦宸著</v>
      </c>
      <c r="J5" s="3650"/>
      <c r="K5" s="491"/>
      <c r="L5" s="1985"/>
      <c r="M5" s="1986"/>
      <c r="N5" s="1986"/>
      <c r="O5" s="1986"/>
      <c r="P5" s="3642"/>
      <c r="Q5" s="3643"/>
      <c r="R5" s="3628"/>
      <c r="S5" s="3629"/>
      <c r="T5" s="3628"/>
      <c r="U5" s="3629"/>
      <c r="V5" s="3646"/>
      <c r="W5" s="3646"/>
      <c r="X5" s="1474"/>
      <c r="Y5" s="3628"/>
      <c r="Z5" s="3629"/>
      <c r="AA5" s="3622"/>
      <c r="AB5" s="3622"/>
      <c r="AC5" s="3622"/>
    </row>
    <row r="6" spans="1:29" ht="15.75" thickBot="1">
      <c r="A6" s="494"/>
      <c r="B6" s="495"/>
      <c r="C6" s="3647" t="s">
        <v>2812</v>
      </c>
      <c r="D6" s="3648"/>
      <c r="E6" s="3651" t="s">
        <v>2812</v>
      </c>
      <c r="F6" s="3652"/>
      <c r="G6" s="3647" t="s">
        <v>2812</v>
      </c>
      <c r="H6" s="3648"/>
      <c r="I6" s="3647" t="s">
        <v>2812</v>
      </c>
      <c r="J6" s="3648"/>
      <c r="K6" s="491" t="s">
        <v>511</v>
      </c>
      <c r="L6" s="1985"/>
      <c r="M6" s="1986"/>
      <c r="N6" s="1986"/>
      <c r="O6" s="1986"/>
      <c r="P6" s="3644"/>
      <c r="Q6" s="3645"/>
      <c r="R6" s="3628"/>
      <c r="S6" s="3629"/>
      <c r="T6" s="3630"/>
      <c r="U6" s="3631"/>
      <c r="V6" s="3646"/>
      <c r="W6" s="3646"/>
      <c r="X6" s="1474"/>
      <c r="Y6" s="3630"/>
      <c r="Z6" s="3631"/>
      <c r="AA6" s="3623"/>
      <c r="AB6" s="3623"/>
      <c r="AC6" s="3623"/>
    </row>
    <row r="7" spans="1:29" s="1183" customFormat="1" ht="15.75" thickBot="1">
      <c r="A7" s="2567"/>
      <c r="B7" s="2574" t="s">
        <v>512</v>
      </c>
      <c r="C7" s="496">
        <f>'数据-取费表'!B2</f>
        <v>44649</v>
      </c>
      <c r="D7" s="497">
        <v>100</v>
      </c>
      <c r="E7" s="498">
        <v>44621</v>
      </c>
      <c r="F7" s="499">
        <f>SUMIF(48:48,YEAR(E7)&amp;"-"&amp;MONTH(E7),49:49)</f>
        <v>100</v>
      </c>
      <c r="G7" s="498">
        <v>44621</v>
      </c>
      <c r="H7" s="497">
        <f>SUMIF(48:48,YEAR(G7)&amp;"-"&amp;MONTH(G7),49:49)</f>
        <v>100</v>
      </c>
      <c r="I7" s="498">
        <v>44621</v>
      </c>
      <c r="J7" s="497">
        <f>SUMIF(48:48,YEAR(I7)&amp;"-"&amp;MONTH(I7),49:49)</f>
        <v>100</v>
      </c>
      <c r="K7" s="501"/>
      <c r="L7" s="1987"/>
      <c r="M7" s="1988"/>
      <c r="N7" s="1988"/>
      <c r="O7" s="1988"/>
      <c r="P7" s="3624" t="s">
        <v>513</v>
      </c>
      <c r="Q7" s="3633"/>
      <c r="R7" s="1475" t="s">
        <v>8</v>
      </c>
      <c r="S7" s="1476">
        <f t="shared" ref="S7:S14" si="0">F7</f>
        <v>100</v>
      </c>
      <c r="T7" s="1475" t="s">
        <v>8</v>
      </c>
      <c r="U7" s="1476">
        <f t="shared" ref="U7:U14" si="1">H7</f>
        <v>100</v>
      </c>
      <c r="V7" s="1475" t="s">
        <v>8</v>
      </c>
      <c r="W7" s="1476">
        <f t="shared" ref="W7:W14" si="2">J7</f>
        <v>100</v>
      </c>
      <c r="X7" s="1477"/>
      <c r="Y7" s="3624" t="s">
        <v>513</v>
      </c>
      <c r="Z7" s="3625"/>
      <c r="AA7" s="1478">
        <f>D7/F7</f>
        <v>1</v>
      </c>
      <c r="AB7" s="1478">
        <f>D7/H7</f>
        <v>1</v>
      </c>
      <c r="AC7" s="1478">
        <f>D7/J7</f>
        <v>1</v>
      </c>
    </row>
    <row r="8" spans="1:29" s="1183" customFormat="1" ht="15.75" thickBot="1">
      <c r="A8" s="2568"/>
      <c r="B8" s="2575" t="s">
        <v>514</v>
      </c>
      <c r="C8" s="502" t="s">
        <v>559</v>
      </c>
      <c r="D8" s="497">
        <v>100</v>
      </c>
      <c r="E8" s="502" t="s">
        <v>559</v>
      </c>
      <c r="F8" s="499">
        <f>SUMIF(51:51,E8,52:52)-SUMIF(51:51,C8,52:52)+100</f>
        <v>100</v>
      </c>
      <c r="G8" s="502" t="s">
        <v>559</v>
      </c>
      <c r="H8" s="497">
        <f>SUMIF(51:51,G8,52:52)-SUMIF(51:51,C8,52:52)+100</f>
        <v>100</v>
      </c>
      <c r="I8" s="502" t="s">
        <v>559</v>
      </c>
      <c r="J8" s="497">
        <f>SUMIF(51:51,I8,52:52)-SUMIF(51:51,C8,52:52)+100</f>
        <v>100</v>
      </c>
      <c r="K8" s="501"/>
      <c r="L8" s="1987"/>
      <c r="M8" s="1988"/>
      <c r="N8" s="1988"/>
      <c r="O8" s="1988"/>
      <c r="P8" s="3624" t="s">
        <v>516</v>
      </c>
      <c r="Q8" s="3625"/>
      <c r="R8" s="1475" t="s">
        <v>8</v>
      </c>
      <c r="S8" s="1476">
        <f t="shared" si="0"/>
        <v>100</v>
      </c>
      <c r="T8" s="1475" t="s">
        <v>8</v>
      </c>
      <c r="U8" s="1476">
        <f t="shared" si="1"/>
        <v>100</v>
      </c>
      <c r="V8" s="1475" t="s">
        <v>8</v>
      </c>
      <c r="W8" s="1476">
        <f t="shared" si="2"/>
        <v>100</v>
      </c>
      <c r="X8" s="1477"/>
      <c r="Y8" s="3624" t="s">
        <v>516</v>
      </c>
      <c r="Z8" s="3625"/>
      <c r="AA8" s="1478">
        <f t="shared" ref="AA8:AA36" si="3">D8/F8</f>
        <v>1</v>
      </c>
      <c r="AB8" s="1478">
        <f t="shared" ref="AB8:AB36" si="4">D8/H8</f>
        <v>1</v>
      </c>
      <c r="AC8" s="1478">
        <f t="shared" ref="AC8:AC36" si="5">D8/J8</f>
        <v>1</v>
      </c>
    </row>
    <row r="9" spans="1:29" s="1183" customFormat="1" ht="15">
      <c r="A9" s="2569"/>
      <c r="B9" s="2576" t="s">
        <v>2655</v>
      </c>
      <c r="C9" s="3440" t="s">
        <v>3326</v>
      </c>
      <c r="D9" s="252">
        <v>100</v>
      </c>
      <c r="E9" s="832" t="s">
        <v>35</v>
      </c>
      <c r="F9" s="252">
        <f>SUMIF(53:53,E9,54:54)-SUMIF(53:53,C9,54:54)+100</f>
        <v>100</v>
      </c>
      <c r="G9" s="832" t="s">
        <v>35</v>
      </c>
      <c r="H9" s="252">
        <f>SUMIF(53:53,G9,54:54)-SUMIF(53:53,C9,54:54)+100</f>
        <v>100</v>
      </c>
      <c r="I9" s="832" t="s">
        <v>35</v>
      </c>
      <c r="J9" s="252">
        <f>SUMIF(53:53,I9,54:54)-SUMIF(53:53,C9,54:54)+100</f>
        <v>100</v>
      </c>
      <c r="K9" s="501"/>
      <c r="L9" s="1987"/>
      <c r="M9" s="1988"/>
      <c r="N9" s="1988"/>
      <c r="O9" s="1989"/>
      <c r="P9" s="3632" t="s">
        <v>518</v>
      </c>
      <c r="Q9" s="1114" t="str">
        <f t="shared" ref="Q9:Q14" si="6">B9</f>
        <v>用途</v>
      </c>
      <c r="R9" s="1475" t="s">
        <v>8</v>
      </c>
      <c r="S9" s="1476">
        <f t="shared" si="0"/>
        <v>100</v>
      </c>
      <c r="T9" s="1475" t="s">
        <v>8</v>
      </c>
      <c r="U9" s="1476">
        <f t="shared" si="1"/>
        <v>100</v>
      </c>
      <c r="V9" s="1475" t="s">
        <v>8</v>
      </c>
      <c r="W9" s="1476">
        <f t="shared" si="2"/>
        <v>100</v>
      </c>
      <c r="X9" s="1477"/>
      <c r="Y9" s="3583"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3315</v>
      </c>
      <c r="D10" s="253">
        <v>100</v>
      </c>
      <c r="E10" s="833" t="s">
        <v>3315</v>
      </c>
      <c r="F10" s="253">
        <f>SUMIF(55:55,E10,56:56)-SUMIF(55:55,C10,56:56)+100</f>
        <v>100</v>
      </c>
      <c r="G10" s="833" t="s">
        <v>3315</v>
      </c>
      <c r="H10" s="253">
        <f>SUMIF(55:55,G10,56:56)-SUMIF(55:55,C10,56:56)+100</f>
        <v>100</v>
      </c>
      <c r="I10" s="833" t="s">
        <v>3315</v>
      </c>
      <c r="J10" s="253">
        <f>SUMIF(55:55,I10,56:56)-SUMIF(55:55,C10,56:56)+100</f>
        <v>100</v>
      </c>
      <c r="K10" s="561">
        <v>1</v>
      </c>
      <c r="L10" s="1990"/>
      <c r="M10" s="2029"/>
      <c r="N10" s="2029"/>
      <c r="O10" s="1991"/>
      <c r="P10" s="3632"/>
      <c r="Q10" s="1114" t="str">
        <f t="shared" si="6"/>
        <v>土地使用年限（年）</v>
      </c>
      <c r="R10" s="1475" t="s">
        <v>8</v>
      </c>
      <c r="S10" s="1476">
        <f t="shared" si="0"/>
        <v>100</v>
      </c>
      <c r="T10" s="1475" t="s">
        <v>8</v>
      </c>
      <c r="U10" s="1476">
        <f t="shared" si="1"/>
        <v>100</v>
      </c>
      <c r="V10" s="1475" t="s">
        <v>8</v>
      </c>
      <c r="W10" s="1476">
        <f t="shared" si="2"/>
        <v>100</v>
      </c>
      <c r="X10" s="1477"/>
      <c r="Y10" s="3583"/>
      <c r="Z10" s="1113" t="str">
        <f t="shared" si="7"/>
        <v>土地使用年限（年）</v>
      </c>
      <c r="AA10" s="1478">
        <f t="shared" si="3"/>
        <v>1</v>
      </c>
      <c r="AB10" s="1478">
        <f t="shared" si="4"/>
        <v>1</v>
      </c>
      <c r="AC10" s="1478">
        <f t="shared" si="5"/>
        <v>1</v>
      </c>
    </row>
    <row r="11" spans="1:29" ht="15" hidden="1">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2"/>
      <c r="M11" s="1986"/>
      <c r="N11" s="1986"/>
      <c r="O11" s="1993"/>
      <c r="P11" s="3632"/>
      <c r="Q11" s="1114">
        <f t="shared" si="6"/>
        <v>111</v>
      </c>
      <c r="R11" s="1475" t="s">
        <v>8</v>
      </c>
      <c r="S11" s="1476">
        <f t="shared" si="0"/>
        <v>100</v>
      </c>
      <c r="T11" s="1475" t="s">
        <v>8</v>
      </c>
      <c r="U11" s="1476">
        <f t="shared" si="1"/>
        <v>100</v>
      </c>
      <c r="V11" s="1475" t="s">
        <v>8</v>
      </c>
      <c r="W11" s="1476">
        <f t="shared" si="2"/>
        <v>100</v>
      </c>
      <c r="X11" s="1477"/>
      <c r="Y11" s="3583"/>
      <c r="Z11" s="1113">
        <f t="shared" si="7"/>
        <v>111</v>
      </c>
      <c r="AA11" s="1478">
        <f t="shared" si="3"/>
        <v>1</v>
      </c>
      <c r="AB11" s="1478">
        <f t="shared" si="4"/>
        <v>1</v>
      </c>
      <c r="AC11" s="1478">
        <f t="shared" si="5"/>
        <v>1</v>
      </c>
    </row>
    <row r="12" spans="1:29" s="1183" customFormat="1" ht="15" hidden="1">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7"/>
      <c r="M12" s="1988"/>
      <c r="N12" s="1988"/>
      <c r="O12" s="1989"/>
      <c r="P12" s="3632"/>
      <c r="Q12" s="1114">
        <f t="shared" si="6"/>
        <v>111</v>
      </c>
      <c r="R12" s="1475" t="s">
        <v>8</v>
      </c>
      <c r="S12" s="1476">
        <f t="shared" si="0"/>
        <v>100</v>
      </c>
      <c r="T12" s="1475" t="s">
        <v>8</v>
      </c>
      <c r="U12" s="1476">
        <f t="shared" si="1"/>
        <v>100</v>
      </c>
      <c r="V12" s="1475" t="s">
        <v>8</v>
      </c>
      <c r="W12" s="1476">
        <f t="shared" si="2"/>
        <v>100</v>
      </c>
      <c r="X12" s="1477"/>
      <c r="Y12" s="3583"/>
      <c r="Z12" s="1113">
        <f t="shared" si="7"/>
        <v>111</v>
      </c>
      <c r="AA12" s="1478">
        <f>D12/F12</f>
        <v>1</v>
      </c>
      <c r="AB12" s="1478">
        <f>D12/H12</f>
        <v>1</v>
      </c>
      <c r="AC12" s="1478">
        <f>D12/J12</f>
        <v>1</v>
      </c>
    </row>
    <row r="13" spans="1:29" ht="15.75" hidden="1"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4"/>
      <c r="M13" s="1986"/>
      <c r="N13" s="1986"/>
      <c r="O13" s="1993"/>
      <c r="P13" s="3632"/>
      <c r="Q13" s="1114">
        <f t="shared" si="6"/>
        <v>111</v>
      </c>
      <c r="R13" s="1475" t="s">
        <v>8</v>
      </c>
      <c r="S13" s="1476">
        <f t="shared" si="0"/>
        <v>100</v>
      </c>
      <c r="T13" s="1475" t="s">
        <v>8</v>
      </c>
      <c r="U13" s="1476">
        <f t="shared" si="1"/>
        <v>100</v>
      </c>
      <c r="V13" s="1475" t="s">
        <v>8</v>
      </c>
      <c r="W13" s="1476">
        <f t="shared" si="2"/>
        <v>100</v>
      </c>
      <c r="X13" s="1477"/>
      <c r="Y13" s="3583"/>
      <c r="Z13" s="1113">
        <f t="shared" si="7"/>
        <v>111</v>
      </c>
      <c r="AA13" s="1478">
        <f t="shared" si="3"/>
        <v>1</v>
      </c>
      <c r="AB13" s="1478">
        <f t="shared" si="4"/>
        <v>1</v>
      </c>
      <c r="AC13" s="1478">
        <f t="shared" si="5"/>
        <v>1</v>
      </c>
    </row>
    <row r="14" spans="1:29" ht="15">
      <c r="A14" s="2565" t="s">
        <v>2653</v>
      </c>
      <c r="B14" s="524" t="s">
        <v>526</v>
      </c>
      <c r="C14" s="890" t="str">
        <f>IF(B1="工业",估价对象房地状况!G4,估价对象房地状况!C6)</f>
        <v>一般</v>
      </c>
      <c r="D14" s="526">
        <v>100</v>
      </c>
      <c r="E14" s="527" t="s">
        <v>3262</v>
      </c>
      <c r="F14" s="528">
        <f>SUMIF(63:63,E15,64:64)-SUMIF(63:63,C15,64:64)+100</f>
        <v>100</v>
      </c>
      <c r="G14" s="527" t="s">
        <v>3262</v>
      </c>
      <c r="H14" s="526">
        <f>SUMIF(63:63,G15,64:64)-SUMIF(63:63,C15,64:64)+100</f>
        <v>100</v>
      </c>
      <c r="I14" s="527" t="s">
        <v>3262</v>
      </c>
      <c r="J14" s="526">
        <f>SUMIF(63:63,I15,64:64)-SUMIF(63:63,C15,64:64)+100</f>
        <v>100</v>
      </c>
      <c r="K14" s="867">
        <v>1</v>
      </c>
      <c r="L14" s="1994"/>
      <c r="M14" s="1986"/>
      <c r="N14" s="1986"/>
      <c r="O14" s="1993"/>
      <c r="P14" s="3634" t="s">
        <v>523</v>
      </c>
      <c r="Q14" s="1479" t="str">
        <f t="shared" si="6"/>
        <v>交通便捷度</v>
      </c>
      <c r="R14" s="1480" t="s">
        <v>8</v>
      </c>
      <c r="S14" s="1481">
        <f t="shared" si="0"/>
        <v>100</v>
      </c>
      <c r="T14" s="1480" t="s">
        <v>8</v>
      </c>
      <c r="U14" s="1481">
        <f t="shared" si="1"/>
        <v>100</v>
      </c>
      <c r="V14" s="1480" t="s">
        <v>8</v>
      </c>
      <c r="W14" s="1481">
        <f t="shared" si="2"/>
        <v>100</v>
      </c>
      <c r="X14" s="1474"/>
      <c r="Y14" s="3634" t="s">
        <v>523</v>
      </c>
      <c r="Z14" s="1482" t="str">
        <f t="shared" si="7"/>
        <v>交通便捷度</v>
      </c>
      <c r="AA14" s="1483">
        <f t="shared" si="3"/>
        <v>1</v>
      </c>
      <c r="AB14" s="1483">
        <f t="shared" si="4"/>
        <v>1</v>
      </c>
      <c r="AC14" s="1483">
        <f t="shared" si="5"/>
        <v>1</v>
      </c>
    </row>
    <row r="15" spans="1:29" ht="15">
      <c r="A15" s="492"/>
      <c r="B15" s="893"/>
      <c r="C15" s="553" t="s">
        <v>3262</v>
      </c>
      <c r="D15" s="532"/>
      <c r="E15" s="553" t="s">
        <v>3262</v>
      </c>
      <c r="F15" s="534"/>
      <c r="G15" s="553" t="s">
        <v>3262</v>
      </c>
      <c r="H15" s="536"/>
      <c r="I15" s="553" t="s">
        <v>3262</v>
      </c>
      <c r="J15" s="532"/>
      <c r="K15" s="868"/>
      <c r="L15" s="1994"/>
      <c r="M15" s="1986"/>
      <c r="N15" s="1986"/>
      <c r="O15" s="1993"/>
      <c r="P15" s="3635"/>
      <c r="Q15" s="1479"/>
      <c r="R15" s="1480"/>
      <c r="S15" s="1481"/>
      <c r="T15" s="1480"/>
      <c r="U15" s="1481"/>
      <c r="V15" s="1480"/>
      <c r="W15" s="1481"/>
      <c r="X15" s="1474"/>
      <c r="Y15" s="3635"/>
      <c r="Z15" s="1482"/>
      <c r="AA15" s="1483">
        <v>1</v>
      </c>
      <c r="AB15" s="1483">
        <v>1</v>
      </c>
      <c r="AC15" s="1483">
        <v>1</v>
      </c>
    </row>
    <row r="16" spans="1:29" ht="15">
      <c r="A16" s="492"/>
      <c r="B16" s="2385" t="s">
        <v>2446</v>
      </c>
      <c r="C16" s="844" t="str">
        <f>IF(B1="工业",估价对象房地状况!G5,估价对象房地状况!C7)</f>
        <v>一般</v>
      </c>
      <c r="D16" s="542">
        <v>100</v>
      </c>
      <c r="E16" s="3442" t="s">
        <v>3329</v>
      </c>
      <c r="F16" s="548">
        <f>SUMIF(65:65,E17,66:66)-SUMIF(65:65,C17,66:66)+100</f>
        <v>101</v>
      </c>
      <c r="G16" s="3442" t="s">
        <v>3329</v>
      </c>
      <c r="H16" s="542">
        <f>SUMIF(65:65,G17,66:66)-SUMIF(65:65,C17,66:66)+100</f>
        <v>101</v>
      </c>
      <c r="I16" s="3442" t="s">
        <v>3329</v>
      </c>
      <c r="J16" s="542">
        <f>SUMIF(65:65,I17,66:66)-SUMIF(65:65,C17,66:66)+100</f>
        <v>101</v>
      </c>
      <c r="K16" s="867">
        <v>1</v>
      </c>
      <c r="L16" s="1994"/>
      <c r="M16" s="1986"/>
      <c r="N16" s="1986"/>
      <c r="O16" s="1993"/>
      <c r="P16" s="3635"/>
      <c r="Q16" s="1479" t="str">
        <f>B16</f>
        <v>公共配套设施</v>
      </c>
      <c r="R16" s="1480" t="s">
        <v>8</v>
      </c>
      <c r="S16" s="1481">
        <f>F16</f>
        <v>101</v>
      </c>
      <c r="T16" s="1480" t="s">
        <v>8</v>
      </c>
      <c r="U16" s="1481">
        <f>H16</f>
        <v>101</v>
      </c>
      <c r="V16" s="1480" t="s">
        <v>8</v>
      </c>
      <c r="W16" s="1481">
        <f>J16</f>
        <v>101</v>
      </c>
      <c r="X16" s="1474"/>
      <c r="Y16" s="3635"/>
      <c r="Z16" s="1482" t="str">
        <f>Q16</f>
        <v>公共配套设施</v>
      </c>
      <c r="AA16" s="1483">
        <f t="shared" si="3"/>
        <v>0.99009900990099009</v>
      </c>
      <c r="AB16" s="1483">
        <f t="shared" si="4"/>
        <v>0.99009900990099009</v>
      </c>
      <c r="AC16" s="1483">
        <f t="shared" si="5"/>
        <v>0.99009900990099009</v>
      </c>
    </row>
    <row r="17" spans="1:29" ht="15">
      <c r="A17" s="492"/>
      <c r="B17" s="543"/>
      <c r="C17" s="845" t="s">
        <v>3262</v>
      </c>
      <c r="D17" s="532"/>
      <c r="E17" s="553" t="s">
        <v>3261</v>
      </c>
      <c r="F17" s="534"/>
      <c r="G17" s="553" t="s">
        <v>3261</v>
      </c>
      <c r="H17" s="532"/>
      <c r="I17" s="553" t="s">
        <v>3261</v>
      </c>
      <c r="J17" s="532"/>
      <c r="K17" s="868"/>
      <c r="L17" s="1994"/>
      <c r="M17" s="1986"/>
      <c r="N17" s="1986"/>
      <c r="O17" s="1993"/>
      <c r="P17" s="3635"/>
      <c r="Q17" s="1479"/>
      <c r="R17" s="1480"/>
      <c r="S17" s="1481"/>
      <c r="T17" s="1480"/>
      <c r="U17" s="1481"/>
      <c r="V17" s="1480"/>
      <c r="W17" s="1481"/>
      <c r="X17" s="1474"/>
      <c r="Y17" s="3635"/>
      <c r="Z17" s="1482"/>
      <c r="AA17" s="1483">
        <v>1</v>
      </c>
      <c r="AB17" s="1483">
        <v>1</v>
      </c>
      <c r="AC17" s="1483">
        <v>1</v>
      </c>
    </row>
    <row r="18" spans="1:29" ht="15">
      <c r="A18" s="492"/>
      <c r="B18" s="2373" t="s">
        <v>2458</v>
      </c>
      <c r="C18" s="844" t="str">
        <f>IF(B1="工业",估价对象房地状况!G6,估价对象房地状况!C8)</f>
        <v>七通</v>
      </c>
      <c r="D18" s="536">
        <v>100</v>
      </c>
      <c r="E18" s="549" t="s">
        <v>3264</v>
      </c>
      <c r="F18" s="548">
        <f>SUMIF(67:67,E19,68:68)-SUMIF(67:67,C19,68:68)+100</f>
        <v>100</v>
      </c>
      <c r="G18" s="549" t="s">
        <v>3264</v>
      </c>
      <c r="H18" s="542">
        <f>SUMIF(67:67,G19,68:68)-SUMIF(67:67,C19,68:68)+100</f>
        <v>100</v>
      </c>
      <c r="I18" s="549" t="s">
        <v>3264</v>
      </c>
      <c r="J18" s="542">
        <f>SUMIF(67:67,I19,68:68)-SUMIF(67:67,C19,68:68)+100</f>
        <v>100</v>
      </c>
      <c r="K18" s="867">
        <v>1</v>
      </c>
      <c r="L18" s="1994"/>
      <c r="M18" s="1986"/>
      <c r="N18" s="1986"/>
      <c r="O18" s="1993"/>
      <c r="P18" s="3635"/>
      <c r="Q18" s="2367" t="str">
        <f>B18</f>
        <v>基础设施水平</v>
      </c>
      <c r="R18" s="1480" t="s">
        <v>8</v>
      </c>
      <c r="S18" s="1481">
        <f>F18</f>
        <v>100</v>
      </c>
      <c r="T18" s="1480" t="s">
        <v>8</v>
      </c>
      <c r="U18" s="1481">
        <f>H18</f>
        <v>100</v>
      </c>
      <c r="V18" s="1480" t="s">
        <v>8</v>
      </c>
      <c r="W18" s="1481">
        <f>J18</f>
        <v>100</v>
      </c>
      <c r="X18" s="2369"/>
      <c r="Y18" s="3635"/>
      <c r="Z18" s="2368" t="str">
        <f>Q18</f>
        <v>基础设施水平</v>
      </c>
      <c r="AA18" s="1483">
        <f t="shared" ref="AA18" si="8">D18/F18</f>
        <v>1</v>
      </c>
      <c r="AB18" s="1483">
        <f t="shared" ref="AB18" si="9">D18/H18</f>
        <v>1</v>
      </c>
      <c r="AC18" s="1483">
        <f t="shared" ref="AC18" si="10">D18/J18</f>
        <v>1</v>
      </c>
    </row>
    <row r="19" spans="1:29" ht="15">
      <c r="A19" s="492"/>
      <c r="B19" s="555"/>
      <c r="C19" s="845" t="s">
        <v>3264</v>
      </c>
      <c r="D19" s="536"/>
      <c r="E19" s="553" t="s">
        <v>3264</v>
      </c>
      <c r="F19" s="534"/>
      <c r="G19" s="553" t="s">
        <v>3264</v>
      </c>
      <c r="H19" s="532"/>
      <c r="I19" s="553" t="s">
        <v>3264</v>
      </c>
      <c r="J19" s="532"/>
      <c r="K19" s="2384"/>
      <c r="L19" s="1994"/>
      <c r="M19" s="1986"/>
      <c r="N19" s="1986"/>
      <c r="O19" s="1993"/>
      <c r="P19" s="3635"/>
      <c r="Q19" s="2367"/>
      <c r="R19" s="1480"/>
      <c r="S19" s="1481"/>
      <c r="T19" s="1480"/>
      <c r="U19" s="1481"/>
      <c r="V19" s="1480"/>
      <c r="W19" s="1481"/>
      <c r="X19" s="2369"/>
      <c r="Y19" s="3635"/>
      <c r="Z19" s="2368"/>
      <c r="AA19" s="1483">
        <v>1</v>
      </c>
      <c r="AB19" s="1483">
        <v>1</v>
      </c>
      <c r="AC19" s="1483">
        <v>1</v>
      </c>
    </row>
    <row r="20" spans="1:29" ht="15">
      <c r="A20" s="492"/>
      <c r="B20" s="537" t="s">
        <v>787</v>
      </c>
      <c r="C20" s="844" t="str">
        <f>IF(B1="工业",估价对象房地状况!G7,估价对象房地状况!C9)</f>
        <v>一般</v>
      </c>
      <c r="D20" s="542">
        <v>100</v>
      </c>
      <c r="E20" s="539" t="s">
        <v>3262</v>
      </c>
      <c r="F20" s="540">
        <f>SUMIF(69:69,E21,70:70)-SUMIF(69:69,C21,70:70)+100</f>
        <v>100</v>
      </c>
      <c r="G20" s="539" t="s">
        <v>3262</v>
      </c>
      <c r="H20" s="536">
        <f>SUMIF(69:69,G21,70:70)-SUMIF(69:69,C21,70:70)+100</f>
        <v>100</v>
      </c>
      <c r="I20" s="539" t="s">
        <v>3262</v>
      </c>
      <c r="J20" s="536">
        <f>SUMIF(69:69,I21,70:70)-SUMIF(69:69,C21,70:70)+100</f>
        <v>100</v>
      </c>
      <c r="K20" s="867">
        <v>1</v>
      </c>
      <c r="L20" s="1994"/>
      <c r="M20" s="1986"/>
      <c r="N20" s="1986"/>
      <c r="O20" s="1993"/>
      <c r="P20" s="3635"/>
      <c r="Q20" s="1479" t="str">
        <f>B20</f>
        <v>自然及人文环境</v>
      </c>
      <c r="R20" s="1480" t="s">
        <v>8</v>
      </c>
      <c r="S20" s="1481">
        <f>F20</f>
        <v>100</v>
      </c>
      <c r="T20" s="1480" t="s">
        <v>8</v>
      </c>
      <c r="U20" s="1481">
        <f>H20</f>
        <v>100</v>
      </c>
      <c r="V20" s="1480" t="s">
        <v>8</v>
      </c>
      <c r="W20" s="1481">
        <f>J20</f>
        <v>100</v>
      </c>
      <c r="X20" s="1474"/>
      <c r="Y20" s="3635"/>
      <c r="Z20" s="1482" t="str">
        <f>Q20</f>
        <v>自然及人文环境</v>
      </c>
      <c r="AA20" s="1483">
        <f t="shared" si="3"/>
        <v>1</v>
      </c>
      <c r="AB20" s="1483">
        <f t="shared" si="4"/>
        <v>1</v>
      </c>
      <c r="AC20" s="1483">
        <f t="shared" si="5"/>
        <v>1</v>
      </c>
    </row>
    <row r="21" spans="1:29" ht="15">
      <c r="A21" s="492"/>
      <c r="B21" s="543"/>
      <c r="C21" s="553" t="s">
        <v>3262</v>
      </c>
      <c r="D21" s="532"/>
      <c r="E21" s="553" t="s">
        <v>3262</v>
      </c>
      <c r="F21" s="534"/>
      <c r="G21" s="553" t="s">
        <v>3262</v>
      </c>
      <c r="H21" s="532"/>
      <c r="I21" s="553" t="s">
        <v>3262</v>
      </c>
      <c r="J21" s="532"/>
      <c r="K21" s="868"/>
      <c r="L21" s="1994"/>
      <c r="M21" s="1986"/>
      <c r="N21" s="1986"/>
      <c r="O21" s="1993"/>
      <c r="P21" s="3635"/>
      <c r="Q21" s="1479"/>
      <c r="R21" s="1480"/>
      <c r="S21" s="1481"/>
      <c r="T21" s="1480"/>
      <c r="U21" s="1481"/>
      <c r="V21" s="1480"/>
      <c r="W21" s="1481"/>
      <c r="X21" s="1474"/>
      <c r="Y21" s="3635"/>
      <c r="Z21" s="1482"/>
      <c r="AA21" s="1483">
        <v>1</v>
      </c>
      <c r="AB21" s="1483">
        <v>1</v>
      </c>
      <c r="AC21" s="1483">
        <v>1</v>
      </c>
    </row>
    <row r="22" spans="1:29" ht="15.75" thickBot="1">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4"/>
      <c r="M22" s="1986"/>
      <c r="N22" s="1986"/>
      <c r="O22" s="1993"/>
      <c r="P22" s="3635"/>
      <c r="Q22" s="1479" t="str">
        <f>B22</f>
        <v>楼层</v>
      </c>
      <c r="R22" s="1480" t="s">
        <v>8</v>
      </c>
      <c r="S22" s="1481">
        <f>F22</f>
        <v>100</v>
      </c>
      <c r="T22" s="1480" t="s">
        <v>8</v>
      </c>
      <c r="U22" s="1481">
        <f>H22</f>
        <v>100</v>
      </c>
      <c r="V22" s="1480" t="s">
        <v>8</v>
      </c>
      <c r="W22" s="1481">
        <f>J22</f>
        <v>100</v>
      </c>
      <c r="X22" s="1474"/>
      <c r="Y22" s="3635"/>
      <c r="Z22" s="1482" t="str">
        <f>Q22</f>
        <v>楼层</v>
      </c>
      <c r="AA22" s="1483">
        <f t="shared" si="3"/>
        <v>1</v>
      </c>
      <c r="AB22" s="1483">
        <f t="shared" si="4"/>
        <v>1</v>
      </c>
      <c r="AC22" s="1483">
        <f t="shared" si="5"/>
        <v>1</v>
      </c>
    </row>
    <row r="23" spans="1:29" ht="15" hidden="1">
      <c r="A23" s="492"/>
      <c r="B23" s="894">
        <v>111</v>
      </c>
      <c r="C23" s="505"/>
      <c r="D23" s="517">
        <v>100</v>
      </c>
      <c r="E23" s="505"/>
      <c r="F23" s="552">
        <f>SUMIF(73:73,E23,74:74)-SUMIF(73:73,C23,74:74)+100</f>
        <v>100</v>
      </c>
      <c r="G23" s="505"/>
      <c r="H23" s="517">
        <f>SUMIF(73:73,G23,74:74)-SUMIF(73:73,C23,74:74)+100</f>
        <v>100</v>
      </c>
      <c r="I23" s="505"/>
      <c r="J23" s="517">
        <f>SUMIF(73:73,I23,74:74)-SUMIF(73:73,C23,74:74)+100</f>
        <v>100</v>
      </c>
      <c r="K23" s="558"/>
      <c r="L23" s="1994"/>
      <c r="M23" s="1986"/>
      <c r="N23" s="1986"/>
      <c r="O23" s="1993"/>
      <c r="P23" s="3635"/>
      <c r="Q23" s="1479">
        <f>B23</f>
        <v>111</v>
      </c>
      <c r="R23" s="1480" t="s">
        <v>8</v>
      </c>
      <c r="S23" s="1481">
        <f>F23</f>
        <v>100</v>
      </c>
      <c r="T23" s="1480" t="s">
        <v>8</v>
      </c>
      <c r="U23" s="1481">
        <f>H23</f>
        <v>100</v>
      </c>
      <c r="V23" s="1480" t="s">
        <v>8</v>
      </c>
      <c r="W23" s="1481">
        <f>J23</f>
        <v>100</v>
      </c>
      <c r="X23" s="1474"/>
      <c r="Y23" s="3635"/>
      <c r="Z23" s="1482">
        <f>Q23</f>
        <v>111</v>
      </c>
      <c r="AA23" s="1483">
        <f t="shared" si="3"/>
        <v>1</v>
      </c>
      <c r="AB23" s="1483">
        <f t="shared" si="4"/>
        <v>1</v>
      </c>
      <c r="AC23" s="1483">
        <f t="shared" si="5"/>
        <v>1</v>
      </c>
    </row>
    <row r="24" spans="1:29" ht="15" hidden="1">
      <c r="A24" s="492"/>
      <c r="B24" s="894">
        <v>111</v>
      </c>
      <c r="C24" s="505"/>
      <c r="D24" s="517">
        <v>100</v>
      </c>
      <c r="E24" s="505"/>
      <c r="F24" s="552">
        <f>SUMIF(75:75,E24,76:76)-SUMIF(75:75,C24,76:76)+100</f>
        <v>100</v>
      </c>
      <c r="G24" s="505"/>
      <c r="H24" s="517">
        <f>SUMIF(75:75,G24,76:76)-SUMIF(75:75,C24,76:76)+100</f>
        <v>100</v>
      </c>
      <c r="I24" s="505"/>
      <c r="J24" s="517">
        <f>SUMIF(75:75,I24,76:76)-SUMIF(75:75,C24,76:76)+100</f>
        <v>100</v>
      </c>
      <c r="K24" s="558"/>
      <c r="L24" s="1994"/>
      <c r="M24" s="1986"/>
      <c r="N24" s="1986"/>
      <c r="O24" s="1993"/>
      <c r="P24" s="3635"/>
      <c r="Q24" s="1479">
        <f t="shared" ref="Q24:Q36" si="11">B24</f>
        <v>111</v>
      </c>
      <c r="R24" s="1480" t="s">
        <v>8</v>
      </c>
      <c r="S24" s="1481">
        <f>F24</f>
        <v>100</v>
      </c>
      <c r="T24" s="1480" t="s">
        <v>8</v>
      </c>
      <c r="U24" s="1481">
        <f>H24</f>
        <v>100</v>
      </c>
      <c r="V24" s="1480" t="s">
        <v>8</v>
      </c>
      <c r="W24" s="1481">
        <f>J24</f>
        <v>100</v>
      </c>
      <c r="X24" s="1474"/>
      <c r="Y24" s="3635"/>
      <c r="Z24" s="1482">
        <f>Q24</f>
        <v>111</v>
      </c>
      <c r="AA24" s="1483">
        <f t="shared" si="3"/>
        <v>1</v>
      </c>
      <c r="AB24" s="1483">
        <f t="shared" si="4"/>
        <v>1</v>
      </c>
      <c r="AC24" s="1483">
        <f t="shared" si="5"/>
        <v>1</v>
      </c>
    </row>
    <row r="25" spans="1:29" s="1183" customFormat="1" ht="15.75" hidden="1" thickBot="1">
      <c r="A25" s="554"/>
      <c r="B25" s="883">
        <v>111</v>
      </c>
      <c r="C25" s="522"/>
      <c r="D25" s="895">
        <v>100</v>
      </c>
      <c r="E25" s="880"/>
      <c r="F25" s="896">
        <f>SUMIF(77:77,E25,78:78)-SUMIF(77:77,C25,78:78)+100</f>
        <v>100</v>
      </c>
      <c r="G25" s="880"/>
      <c r="H25" s="895">
        <f>SUMIF(77:77,G25,78:78)-SUMIF(77:77,C25,78:78)+100</f>
        <v>100</v>
      </c>
      <c r="I25" s="880"/>
      <c r="J25" s="895">
        <f>SUMIF(77:77,I25,78:78)-SUMIF(77:77,C25,78:78)+100</f>
        <v>100</v>
      </c>
      <c r="K25" s="558"/>
      <c r="L25" s="1987"/>
      <c r="M25" s="1988"/>
      <c r="N25" s="1988"/>
      <c r="O25" s="1989"/>
      <c r="P25" s="3635"/>
      <c r="Q25" s="1114">
        <f t="shared" si="11"/>
        <v>111</v>
      </c>
      <c r="R25" s="1475" t="s">
        <v>8</v>
      </c>
      <c r="S25" s="1476">
        <f>F25</f>
        <v>100</v>
      </c>
      <c r="T25" s="1475" t="s">
        <v>8</v>
      </c>
      <c r="U25" s="1476">
        <f>H25</f>
        <v>100</v>
      </c>
      <c r="V25" s="1475" t="s">
        <v>8</v>
      </c>
      <c r="W25" s="1476">
        <f>J25</f>
        <v>100</v>
      </c>
      <c r="X25" s="1477"/>
      <c r="Y25" s="3635"/>
      <c r="Z25" s="1113">
        <f>Q25</f>
        <v>111</v>
      </c>
      <c r="AA25" s="1483">
        <f>D25/F25</f>
        <v>1</v>
      </c>
      <c r="AB25" s="1483">
        <f>D25/H25</f>
        <v>1</v>
      </c>
      <c r="AC25" s="1483">
        <f>D25/J25</f>
        <v>1</v>
      </c>
    </row>
    <row r="26" spans="1:29" ht="15">
      <c r="A26" s="2562" t="s">
        <v>2654</v>
      </c>
      <c r="B26" s="168" t="s">
        <v>789</v>
      </c>
      <c r="C26" s="897" t="str">
        <f>B1</f>
        <v>车库</v>
      </c>
      <c r="D26" s="532">
        <v>100</v>
      </c>
      <c r="E26" s="553" t="s">
        <v>3239</v>
      </c>
      <c r="F26" s="534">
        <f>SUMIF(79:79,E26,80:80)-SUMIF(79:79,C26,80:80)+100</f>
        <v>100</v>
      </c>
      <c r="G26" s="553" t="s">
        <v>3239</v>
      </c>
      <c r="H26" s="532">
        <f>SUMIF(79:79,G26,80:80)-SUMIF(79:79,C26,80:80)+100</f>
        <v>100</v>
      </c>
      <c r="I26" s="553" t="s">
        <v>3239</v>
      </c>
      <c r="J26" s="532">
        <f>SUMIF(79:79,I26,80:80)-SUMIF(79:79,C26,80:80)+100</f>
        <v>100</v>
      </c>
      <c r="K26" s="561"/>
      <c r="L26" s="1994"/>
      <c r="M26" s="1986"/>
      <c r="N26" s="1986"/>
      <c r="O26" s="1993"/>
      <c r="P26" s="3636"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37" t="s">
        <v>533</v>
      </c>
      <c r="Z26" s="1482" t="str">
        <f t="shared" ref="Z26:Z36" si="15">Q26</f>
        <v>配套类型</v>
      </c>
      <c r="AA26" s="1483">
        <f t="shared" si="3"/>
        <v>1</v>
      </c>
      <c r="AB26" s="1483">
        <f t="shared" si="4"/>
        <v>1</v>
      </c>
      <c r="AC26" s="1483">
        <f t="shared" si="5"/>
        <v>1</v>
      </c>
    </row>
    <row r="27" spans="1:29" s="1265" customFormat="1" ht="15">
      <c r="A27" s="898"/>
      <c r="B27" s="559" t="s">
        <v>790</v>
      </c>
      <c r="C27" s="899"/>
      <c r="D27" s="253">
        <v>100</v>
      </c>
      <c r="E27" s="899"/>
      <c r="F27" s="552">
        <f>SUMIF(81:81,E27,82:82)-SUMIF(81:81,C27,82:82)+100</f>
        <v>100</v>
      </c>
      <c r="G27" s="899"/>
      <c r="H27" s="517">
        <f>SUMIF(81:81,G27,82:82)-SUMIF(81:81,C27,82:82)+100</f>
        <v>100</v>
      </c>
      <c r="I27" s="899"/>
      <c r="J27" s="517">
        <f>SUMIF(81:81,I27,82:82)-SUMIF(81:81,C27,82:82)+100</f>
        <v>100</v>
      </c>
      <c r="K27" s="558"/>
      <c r="L27" s="1992"/>
      <c r="M27" s="2022"/>
      <c r="N27" s="2022"/>
      <c r="O27" s="1995"/>
      <c r="P27" s="3637"/>
      <c r="Q27" s="1508" t="str">
        <f t="shared" si="11"/>
        <v>项目停车位配比</v>
      </c>
      <c r="R27" s="1484" t="s">
        <v>8</v>
      </c>
      <c r="S27" s="1485">
        <f t="shared" si="12"/>
        <v>100</v>
      </c>
      <c r="T27" s="1484" t="s">
        <v>8</v>
      </c>
      <c r="U27" s="1485">
        <f t="shared" si="13"/>
        <v>100</v>
      </c>
      <c r="V27" s="1484" t="s">
        <v>8</v>
      </c>
      <c r="W27" s="1485">
        <f t="shared" si="14"/>
        <v>100</v>
      </c>
      <c r="X27" s="1486"/>
      <c r="Y27" s="3637"/>
      <c r="Z27" s="1487" t="str">
        <f t="shared" si="15"/>
        <v>项目停车位配比</v>
      </c>
      <c r="AA27" s="1483">
        <f t="shared" si="3"/>
        <v>1</v>
      </c>
      <c r="AB27" s="1483">
        <f t="shared" si="4"/>
        <v>1</v>
      </c>
      <c r="AC27" s="1483">
        <f t="shared" si="5"/>
        <v>1</v>
      </c>
    </row>
    <row r="28" spans="1:29" ht="15">
      <c r="A28" s="900"/>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4"/>
      <c r="M28" s="1986"/>
      <c r="N28" s="1986"/>
      <c r="O28" s="1993"/>
      <c r="P28" s="3637"/>
      <c r="Q28" s="1479" t="str">
        <f t="shared" si="11"/>
        <v>公共部分装修</v>
      </c>
      <c r="R28" s="1480" t="s">
        <v>8</v>
      </c>
      <c r="S28" s="1481">
        <f t="shared" si="12"/>
        <v>100</v>
      </c>
      <c r="T28" s="1480" t="s">
        <v>8</v>
      </c>
      <c r="U28" s="1481">
        <f t="shared" si="13"/>
        <v>100</v>
      </c>
      <c r="V28" s="1480" t="s">
        <v>8</v>
      </c>
      <c r="W28" s="1481">
        <f t="shared" si="14"/>
        <v>100</v>
      </c>
      <c r="X28" s="1474"/>
      <c r="Y28" s="3637"/>
      <c r="Z28" s="1482" t="str">
        <f t="shared" si="15"/>
        <v>公共部分装修</v>
      </c>
      <c r="AA28" s="1483">
        <f t="shared" si="3"/>
        <v>1</v>
      </c>
      <c r="AB28" s="1483">
        <f t="shared" si="4"/>
        <v>1</v>
      </c>
      <c r="AC28" s="1483">
        <f t="shared" si="5"/>
        <v>1</v>
      </c>
    </row>
    <row r="29" spans="1:29" ht="15">
      <c r="A29" s="900"/>
      <c r="B29" s="559" t="s">
        <v>792</v>
      </c>
      <c r="C29" s="854">
        <v>1</v>
      </c>
      <c r="D29" s="517">
        <v>100</v>
      </c>
      <c r="E29" s="854">
        <v>1</v>
      </c>
      <c r="F29" s="552">
        <f>LOOKUP(E29,86:86,87:87)-LOOKUP(C29,86:86,87:87)+100</f>
        <v>100</v>
      </c>
      <c r="G29" s="854">
        <v>1</v>
      </c>
      <c r="H29" s="552">
        <f>LOOKUP(G29,86:86,87:87)-LOOKUP(C29,86:86,87:87)+100</f>
        <v>100</v>
      </c>
      <c r="I29" s="854">
        <v>1</v>
      </c>
      <c r="J29" s="517">
        <f>LOOKUP(I29,86:86,87:87)-LOOKUP(C29,86:86,87:87)+100</f>
        <v>100</v>
      </c>
      <c r="K29" s="561"/>
      <c r="L29" s="1994"/>
      <c r="M29" s="1986"/>
      <c r="N29" s="1986"/>
      <c r="O29" s="1993"/>
      <c r="P29" s="3637"/>
      <c r="Q29" s="1479" t="str">
        <f t="shared" si="11"/>
        <v>成新率</v>
      </c>
      <c r="R29" s="1480" t="s">
        <v>8</v>
      </c>
      <c r="S29" s="1481">
        <f t="shared" si="12"/>
        <v>100</v>
      </c>
      <c r="T29" s="1480" t="s">
        <v>8</v>
      </c>
      <c r="U29" s="1481">
        <f t="shared" si="13"/>
        <v>100</v>
      </c>
      <c r="V29" s="1480" t="s">
        <v>8</v>
      </c>
      <c r="W29" s="1481">
        <f t="shared" si="14"/>
        <v>100</v>
      </c>
      <c r="X29" s="1474"/>
      <c r="Y29" s="3637"/>
      <c r="Z29" s="1482" t="str">
        <f t="shared" si="15"/>
        <v>成新率</v>
      </c>
      <c r="AA29" s="1483">
        <f t="shared" si="3"/>
        <v>1</v>
      </c>
      <c r="AB29" s="1483">
        <f t="shared" si="4"/>
        <v>1</v>
      </c>
      <c r="AC29" s="1483">
        <f t="shared" si="5"/>
        <v>1</v>
      </c>
    </row>
    <row r="30" spans="1:29" ht="15">
      <c r="A30" s="900"/>
      <c r="B30" s="559" t="s">
        <v>793</v>
      </c>
      <c r="C30" s="901"/>
      <c r="D30" s="517">
        <v>100</v>
      </c>
      <c r="E30" s="901"/>
      <c r="F30" s="552">
        <f>SUMIF(88:88,E30,89:89)-SUMIF(88:88,C30,89:89)+100</f>
        <v>100</v>
      </c>
      <c r="G30" s="901"/>
      <c r="H30" s="517">
        <f>SUMIF(88:88,E30,89:89)-SUMIF(88:88,C30,89:89)+100</f>
        <v>100</v>
      </c>
      <c r="I30" s="901"/>
      <c r="J30" s="517">
        <f>SUMIF(88:88,E30,89:89)-SUMIF(88:88,C30,89:89)+100</f>
        <v>100</v>
      </c>
      <c r="K30" s="561"/>
      <c r="L30" s="1994"/>
      <c r="M30" s="1986"/>
      <c r="N30" s="1986"/>
      <c r="O30" s="1993"/>
      <c r="P30" s="3637"/>
      <c r="Q30" s="1479" t="str">
        <f t="shared" si="11"/>
        <v>物业等级</v>
      </c>
      <c r="R30" s="1480" t="s">
        <v>8</v>
      </c>
      <c r="S30" s="1481">
        <f t="shared" si="12"/>
        <v>100</v>
      </c>
      <c r="T30" s="1480" t="s">
        <v>8</v>
      </c>
      <c r="U30" s="1481">
        <f t="shared" si="13"/>
        <v>100</v>
      </c>
      <c r="V30" s="1480" t="s">
        <v>8</v>
      </c>
      <c r="W30" s="1481">
        <f t="shared" si="14"/>
        <v>100</v>
      </c>
      <c r="X30" s="1474"/>
      <c r="Y30" s="3637"/>
      <c r="Z30" s="1482" t="str">
        <f t="shared" si="15"/>
        <v>物业等级</v>
      </c>
      <c r="AA30" s="1483">
        <f t="shared" si="3"/>
        <v>1</v>
      </c>
      <c r="AB30" s="1483">
        <f t="shared" si="4"/>
        <v>1</v>
      </c>
      <c r="AC30" s="1483">
        <f t="shared" si="5"/>
        <v>1</v>
      </c>
    </row>
    <row r="31" spans="1:29" s="1183" customFormat="1" ht="15">
      <c r="A31" s="902"/>
      <c r="B31" s="559" t="s">
        <v>794</v>
      </c>
      <c r="C31" s="851">
        <f>ROUND(指标!B11/指标!D26,0)</f>
        <v>49</v>
      </c>
      <c r="D31" s="253">
        <v>100</v>
      </c>
      <c r="E31" s="851">
        <f>案例!D7</f>
        <v>28</v>
      </c>
      <c r="F31" s="552">
        <f>LOOKUP(E31,91:91,92:92)-LOOKUP(C31,91:91,92:92)+100</f>
        <v>99</v>
      </c>
      <c r="G31" s="851">
        <f>案例!D8</f>
        <v>30</v>
      </c>
      <c r="H31" s="517">
        <f>LOOKUP(G31,91:91,92:92)-LOOKUP(C31,91:91,92:92)+100</f>
        <v>100</v>
      </c>
      <c r="I31" s="851">
        <f>案例!D9</f>
        <v>32</v>
      </c>
      <c r="J31" s="517">
        <f>LOOKUP(I31,91:91,92:92)-LOOKUP(C31,91:91,92:92)+100</f>
        <v>100</v>
      </c>
      <c r="K31" s="561"/>
      <c r="L31" s="1987"/>
      <c r="M31" s="1988"/>
      <c r="N31" s="1988"/>
      <c r="O31" s="1989"/>
      <c r="P31" s="3637"/>
      <c r="Q31" s="1114" t="str">
        <f t="shared" si="11"/>
        <v>停车位面积</v>
      </c>
      <c r="R31" s="1475" t="s">
        <v>8</v>
      </c>
      <c r="S31" s="1476">
        <f t="shared" si="12"/>
        <v>99</v>
      </c>
      <c r="T31" s="1475" t="s">
        <v>8</v>
      </c>
      <c r="U31" s="1476">
        <f t="shared" si="13"/>
        <v>100</v>
      </c>
      <c r="V31" s="1475" t="s">
        <v>8</v>
      </c>
      <c r="W31" s="1476">
        <f t="shared" si="14"/>
        <v>100</v>
      </c>
      <c r="X31" s="1477"/>
      <c r="Y31" s="3637"/>
      <c r="Z31" s="1113" t="str">
        <f t="shared" si="15"/>
        <v>停车位面积</v>
      </c>
      <c r="AA31" s="1478">
        <f t="shared" si="3"/>
        <v>1.0101010101010102</v>
      </c>
      <c r="AB31" s="1478">
        <f t="shared" si="4"/>
        <v>1</v>
      </c>
      <c r="AC31" s="1478">
        <f t="shared" si="5"/>
        <v>1</v>
      </c>
    </row>
    <row r="32" spans="1:29" ht="15">
      <c r="A32" s="900"/>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4"/>
      <c r="M32" s="1986"/>
      <c r="N32" s="1986"/>
      <c r="O32" s="1993"/>
      <c r="P32" s="3637" t="s">
        <v>533</v>
      </c>
      <c r="Q32" s="1479" t="str">
        <f t="shared" si="11"/>
        <v>车位类型</v>
      </c>
      <c r="R32" s="1480" t="s">
        <v>8</v>
      </c>
      <c r="S32" s="1481">
        <f t="shared" si="12"/>
        <v>100</v>
      </c>
      <c r="T32" s="1480" t="s">
        <v>8</v>
      </c>
      <c r="U32" s="1481">
        <f t="shared" si="13"/>
        <v>100</v>
      </c>
      <c r="V32" s="1480" t="s">
        <v>8</v>
      </c>
      <c r="W32" s="1481">
        <f t="shared" si="14"/>
        <v>100</v>
      </c>
      <c r="X32" s="1474"/>
      <c r="Y32" s="3637" t="s">
        <v>533</v>
      </c>
      <c r="Z32" s="1482" t="str">
        <f t="shared" si="15"/>
        <v>车位类型</v>
      </c>
      <c r="AA32" s="1483">
        <f t="shared" si="3"/>
        <v>1</v>
      </c>
      <c r="AB32" s="1483">
        <f t="shared" si="4"/>
        <v>1</v>
      </c>
      <c r="AC32" s="1483">
        <f t="shared" si="5"/>
        <v>1</v>
      </c>
    </row>
    <row r="33" spans="1:29" ht="15.75" thickBot="1">
      <c r="A33" s="900"/>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4"/>
      <c r="M33" s="1986"/>
      <c r="N33" s="1986"/>
      <c r="O33" s="1993"/>
      <c r="P33" s="3637"/>
      <c r="Q33" s="1479" t="str">
        <f t="shared" si="11"/>
        <v>是否直接入户</v>
      </c>
      <c r="R33" s="1480" t="s">
        <v>8</v>
      </c>
      <c r="S33" s="1481">
        <f t="shared" si="12"/>
        <v>100</v>
      </c>
      <c r="T33" s="1480" t="s">
        <v>8</v>
      </c>
      <c r="U33" s="1481">
        <f t="shared" si="13"/>
        <v>100</v>
      </c>
      <c r="V33" s="1480" t="s">
        <v>8</v>
      </c>
      <c r="W33" s="1481">
        <f t="shared" si="14"/>
        <v>100</v>
      </c>
      <c r="X33" s="1474"/>
      <c r="Y33" s="3637"/>
      <c r="Z33" s="1482" t="str">
        <f t="shared" si="15"/>
        <v>是否直接入户</v>
      </c>
      <c r="AA33" s="1483">
        <f t="shared" si="3"/>
        <v>1</v>
      </c>
      <c r="AB33" s="1483">
        <f t="shared" si="4"/>
        <v>1</v>
      </c>
      <c r="AC33" s="1483">
        <f t="shared" si="5"/>
        <v>1</v>
      </c>
    </row>
    <row r="34" spans="1:29" ht="15" hidden="1">
      <c r="A34" s="900"/>
      <c r="B34" s="894">
        <v>111</v>
      </c>
      <c r="C34" s="505"/>
      <c r="D34" s="517">
        <v>100</v>
      </c>
      <c r="E34" s="505"/>
      <c r="F34" s="552">
        <f>SUMIF(97:97,E34,98:98)-SUMIF(97:97,C34,98:98)+100</f>
        <v>100</v>
      </c>
      <c r="G34" s="505"/>
      <c r="H34" s="517">
        <f>SUMIF(97:97,G34,98:98)-SUMIF(97:97,C34,98:98)+100</f>
        <v>100</v>
      </c>
      <c r="I34" s="505"/>
      <c r="J34" s="517">
        <f>SUMIF(97:97,I34,98:98)-SUMIF(97:97,C34,98:98)+100</f>
        <v>100</v>
      </c>
      <c r="K34" s="558"/>
      <c r="L34" s="1994"/>
      <c r="M34" s="1986"/>
      <c r="N34" s="1986"/>
      <c r="O34" s="1993"/>
      <c r="P34" s="3637"/>
      <c r="Q34" s="1479">
        <f t="shared" si="11"/>
        <v>111</v>
      </c>
      <c r="R34" s="1480" t="s">
        <v>8</v>
      </c>
      <c r="S34" s="1481">
        <f t="shared" si="12"/>
        <v>100</v>
      </c>
      <c r="T34" s="1480" t="s">
        <v>8</v>
      </c>
      <c r="U34" s="1481">
        <f t="shared" si="13"/>
        <v>100</v>
      </c>
      <c r="V34" s="1480" t="s">
        <v>8</v>
      </c>
      <c r="W34" s="1481">
        <f t="shared" si="14"/>
        <v>100</v>
      </c>
      <c r="X34" s="1474"/>
      <c r="Y34" s="3637"/>
      <c r="Z34" s="1482">
        <f t="shared" si="15"/>
        <v>111</v>
      </c>
      <c r="AA34" s="1483">
        <f t="shared" si="3"/>
        <v>1</v>
      </c>
      <c r="AB34" s="1483">
        <f t="shared" si="4"/>
        <v>1</v>
      </c>
      <c r="AC34" s="1483">
        <f t="shared" si="5"/>
        <v>1</v>
      </c>
    </row>
    <row r="35" spans="1:29" s="1265" customFormat="1" ht="15" hidden="1">
      <c r="A35" s="898"/>
      <c r="B35" s="894">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2"/>
      <c r="M35" s="2022"/>
      <c r="N35" s="2022"/>
      <c r="O35" s="1995"/>
      <c r="P35" s="3637"/>
      <c r="Q35" s="1508">
        <f t="shared" si="11"/>
        <v>111</v>
      </c>
      <c r="R35" s="1484" t="s">
        <v>8</v>
      </c>
      <c r="S35" s="1485">
        <f t="shared" si="12"/>
        <v>100</v>
      </c>
      <c r="T35" s="1484" t="s">
        <v>8</v>
      </c>
      <c r="U35" s="1485">
        <f t="shared" si="13"/>
        <v>100</v>
      </c>
      <c r="V35" s="1484" t="s">
        <v>8</v>
      </c>
      <c r="W35" s="1485">
        <f t="shared" si="14"/>
        <v>100</v>
      </c>
      <c r="X35" s="1486"/>
      <c r="Y35" s="3637"/>
      <c r="Z35" s="1487">
        <f t="shared" si="15"/>
        <v>111</v>
      </c>
      <c r="AA35" s="1483">
        <f t="shared" si="3"/>
        <v>1</v>
      </c>
      <c r="AB35" s="1483">
        <f t="shared" si="4"/>
        <v>1</v>
      </c>
      <c r="AC35" s="1483">
        <f t="shared" si="5"/>
        <v>1</v>
      </c>
    </row>
    <row r="36" spans="1:29" ht="15.75" hidden="1" thickBot="1">
      <c r="A36" s="903"/>
      <c r="B36" s="883">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4"/>
      <c r="M36" s="1986"/>
      <c r="N36" s="1986"/>
      <c r="O36" s="1993"/>
      <c r="P36" s="3637"/>
      <c r="Q36" s="1479">
        <f t="shared" si="11"/>
        <v>111</v>
      </c>
      <c r="R36" s="1480" t="s">
        <v>8</v>
      </c>
      <c r="S36" s="1481">
        <f t="shared" si="12"/>
        <v>100</v>
      </c>
      <c r="T36" s="1480" t="s">
        <v>8</v>
      </c>
      <c r="U36" s="1481">
        <f t="shared" si="13"/>
        <v>100</v>
      </c>
      <c r="V36" s="1480" t="s">
        <v>8</v>
      </c>
      <c r="W36" s="1481">
        <f t="shared" si="14"/>
        <v>100</v>
      </c>
      <c r="X36" s="1474"/>
      <c r="Y36" s="3637"/>
      <c r="Z36" s="1482">
        <f t="shared" si="15"/>
        <v>111</v>
      </c>
      <c r="AA36" s="1483">
        <f t="shared" si="3"/>
        <v>1</v>
      </c>
      <c r="AB36" s="1483">
        <f t="shared" si="4"/>
        <v>1</v>
      </c>
      <c r="AC36" s="1483">
        <f t="shared" si="5"/>
        <v>1</v>
      </c>
    </row>
    <row r="37" spans="1:29" ht="15">
      <c r="A37" s="1731" t="s">
        <v>2051</v>
      </c>
      <c r="B37" s="1732" t="s">
        <v>3327</v>
      </c>
      <c r="C37" s="2408" t="s">
        <v>1</v>
      </c>
      <c r="D37" s="2409"/>
      <c r="E37" s="2410">
        <f>案例!C7*10000</f>
        <v>275500</v>
      </c>
      <c r="F37" s="2411"/>
      <c r="G37" s="2412">
        <f>案例!C8*10000</f>
        <v>250000</v>
      </c>
      <c r="H37" s="2413"/>
      <c r="I37" s="2410">
        <f>案例!C9*10000</f>
        <v>280000</v>
      </c>
      <c r="J37" s="2413"/>
      <c r="K37" s="1513"/>
      <c r="L37" s="1996"/>
      <c r="M37" s="1997"/>
      <c r="N37" s="1986"/>
      <c r="O37" s="1997"/>
      <c r="P37" s="3632" t="str">
        <f>A37</f>
        <v>成交单价</v>
      </c>
      <c r="Q37" s="3632"/>
      <c r="R37" s="3718">
        <f>E37</f>
        <v>275500</v>
      </c>
      <c r="S37" s="3718"/>
      <c r="T37" s="3718">
        <f>G37</f>
        <v>250000</v>
      </c>
      <c r="U37" s="3718"/>
      <c r="V37" s="3718">
        <f>I37</f>
        <v>280000</v>
      </c>
      <c r="W37" s="3718"/>
      <c r="X37" s="1469"/>
      <c r="Y37" s="1488"/>
      <c r="Z37" s="1469"/>
      <c r="AA37" s="1469"/>
      <c r="AB37" s="1469"/>
      <c r="AC37" s="1469"/>
    </row>
    <row r="38" spans="1:29" ht="15.75" thickBot="1">
      <c r="A38" s="592" t="s">
        <v>2659</v>
      </c>
      <c r="B38" s="857"/>
      <c r="C38" s="2414">
        <f>R39</f>
        <v>266760</v>
      </c>
      <c r="D38" s="2948" t="s">
        <v>2881</v>
      </c>
      <c r="E38" s="2415">
        <f>R38</f>
        <v>275528</v>
      </c>
      <c r="F38" s="2949"/>
      <c r="G38" s="2414">
        <f>T38</f>
        <v>247525</v>
      </c>
      <c r="H38" s="2949"/>
      <c r="I38" s="2415">
        <f>V38</f>
        <v>277228</v>
      </c>
      <c r="J38" s="2949"/>
      <c r="K38" s="2957">
        <f>F38+H38+J38</f>
        <v>0</v>
      </c>
      <c r="L38" s="1996"/>
      <c r="M38" s="1997"/>
      <c r="N38" s="1997"/>
      <c r="O38" s="1997"/>
      <c r="P38" s="3632" t="str">
        <f>A38</f>
        <v>比较价格（元/平方米）</v>
      </c>
      <c r="Q38" s="3632"/>
      <c r="R38" s="3718">
        <f>IF(F1="售价",ROUND(PRODUCT(R37,AA7:AA36),0),ROUND(PRODUCT(R37,AA7:AA36),1))</f>
        <v>275528</v>
      </c>
      <c r="S38" s="3718"/>
      <c r="T38" s="3718">
        <f>IF(F1="售价",ROUND(PRODUCT(T37,AB7:AB36),0),ROUND(PRODUCT(T37,AB7:AB36),1))</f>
        <v>247525</v>
      </c>
      <c r="U38" s="3718"/>
      <c r="V38" s="3718">
        <f>IF(F1="售价",ROUND(PRODUCT(V37,AC7:AC36),0),ROUND(PRODUCT(V37,AC7:AC36),1))</f>
        <v>277228</v>
      </c>
      <c r="W38" s="3718"/>
      <c r="X38" s="1469"/>
      <c r="Y38" s="1469"/>
      <c r="Z38" s="1469"/>
      <c r="AA38" s="1469"/>
      <c r="AB38" s="1469"/>
      <c r="AC38" s="1469"/>
    </row>
    <row r="39" spans="1:29" ht="15.75" thickBot="1">
      <c r="A39" s="596" t="s">
        <v>2814</v>
      </c>
      <c r="B39" s="597"/>
      <c r="C39" s="2416">
        <f>R39</f>
        <v>266760</v>
      </c>
      <c r="D39" s="2416"/>
      <c r="E39" s="2416"/>
      <c r="F39" s="2416"/>
      <c r="G39" s="2416"/>
      <c r="H39" s="2416"/>
      <c r="I39" s="2416"/>
      <c r="J39" s="2416"/>
      <c r="K39" s="1514"/>
      <c r="L39" s="1996"/>
      <c r="M39" s="1997"/>
      <c r="N39" s="1997"/>
      <c r="O39" s="1997"/>
      <c r="P39" s="3653" t="str">
        <f>A39</f>
        <v>估价对象XX用房的比较价格（楼面单价，元/平方米）</v>
      </c>
      <c r="Q39" s="3654"/>
      <c r="R39" s="3717">
        <f>IF(F1="售价",ROUND(IF(D38="简单平均",AVERAGE(R38:W38),R38*F38+T38*H38+V38*J38),0),ROUND(IF(D38="简单平均",AVERAGE(R38:V38),R38*F38+T38*H38+V38*J38),1))</f>
        <v>266760</v>
      </c>
      <c r="S39" s="3717"/>
      <c r="T39" s="3717"/>
      <c r="U39" s="3717"/>
      <c r="V39" s="3717"/>
      <c r="W39" s="3717"/>
      <c r="X39" s="1469"/>
      <c r="Y39" s="1469"/>
      <c r="Z39" s="1469"/>
      <c r="AA39" s="1469"/>
      <c r="AB39" s="1469"/>
      <c r="AC39" s="1469"/>
    </row>
    <row r="40" spans="1:29">
      <c r="A40" s="3146"/>
      <c r="B40" s="3146"/>
      <c r="C40" s="3146"/>
      <c r="D40" s="3146"/>
      <c r="E40" s="3146"/>
      <c r="F40" s="3146"/>
      <c r="G40" s="3148"/>
      <c r="H40" s="3146"/>
      <c r="I40" s="3146"/>
      <c r="J40" s="3146"/>
      <c r="K40" s="3149"/>
      <c r="L40" s="2001"/>
      <c r="M40" s="1997"/>
      <c r="N40" s="1997"/>
      <c r="O40" s="1997"/>
      <c r="P40" s="1997"/>
      <c r="Q40" s="1997"/>
      <c r="R40" s="1997"/>
      <c r="S40" s="1997"/>
      <c r="T40" s="1997"/>
      <c r="U40" s="1997"/>
      <c r="V40" s="1997"/>
      <c r="W40" s="1997"/>
      <c r="X40" s="1997"/>
      <c r="Y40" s="1997"/>
      <c r="Z40" s="1997"/>
      <c r="AA40" s="1997"/>
      <c r="AB40" s="1997"/>
      <c r="AC40" s="1997"/>
    </row>
    <row r="41" spans="1:29">
      <c r="A41" s="3146"/>
      <c r="B41" s="3146"/>
      <c r="C41" s="3146"/>
      <c r="D41" s="3146"/>
      <c r="E41" s="3146"/>
      <c r="F41" s="3146"/>
      <c r="G41" s="3146"/>
      <c r="H41" s="3146"/>
      <c r="I41" s="3146"/>
      <c r="J41" s="3146"/>
      <c r="K41" s="314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46"/>
      <c r="B42" s="3146"/>
      <c r="C42" s="599" t="s">
        <v>540</v>
      </c>
      <c r="D42" s="600"/>
      <c r="E42" s="601">
        <f>IF(E37&lt;E38,E38/E37-1,E37/E38-1)</f>
        <v>1.0163339382929237E-4</v>
      </c>
      <c r="F42" s="602" t="str">
        <f>IF(OR(E42&gt;=0.3,E42&lt;=-0.3),"超过30%","")</f>
        <v/>
      </c>
      <c r="G42" s="601">
        <f>IF(G37&lt;G38,G38/G37-1,G37/G38-1)</f>
        <v>9.9989900010100108E-3</v>
      </c>
      <c r="H42" s="602" t="str">
        <f>IF(OR(G42&gt;=0.3,G42&lt;=-0.3),"超过30%","")</f>
        <v/>
      </c>
      <c r="I42" s="601">
        <f>IF(I37&lt;I38,I38/I37-1,I37/I38-1)</f>
        <v>9.9989900010100108E-3</v>
      </c>
      <c r="J42" s="602" t="str">
        <f>IF(OR(I42&gt;=0.3,I42&lt;=-0.3),"超过30%","")</f>
        <v/>
      </c>
      <c r="K42" s="314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46"/>
      <c r="B43" s="3146"/>
      <c r="C43" s="599" t="s">
        <v>541</v>
      </c>
      <c r="D43" s="603"/>
      <c r="E43" s="601">
        <f>IF(E38&lt;G38,G38/E38-1,E38/G38-1)</f>
        <v>0.11313200686799307</v>
      </c>
      <c r="F43" s="602" t="str">
        <f>IF(OR(E43&gt;=0.2,E43&lt;=-0.2),"超过20%","")</f>
        <v/>
      </c>
      <c r="G43" s="601">
        <f>IF(G38&lt;I38,I38/G38-1,G38/I38-1)</f>
        <v>0.12000000000000011</v>
      </c>
      <c r="H43" s="602" t="str">
        <f>IF(OR(G43&gt;=0.2,G43&lt;=-0.2),"超过20%","")</f>
        <v/>
      </c>
      <c r="I43" s="601">
        <f>IF(I38&lt;E38,E38/I38-1,I38/E38-1)</f>
        <v>6.1699718358931843E-3</v>
      </c>
      <c r="J43" s="602" t="str">
        <f>IF(OR(I43&gt;=0.2,I43&lt;=-0.2),"超过20%","")</f>
        <v/>
      </c>
      <c r="K43" s="3149"/>
      <c r="L43" s="2001"/>
      <c r="M43" s="1997"/>
      <c r="N43" s="1997"/>
      <c r="O43" s="1997"/>
      <c r="P43" s="1997"/>
      <c r="Q43" s="1997"/>
      <c r="R43" s="1997"/>
      <c r="S43" s="1997"/>
      <c r="T43" s="1997"/>
      <c r="U43" s="1997"/>
      <c r="V43" s="1997"/>
      <c r="W43" s="1997"/>
      <c r="X43" s="1997"/>
      <c r="Y43" s="1997"/>
      <c r="Z43" s="1997"/>
      <c r="AA43" s="1997"/>
      <c r="AB43" s="1997"/>
      <c r="AC43" s="1997"/>
    </row>
    <row r="44" spans="1:29" s="1270" customFormat="1" ht="13.5" customHeight="1">
      <c r="A44" s="3147"/>
      <c r="B44" s="3147"/>
      <c r="C44" s="599" t="s">
        <v>542</v>
      </c>
      <c r="D44" s="603"/>
      <c r="E44" s="601">
        <f>IF(E37&lt;G37,G37/E37-1,E37/G37-1)</f>
        <v>0.10200000000000009</v>
      </c>
      <c r="F44" s="602" t="str">
        <f>IF(OR(E44&gt;=0.3,E44&lt;=-0.3),"超过30%","")</f>
        <v/>
      </c>
      <c r="G44" s="601">
        <f>IF(G37&lt;I37,I37/G37-1,G37/I37-1)</f>
        <v>0.12000000000000011</v>
      </c>
      <c r="H44" s="602" t="str">
        <f>IF(OR(G44&gt;=0.3,G44&lt;=-0.3),"超过30%","")</f>
        <v/>
      </c>
      <c r="I44" s="601">
        <f>IF(I37&lt;E37,E37/I37-1,I37/E37-1)</f>
        <v>1.6333938294010864E-2</v>
      </c>
      <c r="J44" s="602" t="str">
        <f>IF(OR(I44&gt;=0.3,I44&lt;=-0.3),"超过30%","")</f>
        <v/>
      </c>
      <c r="K44" s="3150"/>
      <c r="L44" s="2004"/>
      <c r="M44" s="1998"/>
      <c r="N44" s="1998"/>
      <c r="O44" s="1998"/>
      <c r="P44" s="1998"/>
      <c r="Q44" s="1998"/>
      <c r="R44" s="1998"/>
      <c r="S44" s="1998"/>
      <c r="T44" s="1998"/>
      <c r="U44" s="1998"/>
      <c r="V44" s="1998"/>
      <c r="W44" s="1998"/>
      <c r="X44" s="1998"/>
      <c r="Y44" s="1998"/>
      <c r="Z44" s="1998"/>
      <c r="AA44" s="1998"/>
      <c r="AB44" s="1998"/>
      <c r="AC44" s="1998"/>
    </row>
    <row r="45" spans="1:29" s="1270"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1" t="s">
        <v>557</v>
      </c>
      <c r="B47" s="1469"/>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2" customFormat="1" ht="15">
      <c r="A48" s="620" t="s">
        <v>512</v>
      </c>
      <c r="B48" s="621"/>
      <c r="C48" s="2457" t="str">
        <f>YEAR(C7)&amp;"-"&amp;MONTH(C7)</f>
        <v>2022-3</v>
      </c>
      <c r="D48" s="2459">
        <f>EDATE(C48,-1)</f>
        <v>44593</v>
      </c>
      <c r="E48" s="2459">
        <f t="shared" ref="E48:O48" si="16">EDATE(D48,-1)</f>
        <v>44562</v>
      </c>
      <c r="F48" s="2459">
        <f t="shared" si="16"/>
        <v>44531</v>
      </c>
      <c r="G48" s="2459">
        <f t="shared" si="16"/>
        <v>44501</v>
      </c>
      <c r="H48" s="2459">
        <f t="shared" si="16"/>
        <v>44470</v>
      </c>
      <c r="I48" s="2459">
        <f t="shared" si="16"/>
        <v>44440</v>
      </c>
      <c r="J48" s="2459">
        <f t="shared" si="16"/>
        <v>44409</v>
      </c>
      <c r="K48" s="2459">
        <f t="shared" si="16"/>
        <v>44378</v>
      </c>
      <c r="L48" s="2459">
        <f t="shared" si="16"/>
        <v>44348</v>
      </c>
      <c r="M48" s="2459">
        <f t="shared" si="16"/>
        <v>44317</v>
      </c>
      <c r="N48" s="2459">
        <f t="shared" si="16"/>
        <v>44287</v>
      </c>
      <c r="O48" s="2459">
        <f t="shared" si="16"/>
        <v>44256</v>
      </c>
      <c r="P48" s="2011"/>
      <c r="Q48" s="2012"/>
      <c r="R48" s="2012"/>
      <c r="S48" s="2012"/>
      <c r="T48" s="2012"/>
      <c r="U48" s="2012"/>
      <c r="V48" s="2012"/>
      <c r="W48" s="2012"/>
      <c r="X48" s="2012"/>
      <c r="Y48" s="2012"/>
      <c r="Z48" s="2012"/>
      <c r="AA48" s="2012"/>
      <c r="AB48" s="2012"/>
      <c r="AC48" s="2012"/>
    </row>
    <row r="49" spans="1:29" s="1183" customFormat="1" ht="15">
      <c r="A49" s="622"/>
      <c r="B49" s="623"/>
      <c r="C49" s="2458">
        <v>100</v>
      </c>
      <c r="D49" s="625"/>
      <c r="E49" s="625"/>
      <c r="F49" s="625"/>
      <c r="G49" s="625"/>
      <c r="H49" s="625"/>
      <c r="I49" s="625"/>
      <c r="J49" s="625"/>
      <c r="K49" s="625"/>
      <c r="L49" s="625"/>
      <c r="M49" s="626"/>
      <c r="N49" s="625"/>
      <c r="O49" s="627"/>
      <c r="P49" s="2009"/>
      <c r="Q49" s="1875"/>
      <c r="R49" s="1875"/>
      <c r="S49" s="1875"/>
      <c r="T49" s="1875"/>
      <c r="U49" s="1875"/>
      <c r="V49" s="1875"/>
      <c r="W49" s="1875"/>
      <c r="X49" s="1875"/>
      <c r="Y49" s="1875"/>
      <c r="Z49" s="1875"/>
      <c r="AA49" s="1875"/>
      <c r="AB49" s="1875"/>
      <c r="AC49" s="1875"/>
    </row>
    <row r="50" spans="1:29" s="1183" customFormat="1" ht="15.75" thickBot="1">
      <c r="A50" s="628" t="s">
        <v>558</v>
      </c>
      <c r="B50" s="629"/>
      <c r="C50" s="630"/>
      <c r="D50" s="631"/>
      <c r="E50" s="631"/>
      <c r="F50" s="631"/>
      <c r="G50" s="631"/>
      <c r="H50" s="631"/>
      <c r="I50" s="631"/>
      <c r="J50" s="631"/>
      <c r="K50" s="631"/>
      <c r="L50" s="631"/>
      <c r="M50" s="632"/>
      <c r="N50" s="631"/>
      <c r="O50" s="633"/>
      <c r="P50" s="2009"/>
      <c r="Q50" s="2009"/>
      <c r="R50" s="1875"/>
      <c r="S50" s="1875"/>
      <c r="T50" s="1875"/>
      <c r="U50" s="1875"/>
      <c r="V50" s="1875"/>
      <c r="W50" s="1875"/>
      <c r="X50" s="1875"/>
      <c r="Y50" s="1875"/>
      <c r="Z50" s="1875"/>
      <c r="AA50" s="1875"/>
      <c r="AB50" s="1875"/>
      <c r="AC50" s="1875"/>
    </row>
    <row r="51" spans="1:29" s="1183" customFormat="1" ht="15">
      <c r="A51" s="634" t="s">
        <v>514</v>
      </c>
      <c r="B51" s="623"/>
      <c r="C51" s="635" t="s">
        <v>559</v>
      </c>
      <c r="D51" s="636"/>
      <c r="E51" s="636"/>
      <c r="F51" s="636"/>
      <c r="G51" s="636"/>
      <c r="H51" s="636"/>
      <c r="I51" s="636"/>
      <c r="J51" s="636"/>
      <c r="K51" s="636"/>
      <c r="L51" s="637"/>
      <c r="M51" s="638"/>
      <c r="N51" s="2013"/>
      <c r="O51" s="2013"/>
      <c r="P51" s="2014"/>
      <c r="Q51" s="2009"/>
      <c r="R51" s="1875"/>
      <c r="S51" s="1875"/>
      <c r="T51" s="1875"/>
      <c r="U51" s="1875"/>
      <c r="V51" s="1875"/>
      <c r="W51" s="1875"/>
      <c r="X51" s="1875"/>
      <c r="Y51" s="1875"/>
      <c r="Z51" s="1875"/>
      <c r="AA51" s="1875"/>
      <c r="AB51" s="1875"/>
      <c r="AC51" s="1875"/>
    </row>
    <row r="52" spans="1:29" s="1183" customFormat="1" ht="15.75" thickBot="1">
      <c r="A52" s="634"/>
      <c r="B52" s="623"/>
      <c r="C52" s="624">
        <v>100</v>
      </c>
      <c r="D52" s="625"/>
      <c r="E52" s="625"/>
      <c r="F52" s="625"/>
      <c r="G52" s="625"/>
      <c r="H52" s="625"/>
      <c r="I52" s="625"/>
      <c r="J52" s="625"/>
      <c r="K52" s="625"/>
      <c r="L52" s="625"/>
      <c r="M52" s="627"/>
      <c r="N52" s="2013"/>
      <c r="O52" s="2013"/>
      <c r="P52" s="2009"/>
      <c r="Q52" s="2009"/>
      <c r="R52" s="1875"/>
      <c r="S52" s="1875"/>
      <c r="T52" s="1875"/>
      <c r="U52" s="1875"/>
      <c r="V52" s="1875"/>
      <c r="W52" s="1875"/>
      <c r="X52" s="1875"/>
      <c r="Y52" s="1875"/>
      <c r="Z52" s="1875"/>
      <c r="AA52" s="1875"/>
      <c r="AB52" s="1875"/>
      <c r="AC52" s="1875"/>
    </row>
    <row r="53" spans="1:29">
      <c r="A53" s="639" t="s">
        <v>560</v>
      </c>
      <c r="B53" s="640" t="s">
        <v>517</v>
      </c>
      <c r="C53" s="679" t="str">
        <f>C9</f>
        <v>地下车库</v>
      </c>
      <c r="D53" s="575"/>
      <c r="E53" s="575"/>
      <c r="F53" s="575"/>
      <c r="G53" s="575"/>
      <c r="H53" s="575"/>
      <c r="I53" s="575"/>
      <c r="J53" s="575"/>
      <c r="K53" s="641"/>
      <c r="L53" s="642"/>
      <c r="M53" s="643"/>
      <c r="N53" s="2015"/>
      <c r="O53" s="2015"/>
      <c r="P53" s="2016"/>
      <c r="Q53" s="2009"/>
      <c r="R53" s="1997"/>
      <c r="S53" s="1997"/>
      <c r="T53" s="1997"/>
      <c r="U53" s="1997"/>
      <c r="V53" s="1997"/>
      <c r="W53" s="1997"/>
      <c r="X53" s="1997"/>
      <c r="Y53" s="1997"/>
      <c r="Z53" s="1997"/>
      <c r="AA53" s="1997"/>
      <c r="AB53" s="1997"/>
      <c r="AC53" s="1997"/>
    </row>
    <row r="54" spans="1:29" ht="15.75" thickBot="1">
      <c r="A54" s="644"/>
      <c r="B54" s="645"/>
      <c r="C54" s="646"/>
      <c r="D54" s="646"/>
      <c r="E54" s="646"/>
      <c r="F54" s="646"/>
      <c r="G54" s="646"/>
      <c r="H54" s="646"/>
      <c r="I54" s="646"/>
      <c r="J54" s="646"/>
      <c r="K54" s="646"/>
      <c r="L54" s="646"/>
      <c r="M54" s="647"/>
      <c r="N54" s="2017"/>
      <c r="O54" s="2017"/>
      <c r="P54" s="2016"/>
      <c r="Q54" s="2009"/>
      <c r="R54" s="1997"/>
      <c r="S54" s="1997"/>
      <c r="T54" s="1997"/>
      <c r="U54" s="1997"/>
      <c r="V54" s="1997"/>
      <c r="W54" s="1997"/>
      <c r="X54" s="1997"/>
      <c r="Y54" s="1997"/>
      <c r="Z54" s="1997"/>
      <c r="AA54" s="1997"/>
      <c r="AB54" s="1997"/>
      <c r="AC54" s="1997"/>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5"/>
      <c r="O55" s="2015"/>
      <c r="P55" s="2016"/>
      <c r="Q55" s="2009"/>
      <c r="R55" s="1997"/>
      <c r="S55" s="1997"/>
      <c r="T55" s="1997"/>
      <c r="U55" s="1997"/>
      <c r="V55" s="1997"/>
      <c r="W55" s="1997"/>
      <c r="X55" s="1997"/>
      <c r="Y55" s="1997"/>
      <c r="Z55" s="1997"/>
      <c r="AA55" s="1997"/>
      <c r="AB55" s="1997"/>
      <c r="AC55" s="1997"/>
    </row>
    <row r="56" spans="1:29" ht="15.75" thickBot="1">
      <c r="A56" s="644"/>
      <c r="B56" s="653"/>
      <c r="C56" s="654" t="s">
        <v>14</v>
      </c>
      <c r="D56" s="654" t="s">
        <v>15</v>
      </c>
      <c r="E56" s="654">
        <v>100</v>
      </c>
      <c r="F56" s="654">
        <f>E56-$K10</f>
        <v>99</v>
      </c>
      <c r="G56" s="654">
        <f>F56-$K10</f>
        <v>98</v>
      </c>
      <c r="H56" s="654">
        <f>G56-$K10</f>
        <v>97</v>
      </c>
      <c r="I56" s="654">
        <f>H56-$K10</f>
        <v>96</v>
      </c>
      <c r="J56" s="654"/>
      <c r="K56" s="654"/>
      <c r="L56" s="654"/>
      <c r="M56" s="655"/>
      <c r="N56" s="2017"/>
      <c r="O56" s="2017"/>
      <c r="P56" s="2016"/>
      <c r="Q56" s="2009"/>
      <c r="R56" s="1997"/>
      <c r="S56" s="1997"/>
      <c r="T56" s="1997"/>
      <c r="U56" s="1997"/>
      <c r="V56" s="1997"/>
      <c r="W56" s="1997"/>
      <c r="X56" s="1997"/>
      <c r="Y56" s="1997"/>
      <c r="Z56" s="1997"/>
      <c r="AA56" s="1997"/>
      <c r="AB56" s="1997"/>
      <c r="AC56" s="1997"/>
    </row>
    <row r="57" spans="1:29" ht="15.75" thickTop="1">
      <c r="A57" s="644"/>
      <c r="B57" s="904">
        <f>B11</f>
        <v>111</v>
      </c>
      <c r="C57" s="518"/>
      <c r="D57" s="518"/>
      <c r="E57" s="518"/>
      <c r="F57" s="518"/>
      <c r="G57" s="518"/>
      <c r="H57" s="518"/>
      <c r="I57" s="518"/>
      <c r="J57" s="518"/>
      <c r="K57" s="659"/>
      <c r="L57" s="660"/>
      <c r="M57" s="661"/>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67"/>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s="1265" customFormat="1" ht="15.75" thickTop="1">
      <c r="A59" s="662"/>
      <c r="B59" s="648">
        <f>B12</f>
        <v>111</v>
      </c>
      <c r="C59" s="518"/>
      <c r="D59" s="518"/>
      <c r="E59" s="518"/>
      <c r="F59" s="518"/>
      <c r="G59" s="663"/>
      <c r="H59" s="664"/>
      <c r="I59" s="664"/>
      <c r="J59" s="664"/>
      <c r="K59" s="664"/>
      <c r="L59" s="665"/>
      <c r="M59" s="666"/>
      <c r="N59" s="2018"/>
      <c r="O59" s="2018"/>
      <c r="P59" s="2019"/>
      <c r="Q59" s="2020"/>
      <c r="R59" s="2021"/>
      <c r="S59" s="2021"/>
      <c r="T59" s="2021"/>
      <c r="U59" s="2021"/>
      <c r="V59" s="2021"/>
      <c r="W59" s="2021"/>
      <c r="X59" s="2021"/>
      <c r="Y59" s="2021"/>
      <c r="Z59" s="2021"/>
      <c r="AA59" s="2021"/>
      <c r="AB59" s="2021"/>
      <c r="AC59" s="2021"/>
    </row>
    <row r="60" spans="1:29" s="1265" customFormat="1" ht="15.75" thickBot="1">
      <c r="A60" s="662"/>
      <c r="B60" s="653"/>
      <c r="C60" s="667"/>
      <c r="D60" s="646"/>
      <c r="E60" s="646"/>
      <c r="F60" s="646"/>
      <c r="G60" s="646"/>
      <c r="H60" s="646"/>
      <c r="I60" s="646"/>
      <c r="J60" s="646"/>
      <c r="K60" s="646"/>
      <c r="L60" s="646"/>
      <c r="M60" s="647"/>
      <c r="N60" s="2017"/>
      <c r="O60" s="2017"/>
      <c r="P60" s="2019"/>
      <c r="Q60" s="2020"/>
      <c r="R60" s="2021"/>
      <c r="S60" s="2021"/>
      <c r="T60" s="2021"/>
      <c r="U60" s="2021"/>
      <c r="V60" s="2021"/>
      <c r="W60" s="2021"/>
      <c r="X60" s="2021"/>
      <c r="Y60" s="2021"/>
      <c r="Z60" s="2021"/>
      <c r="AA60" s="2021"/>
      <c r="AB60" s="2021"/>
      <c r="AC60" s="2021"/>
    </row>
    <row r="61" spans="1:29" s="1265" customFormat="1" ht="15.75" thickTop="1">
      <c r="A61" s="662"/>
      <c r="B61" s="648">
        <f>B13</f>
        <v>111</v>
      </c>
      <c r="C61" s="663"/>
      <c r="D61" s="663"/>
      <c r="E61" s="663"/>
      <c r="F61" s="663"/>
      <c r="G61" s="663"/>
      <c r="H61" s="664"/>
      <c r="I61" s="664"/>
      <c r="J61" s="664"/>
      <c r="K61" s="664"/>
      <c r="L61" s="665"/>
      <c r="M61" s="666"/>
      <c r="N61" s="2018"/>
      <c r="O61" s="2018"/>
      <c r="P61" s="2022"/>
      <c r="Q61" s="2023"/>
      <c r="R61" s="2021"/>
      <c r="S61" s="2021"/>
      <c r="T61" s="2021"/>
      <c r="U61" s="2021"/>
      <c r="V61" s="2021"/>
      <c r="W61" s="2021"/>
      <c r="X61" s="2021"/>
      <c r="Y61" s="2021"/>
      <c r="Z61" s="2021"/>
      <c r="AA61" s="2021"/>
      <c r="AB61" s="2021"/>
      <c r="AC61" s="2021"/>
    </row>
    <row r="62" spans="1:29" s="1265" customFormat="1" ht="15.75" thickBot="1">
      <c r="A62" s="662"/>
      <c r="B62" s="653"/>
      <c r="C62" s="667"/>
      <c r="D62" s="667"/>
      <c r="E62" s="667"/>
      <c r="F62" s="667"/>
      <c r="G62" s="667"/>
      <c r="H62" s="668"/>
      <c r="I62" s="668"/>
      <c r="J62" s="668"/>
      <c r="K62" s="668"/>
      <c r="L62" s="668"/>
      <c r="M62" s="669"/>
      <c r="N62" s="2018"/>
      <c r="O62" s="2018"/>
      <c r="P62" s="2019"/>
      <c r="Q62" s="2020"/>
      <c r="R62" s="2021"/>
      <c r="S62" s="2021"/>
      <c r="T62" s="2021"/>
      <c r="U62" s="2021"/>
      <c r="V62" s="2021"/>
      <c r="W62" s="2021"/>
      <c r="X62" s="2021"/>
      <c r="Y62" s="2021"/>
      <c r="Z62" s="2021"/>
      <c r="AA62" s="2021"/>
      <c r="AB62" s="2021"/>
      <c r="AC62" s="2021"/>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5"/>
      <c r="O63" s="2015"/>
      <c r="P63" s="2025"/>
      <c r="Q63" s="2009"/>
      <c r="R63" s="1997"/>
      <c r="S63" s="1997"/>
      <c r="T63" s="1997"/>
      <c r="U63" s="1997"/>
      <c r="V63" s="1997"/>
      <c r="W63" s="1997"/>
      <c r="X63" s="1997"/>
      <c r="Y63" s="1997"/>
      <c r="Z63" s="1997"/>
      <c r="AA63" s="1997"/>
      <c r="AB63" s="1997"/>
      <c r="AC63" s="1997"/>
    </row>
    <row r="64" spans="1:29" ht="15.75" thickBot="1">
      <c r="A64" s="644"/>
      <c r="B64" s="653"/>
      <c r="C64" s="654">
        <v>100</v>
      </c>
      <c r="D64" s="654">
        <f>C64-$K14</f>
        <v>99</v>
      </c>
      <c r="E64" s="654">
        <f>D64-$K14</f>
        <v>98</v>
      </c>
      <c r="F64" s="654">
        <f>E64-$K14</f>
        <v>97</v>
      </c>
      <c r="G64" s="654">
        <f>F64-$K14</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1781" t="s">
        <v>2457</v>
      </c>
      <c r="C65" s="683" t="s">
        <v>562</v>
      </c>
      <c r="D65" s="683" t="s">
        <v>563</v>
      </c>
      <c r="E65" s="683" t="s">
        <v>564</v>
      </c>
      <c r="F65" s="683" t="s">
        <v>565</v>
      </c>
      <c r="G65" s="683" t="s">
        <v>566</v>
      </c>
      <c r="H65" s="649"/>
      <c r="I65" s="649"/>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C66-$K16</f>
        <v>99</v>
      </c>
      <c r="E66" s="654">
        <f>D66-$K16</f>
        <v>98</v>
      </c>
      <c r="F66" s="654">
        <f>E66-$K16</f>
        <v>97</v>
      </c>
      <c r="G66" s="654">
        <f>F66-$K16</f>
        <v>96</v>
      </c>
      <c r="H66" s="654"/>
      <c r="I66" s="654"/>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2379" t="s">
        <v>2458</v>
      </c>
      <c r="C67" s="2380" t="s">
        <v>2459</v>
      </c>
      <c r="D67" s="2380" t="s">
        <v>2460</v>
      </c>
      <c r="E67" s="2380" t="s">
        <v>2461</v>
      </c>
      <c r="F67" s="2380" t="s">
        <v>2462</v>
      </c>
      <c r="G67" s="2380" t="s">
        <v>2463</v>
      </c>
      <c r="H67" s="649"/>
      <c r="I67" s="649"/>
      <c r="J67" s="649"/>
      <c r="K67" s="649"/>
      <c r="L67" s="649"/>
      <c r="M67" s="2383"/>
      <c r="N67" s="2017"/>
      <c r="O67" s="2017"/>
      <c r="P67" s="2016"/>
      <c r="Q67" s="2009"/>
      <c r="R67" s="1997"/>
      <c r="S67" s="1997"/>
      <c r="T67" s="1997"/>
      <c r="U67" s="1997"/>
      <c r="V67" s="1997"/>
      <c r="W67" s="1997"/>
      <c r="X67" s="1997"/>
      <c r="Y67" s="1997"/>
      <c r="Z67" s="1997"/>
      <c r="AA67" s="1997"/>
      <c r="AB67" s="1997"/>
      <c r="AC67" s="1997"/>
    </row>
    <row r="68" spans="1:29" ht="15.75" thickBot="1">
      <c r="A68" s="644"/>
      <c r="B68" s="656"/>
      <c r="C68" s="654">
        <v>100</v>
      </c>
      <c r="D68" s="654">
        <f>C68-$K18</f>
        <v>99</v>
      </c>
      <c r="E68" s="654">
        <f>D68-$K18</f>
        <v>98</v>
      </c>
      <c r="F68" s="654">
        <f>E68-$K18</f>
        <v>97</v>
      </c>
      <c r="G68" s="654">
        <f>F68-$K18</f>
        <v>96</v>
      </c>
      <c r="H68" s="904"/>
      <c r="I68" s="904"/>
      <c r="J68" s="904"/>
      <c r="K68" s="904"/>
      <c r="L68" s="904"/>
      <c r="M68" s="536"/>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727</v>
      </c>
      <c r="C69" s="683" t="s">
        <v>562</v>
      </c>
      <c r="D69" s="683" t="s">
        <v>563</v>
      </c>
      <c r="E69" s="683" t="s">
        <v>564</v>
      </c>
      <c r="F69" s="683" t="s">
        <v>565</v>
      </c>
      <c r="G69" s="683" t="s">
        <v>566</v>
      </c>
      <c r="H69" s="649"/>
      <c r="I69" s="649"/>
      <c r="J69" s="649"/>
      <c r="K69" s="650"/>
      <c r="L69" s="651"/>
      <c r="M69" s="652"/>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C70-$K20</f>
        <v>99</v>
      </c>
      <c r="E70" s="654">
        <f>D70-$K20</f>
        <v>98</v>
      </c>
      <c r="F70" s="654">
        <f>E70-$K20</f>
        <v>97</v>
      </c>
      <c r="G70" s="654">
        <f>F70-$K20</f>
        <v>96</v>
      </c>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ht="15.75" thickTop="1">
      <c r="A71" s="644"/>
      <c r="B71" s="648" t="s">
        <v>728</v>
      </c>
      <c r="C71" s="663"/>
      <c r="D71" s="663"/>
      <c r="E71" s="663"/>
      <c r="F71" s="663"/>
      <c r="G71" s="663"/>
      <c r="H71" s="693"/>
      <c r="I71" s="693"/>
      <c r="J71" s="693"/>
      <c r="K71" s="694"/>
      <c r="L71" s="695"/>
      <c r="M71" s="696"/>
      <c r="N71" s="2015"/>
      <c r="O71" s="2015"/>
      <c r="P71" s="2016"/>
      <c r="Q71" s="2009"/>
      <c r="R71" s="1997"/>
      <c r="S71" s="1997"/>
      <c r="T71" s="1997"/>
      <c r="U71" s="1997"/>
      <c r="V71" s="1997"/>
      <c r="W71" s="1997"/>
      <c r="X71" s="1997"/>
      <c r="Y71" s="1997"/>
      <c r="Z71" s="1997"/>
      <c r="AA71" s="1997"/>
      <c r="AB71" s="1997"/>
      <c r="AC71" s="1997"/>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7"/>
      <c r="O72" s="2017"/>
      <c r="P72" s="2016"/>
      <c r="Q72" s="2009"/>
      <c r="R72" s="1997"/>
      <c r="S72" s="1997"/>
      <c r="T72" s="1997"/>
      <c r="U72" s="1997"/>
      <c r="V72" s="1997"/>
      <c r="W72" s="1997"/>
      <c r="X72" s="1997"/>
      <c r="Y72" s="1997"/>
      <c r="Z72" s="1997"/>
      <c r="AA72" s="1997"/>
      <c r="AB72" s="1997"/>
      <c r="AC72" s="1997"/>
    </row>
    <row r="73" spans="1:29" s="1183" customFormat="1" ht="15.75" thickTop="1">
      <c r="A73" s="684"/>
      <c r="B73" s="648">
        <f>B23</f>
        <v>111</v>
      </c>
      <c r="C73" s="518"/>
      <c r="D73" s="518"/>
      <c r="E73" s="518"/>
      <c r="F73" s="518"/>
      <c r="G73" s="663"/>
      <c r="H73" s="663"/>
      <c r="I73" s="663"/>
      <c r="J73" s="663"/>
      <c r="K73" s="663"/>
      <c r="L73" s="859"/>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183" customFormat="1" ht="15.75" thickTop="1">
      <c r="A75" s="684"/>
      <c r="B75" s="648">
        <f>B24</f>
        <v>111</v>
      </c>
      <c r="C75" s="518"/>
      <c r="D75" s="518"/>
      <c r="E75" s="518"/>
      <c r="F75" s="518"/>
      <c r="G75" s="663"/>
      <c r="H75" s="663"/>
      <c r="I75" s="663"/>
      <c r="J75" s="663"/>
      <c r="K75" s="663"/>
      <c r="L75" s="663"/>
      <c r="M75" s="860"/>
      <c r="N75" s="2013"/>
      <c r="O75" s="2013"/>
      <c r="P75" s="2016"/>
      <c r="Q75" s="2009"/>
      <c r="R75" s="1875"/>
      <c r="S75" s="1875"/>
      <c r="T75" s="1875"/>
      <c r="U75" s="1875"/>
      <c r="V75" s="1875"/>
      <c r="W75" s="1875"/>
      <c r="X75" s="1875"/>
      <c r="Y75" s="1875"/>
      <c r="Z75" s="1875"/>
      <c r="AA75" s="1875"/>
      <c r="AB75" s="1875"/>
      <c r="AC75" s="1875"/>
    </row>
    <row r="76" spans="1:29" s="1183" customFormat="1" ht="15.75" thickBot="1">
      <c r="A76" s="684"/>
      <c r="B76" s="653"/>
      <c r="C76" s="667"/>
      <c r="D76" s="646"/>
      <c r="E76" s="646"/>
      <c r="F76" s="646"/>
      <c r="G76" s="646"/>
      <c r="H76" s="646"/>
      <c r="I76" s="646"/>
      <c r="J76" s="646"/>
      <c r="K76" s="646"/>
      <c r="L76" s="646"/>
      <c r="M76" s="647"/>
      <c r="N76" s="2017"/>
      <c r="O76" s="2017"/>
      <c r="P76" s="2016"/>
      <c r="Q76" s="2009"/>
      <c r="R76" s="1875"/>
      <c r="S76" s="1875"/>
      <c r="T76" s="1875"/>
      <c r="U76" s="1875"/>
      <c r="V76" s="1875"/>
      <c r="W76" s="1875"/>
      <c r="X76" s="1875"/>
      <c r="Y76" s="1875"/>
      <c r="Z76" s="1875"/>
      <c r="AA76" s="1875"/>
      <c r="AB76" s="1875"/>
      <c r="AC76" s="1875"/>
    </row>
    <row r="77" spans="1:29" s="1265" customFormat="1" ht="15.75" thickTop="1">
      <c r="A77" s="662"/>
      <c r="B77" s="648">
        <f>B25</f>
        <v>111</v>
      </c>
      <c r="C77" s="663"/>
      <c r="D77" s="663"/>
      <c r="E77" s="663"/>
      <c r="F77" s="663"/>
      <c r="G77" s="663"/>
      <c r="H77" s="664"/>
      <c r="I77" s="664"/>
      <c r="J77" s="664"/>
      <c r="K77" s="664"/>
      <c r="L77" s="665"/>
      <c r="M77" s="666"/>
      <c r="N77" s="2018"/>
      <c r="O77" s="2018"/>
      <c r="P77" s="2019"/>
      <c r="Q77" s="2020"/>
      <c r="R77" s="2021"/>
      <c r="S77" s="2021"/>
      <c r="T77" s="2021"/>
      <c r="U77" s="2021"/>
      <c r="V77" s="2021"/>
      <c r="W77" s="2021"/>
      <c r="X77" s="2021"/>
      <c r="Y77" s="2021"/>
      <c r="Z77" s="2021"/>
      <c r="AA77" s="2021"/>
      <c r="AB77" s="2021"/>
      <c r="AC77" s="2021"/>
    </row>
    <row r="78" spans="1:29" s="1265" customFormat="1" ht="15.75" thickBot="1">
      <c r="A78" s="662"/>
      <c r="B78" s="653"/>
      <c r="C78" s="667"/>
      <c r="D78" s="667"/>
      <c r="E78" s="667"/>
      <c r="F78" s="667"/>
      <c r="G78" s="646"/>
      <c r="H78" s="646"/>
      <c r="I78" s="646"/>
      <c r="J78" s="646"/>
      <c r="K78" s="646"/>
      <c r="L78" s="646"/>
      <c r="M78" s="647"/>
      <c r="N78" s="2018"/>
      <c r="O78" s="2018"/>
      <c r="P78" s="2019"/>
      <c r="Q78" s="2020"/>
      <c r="R78" s="2021"/>
      <c r="S78" s="2021"/>
      <c r="T78" s="2021"/>
      <c r="U78" s="2021"/>
      <c r="V78" s="2021"/>
      <c r="W78" s="2021"/>
      <c r="X78" s="2021"/>
      <c r="Y78" s="2021"/>
      <c r="Z78" s="2021"/>
      <c r="AA78" s="2021"/>
      <c r="AB78" s="2021"/>
      <c r="AC78" s="2021"/>
    </row>
    <row r="79" spans="1:29" ht="27.75" thickTop="1">
      <c r="A79" s="639" t="s">
        <v>534</v>
      </c>
      <c r="B79" s="640" t="s">
        <v>797</v>
      </c>
      <c r="C79" s="679" t="str">
        <f>C26</f>
        <v>车库</v>
      </c>
      <c r="D79" s="575"/>
      <c r="E79" s="575"/>
      <c r="F79" s="575"/>
      <c r="G79" s="575"/>
      <c r="H79" s="575"/>
      <c r="I79" s="575"/>
      <c r="J79" s="575"/>
      <c r="K79" s="641"/>
      <c r="L79" s="642"/>
      <c r="M79" s="643"/>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4"/>
      <c r="B81" s="648" t="s">
        <v>798</v>
      </c>
      <c r="C81" s="905"/>
      <c r="D81" s="905"/>
      <c r="E81" s="905"/>
      <c r="F81" s="905"/>
      <c r="G81" s="905"/>
      <c r="H81" s="905"/>
      <c r="I81" s="905"/>
      <c r="J81" s="905"/>
      <c r="K81" s="906"/>
      <c r="L81" s="907"/>
      <c r="M81" s="908"/>
      <c r="N81" s="2013"/>
      <c r="O81" s="2013"/>
      <c r="P81" s="2016"/>
      <c r="Q81" s="2009"/>
      <c r="R81" s="1997"/>
      <c r="S81" s="1997"/>
      <c r="T81" s="1997"/>
      <c r="U81" s="1997"/>
      <c r="V81" s="1997"/>
      <c r="W81" s="1997"/>
      <c r="X81" s="1997"/>
      <c r="Y81" s="1997"/>
      <c r="Z81" s="1997"/>
      <c r="AA81" s="1997"/>
      <c r="AB81" s="1997"/>
      <c r="AC81" s="1997"/>
    </row>
    <row r="82" spans="1:29" s="1265" customFormat="1" ht="15.75" thickBot="1">
      <c r="A82" s="662"/>
      <c r="B82" s="653"/>
      <c r="C82" s="667"/>
      <c r="D82" s="646"/>
      <c r="E82" s="646"/>
      <c r="F82" s="646"/>
      <c r="G82" s="646"/>
      <c r="H82" s="646"/>
      <c r="I82" s="646"/>
      <c r="J82" s="646"/>
      <c r="K82" s="646"/>
      <c r="L82" s="646"/>
      <c r="M82" s="647"/>
      <c r="N82" s="2017"/>
      <c r="O82" s="2017"/>
      <c r="P82" s="2019"/>
      <c r="Q82" s="2020"/>
      <c r="R82" s="2021"/>
      <c r="S82" s="2021"/>
      <c r="T82" s="2021"/>
      <c r="U82" s="2021"/>
      <c r="V82" s="2021"/>
      <c r="W82" s="2021"/>
      <c r="X82" s="2021"/>
      <c r="Y82" s="2021"/>
      <c r="Z82" s="2021"/>
      <c r="AA82" s="2021"/>
      <c r="AB82" s="2021"/>
      <c r="AC82" s="2021"/>
    </row>
    <row r="83" spans="1:29" ht="15" thickTop="1">
      <c r="A83" s="710"/>
      <c r="B83" s="648" t="s">
        <v>734</v>
      </c>
      <c r="C83" s="663"/>
      <c r="D83" s="663"/>
      <c r="E83" s="693"/>
      <c r="F83" s="693"/>
      <c r="G83" s="693"/>
      <c r="H83" s="693"/>
      <c r="I83" s="693"/>
      <c r="J83" s="693"/>
      <c r="K83" s="694"/>
      <c r="L83" s="695"/>
      <c r="M83" s="696"/>
      <c r="N83" s="2015"/>
      <c r="O83" s="2015"/>
      <c r="P83" s="2016"/>
      <c r="Q83" s="2009"/>
      <c r="R83" s="1997"/>
      <c r="S83" s="1997"/>
      <c r="T83" s="1997"/>
      <c r="U83" s="1997"/>
      <c r="V83" s="1997"/>
      <c r="W83" s="1997"/>
      <c r="X83" s="1997"/>
      <c r="Y83" s="1997"/>
      <c r="Z83" s="1997"/>
      <c r="AA83" s="1997"/>
      <c r="AB83" s="1997"/>
      <c r="AC83" s="1997"/>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5"/>
      <c r="O85" s="2015"/>
      <c r="P85" s="2016"/>
      <c r="Q85" s="2009"/>
      <c r="R85" s="1997"/>
      <c r="S85" s="1997"/>
      <c r="T85" s="1997"/>
      <c r="U85" s="1997"/>
      <c r="V85" s="1997"/>
      <c r="W85" s="1997"/>
      <c r="X85" s="1997"/>
      <c r="Y85" s="1997"/>
      <c r="Z85" s="1997"/>
      <c r="AA85" s="1997"/>
      <c r="AB85" s="1997"/>
      <c r="AC85" s="1997"/>
    </row>
    <row r="86" spans="1:29">
      <c r="A86" s="710"/>
      <c r="B86" s="656"/>
      <c r="C86" s="863">
        <v>0.5</v>
      </c>
      <c r="D86" s="863">
        <v>0.6</v>
      </c>
      <c r="E86" s="863">
        <v>0.7</v>
      </c>
      <c r="F86" s="863">
        <v>0.8</v>
      </c>
      <c r="G86" s="863">
        <v>0.9</v>
      </c>
      <c r="H86" s="863">
        <v>1.0001</v>
      </c>
      <c r="I86" s="874"/>
      <c r="J86" s="874"/>
      <c r="K86" s="875"/>
      <c r="L86" s="876"/>
      <c r="M86" s="877"/>
      <c r="N86" s="2015"/>
      <c r="O86" s="2015"/>
      <c r="P86" s="2016"/>
      <c r="Q86" s="2009"/>
      <c r="R86" s="1997"/>
      <c r="S86" s="1997"/>
      <c r="T86" s="1997"/>
      <c r="U86" s="1997"/>
      <c r="V86" s="1997"/>
      <c r="W86" s="1997"/>
      <c r="X86" s="1997"/>
      <c r="Y86" s="1997"/>
      <c r="Z86" s="1997"/>
      <c r="AA86" s="1997"/>
      <c r="AB86" s="1997"/>
      <c r="AC86" s="1997"/>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10"/>
      <c r="B88" s="656" t="s">
        <v>800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7"/>
      <c r="O89" s="2017"/>
      <c r="P89" s="2016"/>
      <c r="Q89" s="2009"/>
      <c r="R89" s="1997"/>
      <c r="S89" s="1997"/>
      <c r="T89" s="1997"/>
      <c r="U89" s="1997"/>
      <c r="V89" s="1997"/>
      <c r="W89" s="1997"/>
      <c r="X89" s="1997"/>
      <c r="Y89" s="1997"/>
      <c r="Z89" s="1997"/>
      <c r="AA89" s="1997"/>
      <c r="AB89" s="1997"/>
      <c r="AC89" s="1997"/>
    </row>
    <row r="90" spans="1:29" s="1265" customFormat="1" ht="15" thickTop="1">
      <c r="A90" s="703"/>
      <c r="B90" s="648" t="s">
        <v>801</v>
      </c>
      <c r="C90" s="683" t="str">
        <f>C91&amp;"(含)"&amp;"-"&amp;D91</f>
        <v>0(含)-15</v>
      </c>
      <c r="D90" s="683" t="str">
        <f t="shared" ref="D90:L90" si="21">D91&amp;"(含)"&amp;"-"&amp;E91</f>
        <v>15(含)-30</v>
      </c>
      <c r="E90" s="683" t="str">
        <f t="shared" si="21"/>
        <v>30(含)-50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8"/>
      <c r="O90" s="2018"/>
      <c r="P90" s="2019"/>
      <c r="Q90" s="2020"/>
      <c r="R90" s="2021"/>
      <c r="S90" s="2021"/>
      <c r="T90" s="2021"/>
      <c r="U90" s="2021"/>
      <c r="V90" s="2021"/>
      <c r="W90" s="2021"/>
      <c r="X90" s="2021"/>
      <c r="Y90" s="2021"/>
      <c r="Z90" s="2021"/>
      <c r="AA90" s="2021"/>
      <c r="AB90" s="2021"/>
      <c r="AC90" s="2021"/>
    </row>
    <row r="91" spans="1:29" s="1265" customFormat="1">
      <c r="A91" s="703"/>
      <c r="B91" s="656"/>
      <c r="C91" s="705">
        <v>0</v>
      </c>
      <c r="D91" s="705">
        <v>15</v>
      </c>
      <c r="E91" s="705">
        <v>30</v>
      </c>
      <c r="F91" s="705">
        <v>50</v>
      </c>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v>100</v>
      </c>
      <c r="D92" s="646">
        <f>C92+1</f>
        <v>101</v>
      </c>
      <c r="E92" s="646">
        <f>D92+1</f>
        <v>102</v>
      </c>
      <c r="F92" s="646"/>
      <c r="G92" s="646"/>
      <c r="H92" s="646"/>
      <c r="I92" s="646"/>
      <c r="J92" s="646"/>
      <c r="K92" s="646"/>
      <c r="L92" s="646"/>
      <c r="M92" s="647"/>
      <c r="N92" s="2018"/>
      <c r="O92" s="2018"/>
      <c r="P92" s="2019"/>
      <c r="Q92" s="2020"/>
      <c r="R92" s="2021"/>
      <c r="S92" s="2021"/>
      <c r="T92" s="2021"/>
      <c r="U92" s="2021"/>
      <c r="V92" s="2021"/>
      <c r="W92" s="2021"/>
      <c r="X92" s="2021"/>
      <c r="Y92" s="2021"/>
      <c r="Z92" s="2021"/>
      <c r="AA92" s="2021"/>
      <c r="AB92" s="2021"/>
      <c r="AC92" s="2021"/>
    </row>
    <row r="93" spans="1:29" ht="15" thickTop="1">
      <c r="A93" s="710"/>
      <c r="B93" s="648" t="s">
        <v>802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803</v>
      </c>
      <c r="C95" s="575"/>
      <c r="D95" s="575"/>
      <c r="E95" s="575"/>
      <c r="F95" s="575"/>
      <c r="G95" s="575"/>
      <c r="H95" s="575"/>
      <c r="I95" s="575"/>
      <c r="J95" s="575"/>
      <c r="K95" s="641"/>
      <c r="L95" s="642"/>
      <c r="M95" s="643"/>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7"/>
      <c r="O96" s="2017"/>
      <c r="P96" s="2016"/>
      <c r="Q96" s="2009"/>
      <c r="R96" s="1997"/>
      <c r="S96" s="1997"/>
      <c r="T96" s="1997"/>
      <c r="U96" s="1997"/>
      <c r="V96" s="1997"/>
      <c r="W96" s="1997"/>
      <c r="X96" s="1997"/>
      <c r="Y96" s="1997"/>
      <c r="Z96" s="1997"/>
      <c r="AA96" s="1997"/>
      <c r="AB96" s="1997"/>
      <c r="AC96" s="1997"/>
    </row>
    <row r="97" spans="1:29" ht="15" thickTop="1">
      <c r="A97" s="710"/>
      <c r="B97" s="886">
        <f>B34</f>
        <v>111</v>
      </c>
      <c r="C97" s="518"/>
      <c r="D97" s="518"/>
      <c r="E97" s="518"/>
      <c r="F97" s="518"/>
      <c r="G97" s="663"/>
      <c r="H97" s="664"/>
      <c r="I97" s="664"/>
      <c r="J97" s="664"/>
      <c r="K97" s="664"/>
      <c r="L97" s="665"/>
      <c r="M97" s="666"/>
      <c r="N97" s="2017"/>
      <c r="O97" s="2017"/>
      <c r="P97" s="2056"/>
      <c r="Q97" s="2057"/>
      <c r="R97" s="1997"/>
      <c r="S97" s="1997"/>
      <c r="T97" s="1997"/>
      <c r="U97" s="1997"/>
      <c r="V97" s="1997"/>
      <c r="W97" s="1997"/>
      <c r="X97" s="1997"/>
      <c r="Y97" s="1997"/>
      <c r="Z97" s="1997"/>
      <c r="AA97" s="1997"/>
      <c r="AB97" s="1997"/>
      <c r="AC97" s="1997"/>
    </row>
    <row r="98" spans="1:29" ht="15.75" thickBot="1">
      <c r="A98" s="644"/>
      <c r="B98" s="653"/>
      <c r="C98" s="667"/>
      <c r="D98" s="646"/>
      <c r="E98" s="646"/>
      <c r="F98" s="646"/>
      <c r="G98" s="667"/>
      <c r="H98" s="668"/>
      <c r="I98" s="668"/>
      <c r="J98" s="668"/>
      <c r="K98" s="668"/>
      <c r="L98" s="668"/>
      <c r="M98" s="669"/>
      <c r="N98" s="2017"/>
      <c r="O98" s="2017"/>
      <c r="P98" s="2016"/>
      <c r="Q98" s="2009"/>
      <c r="R98" s="1997"/>
      <c r="S98" s="1997"/>
      <c r="T98" s="1997"/>
      <c r="U98" s="1997"/>
      <c r="V98" s="1997"/>
      <c r="W98" s="1997"/>
      <c r="X98" s="1997"/>
      <c r="Y98" s="1997"/>
      <c r="Z98" s="1997"/>
      <c r="AA98" s="1997"/>
      <c r="AB98" s="1997"/>
      <c r="AC98" s="1997"/>
    </row>
    <row r="99" spans="1:29" s="1265" customFormat="1" ht="15" thickTop="1">
      <c r="A99" s="703"/>
      <c r="B99" s="648">
        <f>B35</f>
        <v>111</v>
      </c>
      <c r="C99" s="518"/>
      <c r="D99" s="518"/>
      <c r="E99" s="518"/>
      <c r="F99" s="518"/>
      <c r="G99" s="663"/>
      <c r="H99" s="664"/>
      <c r="I99" s="664"/>
      <c r="J99" s="664"/>
      <c r="K99" s="664"/>
      <c r="L99" s="665"/>
      <c r="M99" s="666"/>
      <c r="N99" s="2018"/>
      <c r="O99" s="2018"/>
      <c r="P99" s="2019"/>
      <c r="Q99" s="2020"/>
      <c r="R99" s="2021"/>
      <c r="S99" s="2021"/>
      <c r="T99" s="2021"/>
      <c r="U99" s="2021"/>
      <c r="V99" s="2021"/>
      <c r="W99" s="2021"/>
      <c r="X99" s="2021"/>
      <c r="Y99" s="2021"/>
      <c r="Z99" s="2021"/>
      <c r="AA99" s="2021"/>
      <c r="AB99" s="2021"/>
      <c r="AC99" s="2021"/>
    </row>
    <row r="100" spans="1:29" s="1265" customFormat="1" ht="15.75" thickBot="1">
      <c r="A100" s="662"/>
      <c r="B100" s="645"/>
      <c r="C100" s="667"/>
      <c r="D100" s="646"/>
      <c r="E100" s="646"/>
      <c r="F100" s="646"/>
      <c r="G100" s="667"/>
      <c r="H100" s="668"/>
      <c r="I100" s="668"/>
      <c r="J100" s="668"/>
      <c r="K100" s="668"/>
      <c r="L100" s="668"/>
      <c r="M100" s="669"/>
      <c r="N100" s="2018"/>
      <c r="O100" s="2018"/>
      <c r="P100" s="2019"/>
      <c r="Q100" s="2020"/>
      <c r="R100" s="2021"/>
      <c r="S100" s="2021"/>
      <c r="T100" s="2021"/>
      <c r="U100" s="2021"/>
      <c r="V100" s="2021"/>
      <c r="W100" s="2021"/>
      <c r="X100" s="2021"/>
      <c r="Y100" s="2021"/>
      <c r="Z100" s="2021"/>
      <c r="AA100" s="2021"/>
      <c r="AB100" s="2021"/>
      <c r="AC100" s="2021"/>
    </row>
    <row r="101" spans="1:29" ht="15" thickTop="1">
      <c r="A101" s="710"/>
      <c r="B101" s="648">
        <f>B36</f>
        <v>111</v>
      </c>
      <c r="C101" s="663"/>
      <c r="D101" s="663"/>
      <c r="E101" s="663"/>
      <c r="F101" s="663"/>
      <c r="G101" s="663"/>
      <c r="H101" s="664"/>
      <c r="I101" s="664"/>
      <c r="J101" s="664"/>
      <c r="K101" s="664"/>
      <c r="L101" s="665"/>
      <c r="M101" s="666"/>
      <c r="N101" s="2015"/>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67"/>
      <c r="D102" s="667"/>
      <c r="E102" s="667"/>
      <c r="F102" s="667"/>
      <c r="G102" s="667"/>
      <c r="H102" s="668"/>
      <c r="I102" s="668"/>
      <c r="J102" s="668"/>
      <c r="K102" s="668"/>
      <c r="L102" s="668"/>
      <c r="M102" s="669"/>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0" zoomScaleNormal="60" zoomScaleSheetLayoutView="80" workbookViewId="0">
      <selection activeCell="K39" sqref="K39"/>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4" t="s">
        <v>1705</v>
      </c>
      <c r="B1" s="713"/>
      <c r="C1" s="746"/>
      <c r="D1" s="2732" t="s">
        <v>932</v>
      </c>
      <c r="E1" s="2212" t="s">
        <v>2343</v>
      </c>
      <c r="F1" s="2213">
        <f ca="1">J53</f>
        <v>0</v>
      </c>
      <c r="G1" s="3191">
        <f>MATCH(C1,'数据-取费表'!A6:A16,0)+5</f>
        <v>9</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7" t="s">
        <v>1706</v>
      </c>
      <c r="B2" s="748" t="e">
        <f ca="1">C40+J29+L46</f>
        <v>#DIV/0!</v>
      </c>
      <c r="C2" s="3196"/>
      <c r="D2" s="3197"/>
      <c r="E2" s="3198"/>
      <c r="F2" s="3198"/>
      <c r="G2" s="3192"/>
      <c r="H2" s="1910"/>
      <c r="I2" s="1910"/>
      <c r="J2" s="1910"/>
      <c r="K2" s="1911"/>
      <c r="L2" s="1910"/>
      <c r="M2" s="1910"/>
    </row>
    <row r="3" spans="1:33" ht="18" customHeight="1" thickBot="1">
      <c r="A3" s="805" t="s">
        <v>1707</v>
      </c>
      <c r="B3" s="806">
        <f ca="1">IF(ISERROR(B2*10000/F43),0,ROUND(B2*10000/F43,0))</f>
        <v>0</v>
      </c>
      <c r="C3" s="3196"/>
      <c r="D3" s="3197"/>
      <c r="E3" s="3198"/>
      <c r="F3" s="3198"/>
      <c r="G3" s="3192"/>
      <c r="H3" s="749" t="s">
        <v>678</v>
      </c>
      <c r="I3" s="1288"/>
      <c r="J3" s="1288"/>
      <c r="K3" s="1498"/>
      <c r="L3" s="1288"/>
      <c r="M3" s="1288"/>
    </row>
    <row r="4" spans="1:33" ht="18" customHeight="1">
      <c r="A4" s="750" t="s">
        <v>1708</v>
      </c>
      <c r="B4" s="751" t="s">
        <v>1709</v>
      </c>
      <c r="C4" s="751" t="s">
        <v>1710</v>
      </c>
      <c r="D4" s="751" t="s">
        <v>616</v>
      </c>
      <c r="E4" s="752" t="s">
        <v>1711</v>
      </c>
      <c r="F4" s="753"/>
      <c r="G4" s="1915"/>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5"/>
      <c r="H5" s="754">
        <v>1</v>
      </c>
      <c r="I5" s="755" t="s">
        <v>2419</v>
      </c>
      <c r="J5" s="55">
        <f ca="1">J6+J10+J12</f>
        <v>0</v>
      </c>
      <c r="K5" s="2317" t="s">
        <v>2422</v>
      </c>
      <c r="L5" s="2311"/>
      <c r="M5" s="2312"/>
    </row>
    <row r="6" spans="1:33" ht="18" customHeight="1">
      <c r="A6" s="1716" t="s">
        <v>1804</v>
      </c>
      <c r="B6" s="3711" t="s">
        <v>2424</v>
      </c>
      <c r="C6" s="756">
        <f ca="1">ROUND(F6*F8*F7*(1-F9)/10000,0)</f>
        <v>0</v>
      </c>
      <c r="D6" s="2318" t="s">
        <v>2423</v>
      </c>
      <c r="E6" s="757" t="s">
        <v>1718</v>
      </c>
      <c r="F6" s="758">
        <f ca="1">INDIRECT("'数据-取费表'!u"&amp;$G$1)</f>
        <v>0</v>
      </c>
      <c r="G6" s="1915"/>
      <c r="H6" s="2325" t="s">
        <v>2429</v>
      </c>
      <c r="I6" s="3711" t="s">
        <v>2424</v>
      </c>
      <c r="J6" s="756">
        <f ca="1">ROUND(M6*M8*M7*(1-M9)/10000,0)</f>
        <v>0</v>
      </c>
      <c r="K6" s="339" t="s">
        <v>1717</v>
      </c>
      <c r="L6" s="757" t="s">
        <v>1718</v>
      </c>
      <c r="M6" s="758">
        <f ca="1">INDIRECT("'数据-取费表'!z"&amp;$G$1)</f>
        <v>0</v>
      </c>
    </row>
    <row r="7" spans="1:33" ht="18" customHeight="1">
      <c r="A7" s="2321"/>
      <c r="B7" s="3712"/>
      <c r="C7" s="761"/>
      <c r="D7" s="762"/>
      <c r="E7" s="757" t="s">
        <v>1719</v>
      </c>
      <c r="F7" s="758">
        <f ca="1">IF(INDIRECT("'数据-取费表'!ah"&amp;$G$1)="",INDIRECT("'数据-取费表'!k"&amp;$G$1),INDIRECT("'数据-取费表'!ah"&amp;$G$1))</f>
        <v>0</v>
      </c>
      <c r="G7" s="1915"/>
      <c r="H7" s="2310"/>
      <c r="I7" s="3712"/>
      <c r="J7" s="761"/>
      <c r="K7" s="762"/>
      <c r="L7" s="757" t="s">
        <v>1719</v>
      </c>
      <c r="M7" s="758">
        <f ca="1">F7</f>
        <v>0</v>
      </c>
    </row>
    <row r="8" spans="1:33" ht="18" customHeight="1">
      <c r="A8" s="2314"/>
      <c r="B8" s="3713"/>
      <c r="C8" s="761"/>
      <c r="D8" s="762"/>
      <c r="E8" s="757" t="s">
        <v>1720</v>
      </c>
      <c r="F8" s="758">
        <f ca="1">INDIRECT("'数据-取费表'!ai"&amp;$G$1)</f>
        <v>0</v>
      </c>
      <c r="G8" s="1915"/>
      <c r="H8" s="2310"/>
      <c r="I8" s="3713"/>
      <c r="J8" s="761"/>
      <c r="K8" s="762"/>
      <c r="L8" s="757" t="s">
        <v>1720</v>
      </c>
      <c r="M8" s="758">
        <f ca="1">INDIRECT("'数据-取费表'!ai"&amp;$G$1)</f>
        <v>0</v>
      </c>
    </row>
    <row r="9" spans="1:33" ht="18" customHeight="1">
      <c r="A9" s="759"/>
      <c r="B9" s="3714"/>
      <c r="C9" s="761"/>
      <c r="D9" s="762"/>
      <c r="E9" s="757" t="s">
        <v>1721</v>
      </c>
      <c r="F9" s="767">
        <f ca="1">INDIRECT("'数据-取费表'!w"&amp;$G$1)</f>
        <v>0</v>
      </c>
      <c r="G9" s="1915"/>
      <c r="H9" s="2326"/>
      <c r="I9" s="3713"/>
      <c r="J9" s="761"/>
      <c r="K9" s="762"/>
      <c r="L9" s="768" t="s">
        <v>1721</v>
      </c>
      <c r="M9" s="769">
        <f ca="1">INDIRECT("'数据-取费表'!ab"&amp;$G$1)</f>
        <v>0</v>
      </c>
    </row>
    <row r="10" spans="1:33" ht="18" customHeight="1">
      <c r="A10" s="1716" t="s">
        <v>2427</v>
      </c>
      <c r="B10" s="2315" t="s">
        <v>2420</v>
      </c>
      <c r="C10" s="772">
        <f ca="1">ROUND(IF(F10="押一",C6/12*F11,IF(F10="押二",C6/12*2*F11,IF(F10="押三",C6/12*3*F11,C11*F11))),0)</f>
        <v>0</v>
      </c>
      <c r="D10" s="2322" t="s">
        <v>2849</v>
      </c>
      <c r="E10" s="2319" t="s">
        <v>2425</v>
      </c>
      <c r="F10" s="2403"/>
      <c r="G10" s="1915"/>
      <c r="H10" s="2353" t="s">
        <v>2430</v>
      </c>
      <c r="I10" s="2358" t="s">
        <v>2420</v>
      </c>
      <c r="J10" s="756">
        <f ca="1">ROUND(IF(M10="押一",J6/12*M11,IF(M10="押二",J6/12*2*M11,IF(M10="押三",J6/12*3*M11,J11*M11))),0)</f>
        <v>0</v>
      </c>
      <c r="K10" s="2322" t="s">
        <v>2849</v>
      </c>
      <c r="L10" s="2319" t="s">
        <v>2425</v>
      </c>
      <c r="M10" s="2403"/>
    </row>
    <row r="11" spans="1:33" ht="18" customHeight="1">
      <c r="A11" s="763"/>
      <c r="B11" s="2316" t="s">
        <v>2473</v>
      </c>
      <c r="C11" s="2320"/>
      <c r="D11" s="762"/>
      <c r="E11" s="2319" t="s">
        <v>2426</v>
      </c>
      <c r="F11" s="769">
        <f ca="1">'数据-取费表'!B39</f>
        <v>1.4999999999999999E-2</v>
      </c>
      <c r="G11" s="1915"/>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5"/>
      <c r="H12" s="2343" t="s">
        <v>2431</v>
      </c>
      <c r="I12" s="2356" t="s">
        <v>2421</v>
      </c>
      <c r="J12" s="2357"/>
      <c r="K12" s="2332"/>
      <c r="L12" s="2333"/>
      <c r="M12" s="2346"/>
    </row>
    <row r="13" spans="1:33" ht="18" customHeight="1" thickTop="1">
      <c r="A13" s="1715">
        <v>2</v>
      </c>
      <c r="B13" s="1713" t="s">
        <v>1722</v>
      </c>
      <c r="C13" s="765">
        <f ca="1">ROUND(C29*F13,0)</f>
        <v>0</v>
      </c>
      <c r="D13" s="1720" t="s">
        <v>2269</v>
      </c>
      <c r="E13" s="1720" t="s">
        <v>1724</v>
      </c>
      <c r="F13" s="2328">
        <f ca="1">INDIRECT("'数据-取费表'!y"&amp;$G$1)</f>
        <v>0</v>
      </c>
      <c r="G13" s="1915"/>
      <c r="H13" s="1715">
        <v>2</v>
      </c>
      <c r="I13" s="1713" t="s">
        <v>1722</v>
      </c>
      <c r="J13" s="1705">
        <f ca="1">ROUND(J14*J15,0)</f>
        <v>0</v>
      </c>
      <c r="K13" s="1707" t="s">
        <v>1723</v>
      </c>
      <c r="L13" s="2344"/>
      <c r="M13" s="2345"/>
    </row>
    <row r="14" spans="1:33" ht="18" customHeight="1">
      <c r="A14" s="1548" t="s">
        <v>1860</v>
      </c>
      <c r="B14" s="757" t="s">
        <v>628</v>
      </c>
      <c r="C14" s="777">
        <f ca="1">INDIRECT("'数据-取费表'!m"&amp;$G$1)+INDIRECT("'数据-取费表'!t"&amp;$G$1)</f>
        <v>0</v>
      </c>
      <c r="D14" s="1863" t="s">
        <v>1725</v>
      </c>
      <c r="E14" s="1864"/>
      <c r="F14" s="778"/>
      <c r="G14" s="1915"/>
      <c r="H14" s="1549" t="s">
        <v>1810</v>
      </c>
      <c r="I14" s="2081" t="s">
        <v>2724</v>
      </c>
      <c r="J14" s="53">
        <f ca="1">C29</f>
        <v>0</v>
      </c>
      <c r="K14" s="26"/>
      <c r="L14" s="774"/>
      <c r="M14" s="775"/>
    </row>
    <row r="15" spans="1:33" s="1917" customFormat="1" ht="18" customHeight="1" thickBot="1">
      <c r="A15" s="1548" t="s">
        <v>1861</v>
      </c>
      <c r="B15" s="757" t="s">
        <v>630</v>
      </c>
      <c r="C15" s="53">
        <f ca="1">ROUND(C14*F15,0)</f>
        <v>0</v>
      </c>
      <c r="D15" s="779" t="s">
        <v>1726</v>
      </c>
      <c r="E15" s="779" t="s">
        <v>1727</v>
      </c>
      <c r="F15" s="780">
        <f>'数据-取费表'!B33</f>
        <v>0.03</v>
      </c>
      <c r="G15" s="3193"/>
      <c r="H15" s="2343" t="s">
        <v>1865</v>
      </c>
      <c r="I15" s="2338" t="s">
        <v>1724</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5"/>
      <c r="H16" s="1715" t="s">
        <v>1728</v>
      </c>
      <c r="I16" s="1713" t="s">
        <v>1729</v>
      </c>
      <c r="J16" s="765">
        <f ca="1">ROUND(J17+J22+J23+J24,0)</f>
        <v>0</v>
      </c>
      <c r="K16" s="1707" t="s">
        <v>1730</v>
      </c>
      <c r="L16" s="2307"/>
      <c r="M16" s="2312"/>
    </row>
    <row r="17" spans="1:33" s="1917" customFormat="1" ht="18" customHeight="1">
      <c r="A17" s="1548" t="s">
        <v>1863</v>
      </c>
      <c r="B17" s="757" t="s">
        <v>636</v>
      </c>
      <c r="C17" s="53">
        <f ca="1">ROUND(F17*(F43+INDIRECT("'数据-取费表'!S"&amp;$G$1))/10000,0)</f>
        <v>0</v>
      </c>
      <c r="D17" s="757" t="s">
        <v>1731</v>
      </c>
      <c r="E17" s="757" t="s">
        <v>1732</v>
      </c>
      <c r="F17" s="56">
        <f>'数据-取费表'!B35</f>
        <v>200</v>
      </c>
      <c r="G17" s="3193"/>
      <c r="H17" s="1549" t="s">
        <v>1810</v>
      </c>
      <c r="I17" s="757" t="s">
        <v>639</v>
      </c>
      <c r="J17" s="2953">
        <f ca="1">ROUND(IF(AND(项目基本情况!B11="自然人",项目基本情况!B10="北京市"),J6*M17/(1+'数据-取费表'!C42),J18+J19+J20),0)</f>
        <v>0</v>
      </c>
      <c r="K17" s="2306" t="s">
        <v>1733</v>
      </c>
      <c r="L17" s="2305" t="s">
        <v>1734</v>
      </c>
      <c r="M17" s="2952"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1864</v>
      </c>
      <c r="B18" s="757" t="s">
        <v>642</v>
      </c>
      <c r="C18" s="53">
        <f ca="1">ROUND(C14*F18,0)</f>
        <v>0</v>
      </c>
      <c r="D18" s="757" t="s">
        <v>1726</v>
      </c>
      <c r="E18" s="757" t="s">
        <v>1727</v>
      </c>
      <c r="F18" s="782">
        <f>'数据-取费表'!B36</f>
        <v>1.4999999999999999E-2</v>
      </c>
      <c r="G18" s="3193"/>
      <c r="H18" s="1548" t="s">
        <v>1860</v>
      </c>
      <c r="I18" s="757" t="s">
        <v>1735</v>
      </c>
      <c r="J18" s="53">
        <f ca="1">ROUND(J6*M18/(1+'数据-取费表'!C42),1)</f>
        <v>0</v>
      </c>
      <c r="K18" s="2305" t="s">
        <v>1736</v>
      </c>
      <c r="L18" s="757" t="s">
        <v>1727</v>
      </c>
      <c r="M18" s="782">
        <f>'数据-取费表'!B41</f>
        <v>5.5000000000000007E-2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9" t="s">
        <v>1810</v>
      </c>
      <c r="B19" s="757" t="s">
        <v>645</v>
      </c>
      <c r="C19" s="53">
        <f ca="1">SUM(C14:C18)</f>
        <v>0</v>
      </c>
      <c r="D19" s="259" t="s">
        <v>1737</v>
      </c>
      <c r="E19" s="1866"/>
      <c r="F19" s="56"/>
      <c r="G19" s="1915"/>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7" customFormat="1" ht="18" customHeight="1">
      <c r="A20" s="1549" t="s">
        <v>1865</v>
      </c>
      <c r="B20" s="757" t="s">
        <v>649</v>
      </c>
      <c r="C20" s="53">
        <f ca="1">ROUND(C19*F20,0)</f>
        <v>0</v>
      </c>
      <c r="D20" s="784" t="s">
        <v>1739</v>
      </c>
      <c r="E20" s="757" t="s">
        <v>1727</v>
      </c>
      <c r="F20" s="782">
        <f>'数据-取费表'!B37</f>
        <v>0.02</v>
      </c>
      <c r="G20" s="3193"/>
      <c r="H20" s="1551" t="s">
        <v>1856</v>
      </c>
      <c r="I20" s="339" t="s">
        <v>1740</v>
      </c>
      <c r="J20" s="54">
        <f ca="1">ROUND(M20*M21/10000,0)</f>
        <v>0</v>
      </c>
      <c r="K20" s="786" t="s">
        <v>1741</v>
      </c>
      <c r="L20" s="757" t="s">
        <v>1742</v>
      </c>
      <c r="M20" s="615">
        <f>'数据-取费表'!B52</f>
        <v>3</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1866</v>
      </c>
      <c r="B21" s="757" t="s">
        <v>1743</v>
      </c>
      <c r="C21" s="53" t="s">
        <v>1744</v>
      </c>
      <c r="D21" s="784" t="s">
        <v>2270</v>
      </c>
      <c r="E21" s="757" t="s">
        <v>1745</v>
      </c>
      <c r="F21" s="782">
        <f>'数据-取费表'!B38</f>
        <v>0.02</v>
      </c>
      <c r="G21" s="3193"/>
      <c r="H21" s="2327"/>
      <c r="I21" s="766"/>
      <c r="J21" s="69"/>
      <c r="K21" s="788"/>
      <c r="L21" s="757" t="s">
        <v>1746</v>
      </c>
      <c r="M21" s="758">
        <f ca="1">INDIRECT("'数据-取费表'!r"&amp;$G$1)</f>
        <v>0</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9" t="s">
        <v>1867</v>
      </c>
      <c r="B22" s="757" t="s">
        <v>1747</v>
      </c>
      <c r="C22" s="53"/>
      <c r="D22" s="2362" t="str">
        <f>IF(F23&lt;=1,"单利计息。","复利计息。")&amp;"建造成本、管理费用、销售费用产生的利息。"</f>
        <v>复利计息。建造成本、管理费用、销售费用产生的利息。</v>
      </c>
      <c r="E22" s="1866"/>
      <c r="F22" s="56"/>
      <c r="G22" s="1915"/>
      <c r="H22" s="1549" t="s">
        <v>1865</v>
      </c>
      <c r="I22" s="757" t="s">
        <v>1748</v>
      </c>
      <c r="J22" s="53">
        <f ca="1">ROUND(J14*M22,0)</f>
        <v>0</v>
      </c>
      <c r="K22" s="2305" t="s">
        <v>1749</v>
      </c>
      <c r="L22" s="757" t="s">
        <v>1727</v>
      </c>
      <c r="M22" s="789">
        <f ca="1">INDIRECT("'数据-取费表'!Ak"&amp;$G$1)</f>
        <v>0</v>
      </c>
    </row>
    <row r="23" spans="1:33" s="1917" customFormat="1" ht="18" customHeight="1">
      <c r="A23" s="1548"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v>
      </c>
      <c r="G23" s="3193"/>
      <c r="H23" s="1549" t="s">
        <v>1866</v>
      </c>
      <c r="I23" s="757" t="s">
        <v>662</v>
      </c>
      <c r="J23" s="53">
        <f ca="1">ROUND(J13*M23,0)</f>
        <v>0</v>
      </c>
      <c r="K23" s="2305" t="s">
        <v>1751</v>
      </c>
      <c r="L23" s="757" t="s">
        <v>1727</v>
      </c>
      <c r="M23" s="790">
        <f ca="1">INDIRECT("'数据-取费表'!Al"&amp;$G$1)</f>
        <v>0</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1812</v>
      </c>
      <c r="B24" s="757" t="s">
        <v>1752</v>
      </c>
      <c r="C24" s="53">
        <f ca="1">ROUND(IF('数据-取费表'!B22&lt;=1,F21*F24*F23/2,F21*(POWER((1+F24),F23/2)-1)),4)</f>
        <v>8.0000000000000004E-4</v>
      </c>
      <c r="D24" s="2361" t="str">
        <f>IF(F23&lt;=1,"销售费用×利率×(建设周期÷2)","销售费用×((1+利率)^(建设周期÷2)-1)")</f>
        <v>销售费用×((1+利率)^(建设周期÷2)-1)</v>
      </c>
      <c r="E24" s="757" t="s">
        <v>1753</v>
      </c>
      <c r="F24" s="791">
        <f ca="1">'数据-取费表'!B40</f>
        <v>4.2000000000000003E-2</v>
      </c>
      <c r="G24" s="3193"/>
      <c r="H24" s="2343" t="s">
        <v>1867</v>
      </c>
      <c r="I24" s="2338" t="s">
        <v>649</v>
      </c>
      <c r="J24" s="2336">
        <f ca="1">ROUND(J5*M24,0)</f>
        <v>0</v>
      </c>
      <c r="K24" s="2337" t="s">
        <v>1754</v>
      </c>
      <c r="L24" s="2338" t="s">
        <v>1727</v>
      </c>
      <c r="M24" s="2334">
        <f ca="1">INDIRECT("'数据-取费表'!Am"&amp;$G$1)</f>
        <v>0</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1820</v>
      </c>
      <c r="B25" s="757" t="s">
        <v>667</v>
      </c>
      <c r="C25" s="53"/>
      <c r="D25" s="259" t="s">
        <v>1755</v>
      </c>
      <c r="E25" s="1866"/>
      <c r="F25" s="56"/>
      <c r="G25" s="1915"/>
      <c r="H25" s="1715" t="s">
        <v>1756</v>
      </c>
      <c r="I25" s="2660" t="s">
        <v>2720</v>
      </c>
      <c r="J25" s="765">
        <f ca="1">J5-J16</f>
        <v>0</v>
      </c>
      <c r="K25" s="2340" t="s">
        <v>1757</v>
      </c>
      <c r="L25" s="2341"/>
      <c r="M25" s="2342"/>
    </row>
    <row r="26" spans="1:33" ht="18" customHeight="1">
      <c r="A26" s="1548" t="s">
        <v>1811</v>
      </c>
      <c r="B26" s="757" t="s">
        <v>2402</v>
      </c>
      <c r="C26" s="53">
        <f ca="1">ROUND((C19+C20)*F26,0)</f>
        <v>0</v>
      </c>
      <c r="D26" s="784" t="s">
        <v>1758</v>
      </c>
      <c r="E26" s="768" t="s">
        <v>1759</v>
      </c>
      <c r="F26" s="767">
        <f ca="1">INDIRECT("'数据-取费表'!q"&amp;$G$1)</f>
        <v>0</v>
      </c>
      <c r="G26" s="1915"/>
      <c r="H26" s="2323" t="s">
        <v>1760</v>
      </c>
      <c r="I26" s="2082" t="s">
        <v>2725</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5"/>
      <c r="H27" s="2324"/>
      <c r="I27" s="760"/>
      <c r="J27" s="761"/>
      <c r="K27" s="793" t="s">
        <v>1763</v>
      </c>
      <c r="L27" s="757" t="s">
        <v>1764</v>
      </c>
      <c r="M27" s="794">
        <f ca="1">INDIRECT("'数据-取费表'!ag"&amp;$G$1)</f>
        <v>0</v>
      </c>
    </row>
    <row r="28" spans="1:33" s="1917" customFormat="1" ht="18" customHeight="1">
      <c r="A28" s="1550" t="s">
        <v>1821</v>
      </c>
      <c r="B28" s="757" t="s">
        <v>670</v>
      </c>
      <c r="C28" s="53">
        <f>ROUND(F28/(1+'数据-取费表'!C42),4)</f>
        <v>5.2400000000000002E-2</v>
      </c>
      <c r="D28" s="784" t="s">
        <v>2271</v>
      </c>
      <c r="E28" s="757" t="s">
        <v>1765</v>
      </c>
      <c r="F28" s="782">
        <f>'数据-取费表'!B41</f>
        <v>5.5000000000000007E-2</v>
      </c>
      <c r="G28" s="3193"/>
      <c r="H28" s="1715"/>
      <c r="I28" s="764"/>
      <c r="J28" s="765"/>
      <c r="K28" s="788"/>
      <c r="L28" s="757" t="s">
        <v>1766</v>
      </c>
      <c r="M28" s="767">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1868</v>
      </c>
      <c r="B29" s="2333" t="s">
        <v>2272</v>
      </c>
      <c r="C29" s="2336">
        <f ca="1">ROUND((C19+C20+C23+C26)/(1-F21-C24-C27-C28),0)</f>
        <v>0</v>
      </c>
      <c r="D29" s="2337"/>
      <c r="E29" s="2338"/>
      <c r="F29" s="2339"/>
      <c r="G29" s="3193"/>
      <c r="H29" s="795" t="s">
        <v>1767</v>
      </c>
      <c r="I29" s="796" t="s">
        <v>1768</v>
      </c>
      <c r="J29" s="797">
        <f ca="1">ROUND(J26/(1+F40)^F41,0)</f>
        <v>0</v>
      </c>
      <c r="K29" s="798" t="s">
        <v>1769</v>
      </c>
      <c r="L29" s="799"/>
      <c r="M29" s="800">
        <f ca="1">INDIRECT("'数据-取费表'!k"&amp;$G$1)</f>
        <v>0</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1869</v>
      </c>
      <c r="B30" s="1713" t="s">
        <v>1770</v>
      </c>
      <c r="C30" s="765">
        <f ca="1">ROUND(C31+C36+C37+C38,0)</f>
        <v>0</v>
      </c>
      <c r="D30" s="1707" t="s">
        <v>1771</v>
      </c>
      <c r="E30" s="2307"/>
      <c r="F30" s="2312"/>
      <c r="G30" s="1915"/>
      <c r="H30" s="1918"/>
      <c r="I30" s="1919"/>
      <c r="J30" s="1920"/>
      <c r="K30" s="1921"/>
      <c r="L30" s="1922"/>
      <c r="M30" s="1923"/>
    </row>
    <row r="31" spans="1:33" ht="18" customHeight="1">
      <c r="A31" s="1549" t="s">
        <v>1810</v>
      </c>
      <c r="B31" s="757" t="s">
        <v>639</v>
      </c>
      <c r="C31" s="2953">
        <f ca="1">ROUND(IF(AND(项目基本情况!B11="自然人",项目基本情况!B10="北京市"),C6*F31/(1+'数据-取费表'!C42),C32+C33+C34),0)</f>
        <v>0</v>
      </c>
      <c r="D31" s="1863" t="s">
        <v>1772</v>
      </c>
      <c r="E31" s="1861" t="s">
        <v>1773</v>
      </c>
      <c r="F31" s="2952" t="str">
        <f>IF(项目基本情况!B11="企业","——",IF('数据-取费表'!B10="住宅",IF(F6*F7*F8/12/(1+'数据-取费表'!F30)&gt;100000,4%,2.5%),IF(F6*F7*F8/12/(1+'数据-取费表'!F30)&gt;100000,12%,7%)))</f>
        <v>——</v>
      </c>
      <c r="G31" s="1915"/>
      <c r="H31" s="3190" t="s">
        <v>2905</v>
      </c>
      <c r="I31" s="1919"/>
      <c r="J31" s="1920"/>
      <c r="K31" s="1921"/>
      <c r="L31" s="1922"/>
      <c r="M31" s="1923"/>
    </row>
    <row r="32" spans="1:33" ht="18" customHeight="1">
      <c r="A32" s="1548" t="s">
        <v>1811</v>
      </c>
      <c r="B32" s="757" t="s">
        <v>1774</v>
      </c>
      <c r="C32" s="53">
        <f ca="1">ROUND(C6*F32/(1+'数据-取费表'!C42),1)</f>
        <v>0</v>
      </c>
      <c r="D32" s="1861" t="s">
        <v>1775</v>
      </c>
      <c r="E32" s="757" t="s">
        <v>1776</v>
      </c>
      <c r="F32" s="782">
        <f>'数据-取费表'!B41</f>
        <v>5.5000000000000007E-2</v>
      </c>
      <c r="G32" s="1915"/>
      <c r="H32" s="1924"/>
      <c r="I32" s="1925"/>
      <c r="J32" s="1926"/>
      <c r="K32" s="1927"/>
      <c r="L32" s="1928"/>
      <c r="M32" s="1929"/>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5"/>
      <c r="H33" s="1930"/>
      <c r="I33" s="1930"/>
      <c r="J33" s="1930"/>
      <c r="K33" s="1931"/>
      <c r="L33" s="1930"/>
      <c r="M33" s="1930"/>
    </row>
    <row r="34" spans="1:18" ht="18" customHeight="1">
      <c r="A34" s="1551" t="s">
        <v>1813</v>
      </c>
      <c r="B34" s="339" t="s">
        <v>1778</v>
      </c>
      <c r="C34" s="54">
        <f ca="1">ROUND(F34*F35/10000,1)</f>
        <v>0</v>
      </c>
      <c r="D34" s="786" t="s">
        <v>1779</v>
      </c>
      <c r="E34" s="757" t="s">
        <v>1780</v>
      </c>
      <c r="F34" s="615">
        <f>'数据-取费表'!B52</f>
        <v>3</v>
      </c>
      <c r="G34" s="1915"/>
      <c r="H34" s="1918"/>
      <c r="I34" s="807" t="s">
        <v>1793</v>
      </c>
      <c r="J34" s="808"/>
      <c r="K34" s="1933"/>
      <c r="L34" s="1932"/>
      <c r="M34" s="1932"/>
    </row>
    <row r="35" spans="1:18" ht="18" customHeight="1">
      <c r="A35" s="787"/>
      <c r="B35" s="766"/>
      <c r="C35" s="69"/>
      <c r="D35" s="788"/>
      <c r="E35" s="757" t="s">
        <v>1781</v>
      </c>
      <c r="F35" s="758">
        <f ca="1">INDIRECT("'数据-取费表'!r"&amp;$G$1)</f>
        <v>0</v>
      </c>
      <c r="G35" s="1915"/>
      <c r="H35" s="1918"/>
      <c r="I35" s="809" t="s">
        <v>1794</v>
      </c>
      <c r="J35" s="810">
        <f ca="1">ROUND(C13*J36,0)</f>
        <v>0</v>
      </c>
      <c r="K35" s="1931"/>
      <c r="L35" s="1930"/>
      <c r="M35" s="1930"/>
    </row>
    <row r="36" spans="1:18" ht="18" customHeight="1">
      <c r="A36" s="1549" t="s">
        <v>1865</v>
      </c>
      <c r="B36" s="757" t="s">
        <v>1782</v>
      </c>
      <c r="C36" s="53">
        <f ca="1">ROUND(C29*F36,1)</f>
        <v>0</v>
      </c>
      <c r="D36" s="1861" t="s">
        <v>1783</v>
      </c>
      <c r="E36" s="757" t="s">
        <v>1776</v>
      </c>
      <c r="F36" s="789">
        <f ca="1">INDIRECT("'数据-取费表'!Ak"&amp;$G$1)</f>
        <v>0</v>
      </c>
      <c r="G36" s="1915"/>
      <c r="H36" s="1930"/>
      <c r="I36" s="811" t="s">
        <v>1795</v>
      </c>
      <c r="J36" s="812">
        <f ca="1">INDIRECT("'数据-取费表'!j"&amp;$G$1)</f>
        <v>0</v>
      </c>
      <c r="K36" s="1934"/>
      <c r="L36" s="1930"/>
      <c r="M36" s="1930"/>
    </row>
    <row r="37" spans="1:18" ht="18" customHeight="1">
      <c r="A37" s="1549" t="s">
        <v>1866</v>
      </c>
      <c r="B37" s="757" t="s">
        <v>662</v>
      </c>
      <c r="C37" s="53">
        <f ca="1">ROUND(C13*F37,1)</f>
        <v>0</v>
      </c>
      <c r="D37" s="1861" t="s">
        <v>1784</v>
      </c>
      <c r="E37" s="757" t="s">
        <v>1776</v>
      </c>
      <c r="F37" s="790">
        <f ca="1">INDIRECT("'数据-取费表'!Al"&amp;$G$1)</f>
        <v>0</v>
      </c>
      <c r="G37" s="1915"/>
      <c r="H37" s="1930"/>
      <c r="I37" s="813" t="s">
        <v>1796</v>
      </c>
      <c r="J37" s="814"/>
      <c r="K37" s="1934"/>
      <c r="L37" s="1930"/>
      <c r="M37" s="1930"/>
    </row>
    <row r="38" spans="1:18" ht="18" customHeight="1" thickBot="1">
      <c r="A38" s="2343" t="s">
        <v>1867</v>
      </c>
      <c r="B38" s="2338" t="s">
        <v>649</v>
      </c>
      <c r="C38" s="2336">
        <f ca="1">ROUND(C5*F38,1)</f>
        <v>0</v>
      </c>
      <c r="D38" s="2337" t="s">
        <v>1785</v>
      </c>
      <c r="E38" s="2338" t="s">
        <v>1776</v>
      </c>
      <c r="F38" s="2334">
        <f ca="1">INDIRECT("'数据-取费表'!Am"&amp;$G$1)</f>
        <v>0</v>
      </c>
      <c r="G38" s="1915"/>
      <c r="H38" s="1930"/>
      <c r="I38" s="815" t="s">
        <v>1797</v>
      </c>
      <c r="J38" s="816"/>
      <c r="K38" s="1935"/>
      <c r="L38" s="1930"/>
      <c r="M38" s="1930"/>
    </row>
    <row r="39" spans="1:18" ht="24.6" customHeight="1" thickTop="1">
      <c r="A39" s="1715" t="s">
        <v>1870</v>
      </c>
      <c r="B39" s="2660" t="s">
        <v>2720</v>
      </c>
      <c r="C39" s="765">
        <f ca="1">C5-C30</f>
        <v>0</v>
      </c>
      <c r="D39" s="2340" t="s">
        <v>1786</v>
      </c>
      <c r="E39" s="2341"/>
      <c r="F39" s="2342"/>
      <c r="G39" s="1915"/>
      <c r="H39" s="1930"/>
      <c r="I39" s="809" t="s">
        <v>1798</v>
      </c>
      <c r="J39" s="817" t="e">
        <f ca="1">ROUND(J35/C39,3)</f>
        <v>#DIV/0!</v>
      </c>
      <c r="K39" s="1935"/>
      <c r="L39" s="1930"/>
      <c r="M39" s="1930"/>
    </row>
    <row r="40" spans="1:18" ht="18" customHeight="1">
      <c r="A40" s="754" t="s">
        <v>1871</v>
      </c>
      <c r="B40" s="2082" t="s">
        <v>2273</v>
      </c>
      <c r="C40" s="756" t="e">
        <f ca="1">ROUND(C39*(1-((1+F42)/(1+F40))^F41)/(F40-F42),0)</f>
        <v>#DIV/0!</v>
      </c>
      <c r="D40" s="786" t="s">
        <v>1787</v>
      </c>
      <c r="E40" s="757" t="s">
        <v>2388</v>
      </c>
      <c r="F40" s="767">
        <f ca="1">INDIRECT("'数据-取费表'!I"&amp;$G$1)</f>
        <v>0</v>
      </c>
      <c r="G40" s="1915"/>
      <c r="H40" s="1915"/>
      <c r="I40" s="809" t="s">
        <v>1799</v>
      </c>
      <c r="J40" s="817" t="e">
        <f ca="1">1-J39</f>
        <v>#DIV/0!</v>
      </c>
      <c r="K40" s="1935"/>
      <c r="L40" s="1915"/>
      <c r="M40" s="1915"/>
    </row>
    <row r="41" spans="1:18" ht="18" customHeight="1">
      <c r="A41" s="759"/>
      <c r="B41" s="760"/>
      <c r="C41" s="761"/>
      <c r="D41" s="793" t="s">
        <v>1788</v>
      </c>
      <c r="E41" s="757" t="s">
        <v>2840</v>
      </c>
      <c r="F41" s="794">
        <f ca="1">IF(INDIRECT("'数据-取费表'!af"&amp;$G$1)=0,INDIRECT("'数据-取费表'!ae"&amp;$G$1),INDIRECT("'数据-取费表'!af"&amp;$G$1))</f>
        <v>0</v>
      </c>
      <c r="G41" s="1915"/>
      <c r="H41" s="1870"/>
      <c r="I41" s="815" t="s">
        <v>1800</v>
      </c>
      <c r="J41" s="818"/>
      <c r="K41" s="1934"/>
      <c r="L41" s="1870"/>
      <c r="M41" s="1870"/>
    </row>
    <row r="42" spans="1:18" ht="18" customHeight="1">
      <c r="A42" s="763"/>
      <c r="B42" s="764"/>
      <c r="C42" s="765"/>
      <c r="D42" s="788"/>
      <c r="E42" s="757" t="s">
        <v>1789</v>
      </c>
      <c r="F42" s="767">
        <f ca="1">INDIRECT("'数据-取费表'!v"&amp;$G$1)</f>
        <v>0</v>
      </c>
      <c r="G42" s="1915"/>
      <c r="H42" s="1870"/>
      <c r="I42" s="819" t="s">
        <v>1801</v>
      </c>
      <c r="J42" s="817" t="e">
        <f ca="1">ROUND(C13/C40,3)</f>
        <v>#DIV/0!</v>
      </c>
      <c r="K42" s="1934"/>
      <c r="L42" s="1870"/>
      <c r="M42" s="1870"/>
    </row>
    <row r="43" spans="1:18" ht="18" customHeight="1" thickBot="1">
      <c r="A43" s="795" t="s">
        <v>1767</v>
      </c>
      <c r="B43" s="796" t="s">
        <v>1790</v>
      </c>
      <c r="C43" s="797" t="e">
        <f ca="1">ROUND(C40*10000/F43,0)</f>
        <v>#DIV/0!</v>
      </c>
      <c r="D43" s="798" t="s">
        <v>1791</v>
      </c>
      <c r="E43" s="799" t="s">
        <v>1792</v>
      </c>
      <c r="F43" s="800">
        <f ca="1">INDIRECT("'数据-取费表'!k"&amp;$G$1)</f>
        <v>0</v>
      </c>
      <c r="G43" s="1915"/>
      <c r="H43" s="1870"/>
      <c r="I43" s="819" t="s">
        <v>1802</v>
      </c>
      <c r="J43" s="820" t="e">
        <f ca="1">1-J42</f>
        <v>#DIV/0!</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2267</v>
      </c>
      <c r="B46" s="1937"/>
      <c r="C46" s="2364" t="e">
        <f ca="1">C67-C40</f>
        <v>#DIV/0!</v>
      </c>
      <c r="D46" s="3194"/>
      <c r="E46" s="3194"/>
      <c r="F46" s="3194"/>
      <c r="I46" s="2203" t="s">
        <v>2312</v>
      </c>
      <c r="J46" s="2204"/>
      <c r="K46" s="2205"/>
      <c r="L46" s="2745" t="e">
        <f ca="1">IF(OR(M47="住宅",D1="土地（套用方法）"),0,IF(L48&gt;J51,L60,J60))</f>
        <v>#DIV/0!</v>
      </c>
      <c r="M46" s="3195"/>
      <c r="O46" s="2219" t="s">
        <v>2379</v>
      </c>
      <c r="P46" s="1499"/>
      <c r="Q46" s="1507"/>
      <c r="R46" s="1499"/>
    </row>
    <row r="47" spans="1:18" s="1912" customFormat="1" ht="18" customHeight="1" thickBot="1">
      <c r="A47" s="2197">
        <v>1</v>
      </c>
      <c r="B47" s="2198" t="s">
        <v>618</v>
      </c>
      <c r="C47" s="2364">
        <f ca="1">C48+C52+C54</f>
        <v>0</v>
      </c>
      <c r="D47" s="3194"/>
      <c r="E47" s="3194"/>
      <c r="F47" s="3194"/>
      <c r="I47" s="2736" t="s">
        <v>2313</v>
      </c>
      <c r="J47" s="2206"/>
      <c r="K47" s="2742" t="s">
        <v>2318</v>
      </c>
      <c r="L47" s="2746">
        <f ca="1">INDIRECT("'数据-取费表'!d"&amp;$G$1)</f>
        <v>0</v>
      </c>
      <c r="M47" s="1507" t="str">
        <f>IF(ISNUMBER(FIND("住宅",C1)),"住宅","非住宅")</f>
        <v>非住宅</v>
      </c>
      <c r="O47" s="2220" t="s">
        <v>2344</v>
      </c>
      <c r="P47" s="2221" t="s">
        <v>2345</v>
      </c>
      <c r="Q47" s="2222" t="s">
        <v>2346</v>
      </c>
      <c r="R47" s="2221" t="s">
        <v>2347</v>
      </c>
    </row>
    <row r="48" spans="1:18" s="1912" customFormat="1" ht="18" customHeight="1" thickBot="1">
      <c r="A48" s="2422" t="s">
        <v>2437</v>
      </c>
      <c r="B48" s="2423" t="s">
        <v>2438</v>
      </c>
      <c r="C48" s="2199">
        <f ca="1">ROUND(F48*F50*F49*(1-F51)/10000,0)</f>
        <v>0</v>
      </c>
      <c r="D48" s="2200" t="s">
        <v>619</v>
      </c>
      <c r="E48" s="2201" t="s">
        <v>2268</v>
      </c>
      <c r="F48" s="2202"/>
      <c r="G48" s="1942"/>
      <c r="I48" s="2733" t="s">
        <v>2314</v>
      </c>
      <c r="J48" s="2207"/>
      <c r="K48" s="2743" t="s">
        <v>2320</v>
      </c>
      <c r="L48" s="1793">
        <f ca="1">INDIRECT("'数据-取费表'!f"&amp;$G$1)</f>
        <v>0</v>
      </c>
      <c r="M48" s="3195"/>
      <c r="O48" s="2223" t="s">
        <v>2348</v>
      </c>
      <c r="P48" s="2224" t="s">
        <v>2374</v>
      </c>
      <c r="Q48" s="2225" t="e">
        <f ca="1">C40+J29</f>
        <v>#DIV/0!</v>
      </c>
      <c r="R48" s="2224" t="s">
        <v>2349</v>
      </c>
    </row>
    <row r="49" spans="1:18" s="1912" customFormat="1" ht="18" customHeight="1" thickBot="1">
      <c r="A49" s="759"/>
      <c r="B49" s="760"/>
      <c r="C49" s="761"/>
      <c r="D49" s="762"/>
      <c r="E49" s="757" t="s">
        <v>1719</v>
      </c>
      <c r="F49" s="758">
        <f ca="1">F7</f>
        <v>0</v>
      </c>
      <c r="G49" s="1942"/>
      <c r="H49" s="1945"/>
      <c r="I49" s="2733" t="s">
        <v>2315</v>
      </c>
      <c r="J49" s="2208"/>
      <c r="K49" s="2744" t="s">
        <v>2321</v>
      </c>
      <c r="L49" s="2209"/>
      <c r="M49" s="3195"/>
      <c r="O49" s="2223" t="s">
        <v>2350</v>
      </c>
      <c r="P49" s="2224" t="s">
        <v>2375</v>
      </c>
      <c r="Q49" s="2225" t="e">
        <f ca="1">J60</f>
        <v>#DIV/0!</v>
      </c>
      <c r="R49" s="2224" t="s">
        <v>2351</v>
      </c>
    </row>
    <row r="50" spans="1:18" s="1912" customFormat="1" ht="18" customHeight="1" thickBot="1">
      <c r="A50" s="759"/>
      <c r="B50" s="760"/>
      <c r="C50" s="761"/>
      <c r="D50" s="762"/>
      <c r="E50" s="757" t="s">
        <v>1720</v>
      </c>
      <c r="F50" s="758">
        <f ca="1">F8</f>
        <v>0</v>
      </c>
      <c r="G50" s="1947"/>
      <c r="H50" s="1945"/>
      <c r="I50" s="2733" t="s">
        <v>2316</v>
      </c>
      <c r="J50" s="2740">
        <f>SUMPRODUCT((I63:I65=J47)*(J62:L62=J48)*(J63:L65))</f>
        <v>0</v>
      </c>
      <c r="K50" s="2744" t="s">
        <v>2322</v>
      </c>
      <c r="L50" s="2209"/>
      <c r="M50" s="3195"/>
      <c r="O50" s="2226" t="s">
        <v>2352</v>
      </c>
      <c r="P50" s="2224" t="s">
        <v>2376</v>
      </c>
      <c r="Q50" s="2225">
        <f ca="1">C29</f>
        <v>0</v>
      </c>
      <c r="R50" s="2224" t="s">
        <v>2349</v>
      </c>
    </row>
    <row r="51" spans="1:18" s="1912" customFormat="1" ht="18" customHeight="1" thickBot="1">
      <c r="A51" s="759"/>
      <c r="B51" s="760"/>
      <c r="C51" s="761"/>
      <c r="D51" s="762"/>
      <c r="E51" s="757" t="s">
        <v>623</v>
      </c>
      <c r="F51" s="2196"/>
      <c r="H51" s="1945"/>
      <c r="I51" s="2737" t="s">
        <v>2317</v>
      </c>
      <c r="J51" s="2741">
        <f>IF(J49="",J50,J49+J50-YEAR('数据-取费表'!B2))</f>
        <v>0</v>
      </c>
      <c r="K51" s="2733" t="s">
        <v>2323</v>
      </c>
      <c r="L51" s="2747">
        <f ca="1">ROUND(-PV(INDIRECT("'数据-取费表'!h"&amp;$G$1),J51,(C39-C13*J36),0),0)</f>
        <v>0</v>
      </c>
      <c r="M51" s="3195"/>
      <c r="O51" s="2226" t="s">
        <v>2353</v>
      </c>
      <c r="P51" s="2224" t="s">
        <v>2354</v>
      </c>
      <c r="Q51" s="2227" t="e">
        <f ca="1">J58</f>
        <v>#DIV/0!</v>
      </c>
      <c r="R51" s="2228"/>
    </row>
    <row r="52" spans="1:18" s="1912" customFormat="1" ht="18" customHeight="1" thickBot="1">
      <c r="A52" s="754" t="s">
        <v>2436</v>
      </c>
      <c r="B52" s="2315" t="s">
        <v>2420</v>
      </c>
      <c r="C52" s="772">
        <f ca="1">ROUND(IF(F52="押一",C48/12*F11,IF(F52="押二",C48/12*2*F11,IF(F52="押三",C48/12*3*F11,C53*F11))),0)</f>
        <v>0</v>
      </c>
      <c r="D52" s="2322" t="s">
        <v>2850</v>
      </c>
      <c r="E52" s="2319" t="s">
        <v>2425</v>
      </c>
      <c r="F52" s="2403"/>
      <c r="I52" s="2738" t="s">
        <v>2390</v>
      </c>
      <c r="J52" s="2210"/>
      <c r="K52" s="2738" t="s">
        <v>2389</v>
      </c>
      <c r="L52" s="2210"/>
      <c r="M52" s="3195"/>
      <c r="O52" s="2226" t="s">
        <v>2355</v>
      </c>
      <c r="P52" s="2224" t="s">
        <v>2356</v>
      </c>
      <c r="Q52" s="2227">
        <f>J52</f>
        <v>0</v>
      </c>
      <c r="R52" s="2228"/>
    </row>
    <row r="53" spans="1:18" s="1912" customFormat="1" ht="39.75" customHeight="1" thickBot="1">
      <c r="A53" s="759"/>
      <c r="B53" s="2316" t="s">
        <v>2473</v>
      </c>
      <c r="C53" s="2320"/>
      <c r="D53" s="2322"/>
      <c r="E53" s="2319"/>
      <c r="F53" s="773"/>
      <c r="I53" s="2739" t="s">
        <v>2853</v>
      </c>
      <c r="J53" s="2792">
        <f ca="1">IF(M47="住宅",IF(D1="——",MAX(J51,L48),MAX(J51,L48-'数据-取费表'!B20)),IF(D1="——",MIN(J51,L48),MIN(J51,L48-'数据-取费表'!B20)))</f>
        <v>0</v>
      </c>
      <c r="K53" s="3720" t="s">
        <v>2842</v>
      </c>
      <c r="L53" s="3721"/>
      <c r="M53" s="3195"/>
      <c r="O53" s="2226" t="s">
        <v>2357</v>
      </c>
      <c r="P53" s="2224" t="s">
        <v>2358</v>
      </c>
      <c r="Q53" s="2225">
        <f ca="1">J53</f>
        <v>0</v>
      </c>
      <c r="R53" s="2224" t="s">
        <v>2359</v>
      </c>
    </row>
    <row r="54" spans="1:18" s="1912" customFormat="1" ht="18" customHeight="1" thickBot="1">
      <c r="A54" s="2329" t="s">
        <v>2428</v>
      </c>
      <c r="B54" s="2330" t="s">
        <v>2421</v>
      </c>
      <c r="C54" s="2331"/>
      <c r="D54" s="2322"/>
      <c r="E54" s="2319"/>
      <c r="F54" s="773"/>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8"/>
      <c r="M54" s="3195"/>
      <c r="O54" s="2223" t="s">
        <v>2360</v>
      </c>
      <c r="P54" s="2224" t="s">
        <v>2377</v>
      </c>
      <c r="Q54" s="2225" t="e">
        <f ca="1">Q48+Q49</f>
        <v>#DIV/0!</v>
      </c>
      <c r="R54" s="2228" t="s">
        <v>2361</v>
      </c>
    </row>
    <row r="55" spans="1:18" s="1912"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5"/>
      <c r="O55" s="2229" t="s">
        <v>2380</v>
      </c>
      <c r="P55" s="1499"/>
      <c r="Q55" s="1507"/>
      <c r="R55" s="1499"/>
    </row>
    <row r="56" spans="1:18" s="1912" customFormat="1" ht="42.75" customHeight="1" thickBot="1">
      <c r="A56" s="1550"/>
      <c r="B56" s="2081" t="s">
        <v>2274</v>
      </c>
      <c r="C56" s="53">
        <f ca="1">C29</f>
        <v>0</v>
      </c>
      <c r="D56" s="2419"/>
      <c r="E56" s="757"/>
      <c r="F56" s="782"/>
      <c r="I56" s="2752" t="s">
        <v>2326</v>
      </c>
      <c r="J56" s="2762"/>
      <c r="K56" s="2733" t="s">
        <v>2331</v>
      </c>
      <c r="L56" s="1793">
        <f ca="1">IF(L48&lt;J51,"——",L48-J51)</f>
        <v>0</v>
      </c>
      <c r="M56" s="3195"/>
      <c r="O56" s="2220" t="s">
        <v>2344</v>
      </c>
      <c r="P56" s="2221" t="s">
        <v>2345</v>
      </c>
      <c r="Q56" s="2222" t="s">
        <v>2346</v>
      </c>
      <c r="R56" s="2221" t="s">
        <v>2347</v>
      </c>
    </row>
    <row r="57" spans="1:18" s="1912"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3">
        <f ca="1">IF(L48&lt;J51,"——",IF(L55="比较法",L49,IF(L55="基准地价",L50,L51)))</f>
        <v>0</v>
      </c>
      <c r="M57" s="3195"/>
      <c r="O57" s="2223" t="s">
        <v>2348</v>
      </c>
      <c r="P57" s="2224" t="s">
        <v>2378</v>
      </c>
      <c r="Q57" s="2225" t="e">
        <f ca="1">C40+J29</f>
        <v>#DIV/0!</v>
      </c>
      <c r="R57" s="2224" t="s">
        <v>2349</v>
      </c>
    </row>
    <row r="58" spans="1:18" s="1912" customFormat="1" ht="28.5" customHeight="1" thickBot="1">
      <c r="A58" s="1549" t="s">
        <v>1804</v>
      </c>
      <c r="B58" s="757" t="s">
        <v>639</v>
      </c>
      <c r="C58" s="2953">
        <f ca="1">ROUND(IF(AND(项目基本情况!B11="自然人",项目基本情况!B10="北京市"),C48*F58/(1+'数据-取费表'!C42),C59+C60+C61),0)</f>
        <v>0</v>
      </c>
      <c r="D58" s="2418" t="s">
        <v>640</v>
      </c>
      <c r="E58" s="2419"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3" t="e">
        <f ca="1">ROUND(POWER(1+L52,L47-L48)*(POWER(1+L52,L48)-1)/(POWER(1+L52,L47)-1),4)</f>
        <v>#DIV/0!</v>
      </c>
      <c r="M58" s="3195"/>
      <c r="O58" s="2223" t="s">
        <v>2350</v>
      </c>
      <c r="P58" s="2224" t="s">
        <v>2381</v>
      </c>
      <c r="Q58" s="2225" t="e">
        <f ca="1">L60</f>
        <v>#DIV/0!</v>
      </c>
      <c r="R58" s="2228" t="s">
        <v>2383</v>
      </c>
    </row>
    <row r="59" spans="1:18" s="1912" customFormat="1" ht="28.5" customHeight="1" thickBot="1">
      <c r="A59" s="1548" t="s">
        <v>1811</v>
      </c>
      <c r="B59" s="757" t="s">
        <v>643</v>
      </c>
      <c r="C59" s="53">
        <f ca="1">ROUND(C47*F59/1.05,1)</f>
        <v>0</v>
      </c>
      <c r="D59" s="2419" t="s">
        <v>1736</v>
      </c>
      <c r="E59" s="757" t="s">
        <v>1727</v>
      </c>
      <c r="F59" s="782">
        <f t="shared" ref="F59:F65" si="0">F32</f>
        <v>5.5000000000000007E-2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195"/>
      <c r="O59" s="2226" t="s">
        <v>2352</v>
      </c>
      <c r="P59" s="2224" t="s">
        <v>2382</v>
      </c>
      <c r="Q59" s="2225">
        <f>IF(L55="比较法",L49,IF(L55="基准地价",L50,0))</f>
        <v>0</v>
      </c>
      <c r="R59" s="2224" t="s">
        <v>2349</v>
      </c>
    </row>
    <row r="60" spans="1:18" s="1912" customFormat="1" ht="18" customHeight="1" thickBot="1">
      <c r="A60" s="1548"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5"/>
      <c r="O60" s="2226" t="s">
        <v>2353</v>
      </c>
      <c r="P60" s="2224" t="s">
        <v>2362</v>
      </c>
      <c r="Q60" s="2227">
        <f>L52</f>
        <v>0</v>
      </c>
      <c r="R60" s="2228"/>
    </row>
    <row r="61" spans="1:18" s="1912" customFormat="1" ht="18" customHeight="1" thickBot="1">
      <c r="A61" s="1551" t="s">
        <v>1813</v>
      </c>
      <c r="B61" s="339" t="s">
        <v>651</v>
      </c>
      <c r="C61" s="54">
        <f ca="1">ROUND(F61*F62/10000,1)</f>
        <v>0</v>
      </c>
      <c r="D61" s="786" t="s">
        <v>652</v>
      </c>
      <c r="E61" s="757" t="s">
        <v>653</v>
      </c>
      <c r="F61" s="615">
        <f t="shared" si="0"/>
        <v>3</v>
      </c>
      <c r="K61" s="1938"/>
      <c r="O61" s="2226" t="s">
        <v>2355</v>
      </c>
      <c r="P61" s="2224" t="s">
        <v>2363</v>
      </c>
      <c r="Q61" s="2225" t="e">
        <f ca="1">L58</f>
        <v>#DIV/0!</v>
      </c>
      <c r="R61" s="2228" t="s">
        <v>2364</v>
      </c>
    </row>
    <row r="62" spans="1:18" s="1912" customFormat="1" ht="15.75" thickBot="1">
      <c r="A62" s="787"/>
      <c r="B62" s="766"/>
      <c r="C62" s="69"/>
      <c r="D62" s="788"/>
      <c r="E62" s="757" t="s">
        <v>657</v>
      </c>
      <c r="F62" s="758">
        <f t="shared" ca="1" si="0"/>
        <v>0</v>
      </c>
      <c r="I62" s="2758" t="s">
        <v>2336</v>
      </c>
      <c r="J62" s="2759" t="s">
        <v>2337</v>
      </c>
      <c r="K62" s="2759" t="s">
        <v>2338</v>
      </c>
      <c r="L62" s="2759" t="s">
        <v>2319</v>
      </c>
      <c r="M62" s="2760" t="s">
        <v>2821</v>
      </c>
      <c r="O62" s="2226" t="s">
        <v>2357</v>
      </c>
      <c r="P62" s="2224" t="str">
        <f>K59</f>
        <v>建筑物剩余耐用年限下的土地年期修正系数Kn</v>
      </c>
      <c r="Q62" s="2225" t="e">
        <f ca="1">L59</f>
        <v>#DIV/0!</v>
      </c>
      <c r="R62" s="2228" t="s">
        <v>2366</v>
      </c>
    </row>
    <row r="63" spans="1:18" s="1912" customFormat="1" ht="15.75" thickBot="1">
      <c r="A63" s="1549"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2" customFormat="1" ht="16.5" thickBot="1">
      <c r="A64" s="1549"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499"/>
      <c r="Q64" s="1507"/>
      <c r="R64" s="1499"/>
    </row>
    <row r="65" spans="1:18" s="1912" customFormat="1" ht="15.75" thickBot="1">
      <c r="A65" s="1549"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2" customFormat="1" ht="24.75" thickBot="1">
      <c r="A66" s="770" t="s">
        <v>1756</v>
      </c>
      <c r="B66" s="2661" t="s">
        <v>2720</v>
      </c>
      <c r="C66" s="772">
        <f ca="1">C47-C57</f>
        <v>0</v>
      </c>
      <c r="D66" s="2418" t="s">
        <v>683</v>
      </c>
      <c r="E66" s="2417"/>
      <c r="F66" s="792"/>
      <c r="K66" s="1938"/>
      <c r="O66" s="2223" t="s">
        <v>2348</v>
      </c>
      <c r="P66" s="2224" t="s">
        <v>2378</v>
      </c>
      <c r="Q66" s="2225" t="e">
        <f ca="1">C40+J29</f>
        <v>#DIV/0!</v>
      </c>
      <c r="R66" s="2224" t="s">
        <v>2349</v>
      </c>
    </row>
    <row r="67" spans="1:18" s="1912" customFormat="1" ht="20.25" thickBot="1">
      <c r="A67" s="754" t="s">
        <v>1760</v>
      </c>
      <c r="B67" s="2082" t="s">
        <v>2273</v>
      </c>
      <c r="C67" s="756" t="e">
        <f ca="1">ROUND(C66*(1-((1+F69)/(1+F67))^F68)/(F67-F69),0)</f>
        <v>#DIV/0!</v>
      </c>
      <c r="D67" s="786" t="s">
        <v>687</v>
      </c>
      <c r="E67" s="757" t="s">
        <v>688</v>
      </c>
      <c r="F67" s="767">
        <f ca="1">F40</f>
        <v>0</v>
      </c>
      <c r="K67" s="1938"/>
      <c r="O67" s="2223" t="s">
        <v>2350</v>
      </c>
      <c r="P67" s="2224" t="s">
        <v>2381</v>
      </c>
      <c r="Q67" s="2225" t="e">
        <f ca="1">L60</f>
        <v>#DIV/0!</v>
      </c>
      <c r="R67" s="2228" t="s">
        <v>2383</v>
      </c>
    </row>
    <row r="68" spans="1:18" ht="21.75" thickBot="1">
      <c r="A68" s="759"/>
      <c r="B68" s="760"/>
      <c r="C68" s="761"/>
      <c r="D68" s="793" t="s">
        <v>1788</v>
      </c>
      <c r="E68" s="757" t="s">
        <v>1764</v>
      </c>
      <c r="F68" s="794">
        <f ca="1">F41</f>
        <v>0</v>
      </c>
      <c r="O68" s="2226" t="s">
        <v>2352</v>
      </c>
      <c r="P68" s="2224" t="s">
        <v>2382</v>
      </c>
      <c r="Q68" s="2230">
        <f ca="1">L51</f>
        <v>0</v>
      </c>
      <c r="R68" s="2231" t="s">
        <v>2385</v>
      </c>
    </row>
    <row r="69" spans="1:18" ht="20.25" thickBot="1">
      <c r="A69" s="763"/>
      <c r="B69" s="764"/>
      <c r="C69" s="765"/>
      <c r="D69" s="788"/>
      <c r="E69" s="757" t="s">
        <v>693</v>
      </c>
      <c r="F69" s="2196"/>
      <c r="O69" s="2226" t="s">
        <v>2353</v>
      </c>
      <c r="P69" s="2232" t="s">
        <v>2367</v>
      </c>
      <c r="Q69" s="2225">
        <f ca="1">ROUND(Q70-Q71*Q72,0)</f>
        <v>0</v>
      </c>
      <c r="R69" s="2228"/>
    </row>
    <row r="70" spans="1:18" ht="15.75"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5.75" thickBot="1">
      <c r="O71" s="2226" t="s">
        <v>2370</v>
      </c>
      <c r="P71" s="2232" t="s">
        <v>2371</v>
      </c>
      <c r="Q71" s="2225">
        <f ca="1">C13</f>
        <v>0</v>
      </c>
      <c r="R71" s="2224" t="s">
        <v>2349</v>
      </c>
    </row>
    <row r="72" spans="1:18" ht="15.75" thickBot="1">
      <c r="O72" s="2226" t="s">
        <v>2372</v>
      </c>
      <c r="P72" s="2232" t="s">
        <v>2373</v>
      </c>
      <c r="Q72" s="2227">
        <f ca="1">J36</f>
        <v>0</v>
      </c>
      <c r="R72" s="2228"/>
    </row>
    <row r="73" spans="1:18" ht="15.75" thickBot="1">
      <c r="O73" s="2226" t="s">
        <v>2355</v>
      </c>
      <c r="P73" s="2224" t="s">
        <v>2362</v>
      </c>
      <c r="Q73" s="2227">
        <f>L52</f>
        <v>0</v>
      </c>
      <c r="R73" s="2228"/>
    </row>
    <row r="74" spans="1:18" ht="20.25" thickBot="1">
      <c r="O74" s="2226" t="s">
        <v>2357</v>
      </c>
      <c r="P74" s="2224" t="s">
        <v>2363</v>
      </c>
      <c r="Q74" s="2225" t="e">
        <f ca="1">L58</f>
        <v>#DIV/0!</v>
      </c>
      <c r="R74" s="2228" t="s">
        <v>2364</v>
      </c>
    </row>
    <row r="75" spans="1:18" ht="15.75" thickBot="1">
      <c r="O75" s="2226" t="s">
        <v>2386</v>
      </c>
      <c r="P75" s="2224" t="str">
        <f>K59</f>
        <v>建筑物剩余耐用年限下的土地年期修正系数Kn</v>
      </c>
      <c r="Q75" s="2225" t="e">
        <f ca="1">L59</f>
        <v>#DIV/0!</v>
      </c>
      <c r="R75" s="2228" t="s">
        <v>2366</v>
      </c>
    </row>
    <row r="76" spans="1:18" ht="15.75"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7" priority="7">
      <formula>$L$48&gt;$J$51</formula>
    </cfRule>
  </conditionalFormatting>
  <conditionalFormatting sqref="I55">
    <cfRule type="expression" dxfId="66" priority="8">
      <formula>$J$51&gt;$L$48</formula>
    </cfRule>
  </conditionalFormatting>
  <conditionalFormatting sqref="I60">
    <cfRule type="expression" dxfId="65" priority="6">
      <formula>$J$51&gt;$L$48</formula>
    </cfRule>
  </conditionalFormatting>
  <conditionalFormatting sqref="K60">
    <cfRule type="expression" dxfId="64" priority="5">
      <formula>$L$48&gt;$J$51</formula>
    </cfRule>
  </conditionalFormatting>
  <conditionalFormatting sqref="C11">
    <cfRule type="expression" dxfId="63" priority="4">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3064</v>
      </c>
      <c r="B1" s="3249"/>
      <c r="C1" s="3262"/>
      <c r="D1" s="3262"/>
      <c r="E1" s="3250"/>
      <c r="F1" s="3251"/>
      <c r="G1" s="3252"/>
      <c r="J1" s="3255" t="s">
        <v>2921</v>
      </c>
      <c r="K1" s="3256"/>
      <c r="L1" s="3256"/>
      <c r="M1" s="3256"/>
      <c r="N1" s="3256"/>
      <c r="O1" s="3256"/>
      <c r="P1" s="3256"/>
      <c r="Q1" s="3256"/>
      <c r="R1" s="3257"/>
      <c r="S1" s="3258"/>
      <c r="T1" s="3258"/>
      <c r="U1" s="3258"/>
    </row>
    <row r="2" spans="1:22" s="3271" customFormat="1" ht="13.15" customHeight="1">
      <c r="A2" s="3260" t="s">
        <v>2922</v>
      </c>
      <c r="B2" s="3261" t="e">
        <f>C40</f>
        <v>#DIV/0!</v>
      </c>
      <c r="C2" s="3262" t="s">
        <v>2923</v>
      </c>
      <c r="D2" s="3262"/>
      <c r="E2" s="3263"/>
      <c r="F2" s="3264"/>
      <c r="G2" s="3265"/>
      <c r="H2" s="3266"/>
      <c r="I2" s="3267"/>
      <c r="J2" s="3728" t="s">
        <v>2924</v>
      </c>
      <c r="K2" s="3729"/>
      <c r="L2" s="3268" t="s">
        <v>2925</v>
      </c>
      <c r="M2" s="3268" t="s">
        <v>2926</v>
      </c>
      <c r="N2" s="3268" t="s">
        <v>2927</v>
      </c>
      <c r="O2" s="3268" t="s">
        <v>2928</v>
      </c>
      <c r="P2" s="3268" t="s">
        <v>2929</v>
      </c>
      <c r="Q2" s="3269" t="s">
        <v>2930</v>
      </c>
      <c r="R2" s="3270" t="s">
        <v>2931</v>
      </c>
      <c r="S2" s="3258"/>
      <c r="T2" s="3258"/>
      <c r="U2" s="3258"/>
      <c r="V2" s="3267"/>
    </row>
    <row r="3" spans="1:22" s="3271" customFormat="1" ht="13.15" customHeight="1">
      <c r="A3" s="3272" t="s">
        <v>2932</v>
      </c>
      <c r="B3" s="3273" t="e">
        <f>ROUND(B2*10000/B4,0)</f>
        <v>#DIV/0!</v>
      </c>
      <c r="C3" s="3262" t="s">
        <v>2933</v>
      </c>
      <c r="D3" s="3262"/>
      <c r="E3" s="3263"/>
      <c r="F3" s="3264"/>
      <c r="G3" s="3265"/>
      <c r="H3" s="3266"/>
      <c r="I3" s="3267"/>
      <c r="J3" s="3730" t="s">
        <v>2934</v>
      </c>
      <c r="K3" s="3731"/>
      <c r="L3" s="3274"/>
      <c r="M3" s="3274"/>
      <c r="N3" s="3274"/>
      <c r="O3" s="3274"/>
      <c r="P3" s="3274"/>
      <c r="Q3" s="3275"/>
      <c r="R3" s="3276">
        <f>SUM(L3:Q3)</f>
        <v>0</v>
      </c>
      <c r="S3" s="3258"/>
      <c r="T3" s="3258"/>
      <c r="U3" s="3258"/>
      <c r="V3" s="3267"/>
    </row>
    <row r="4" spans="1:22" s="3271" customFormat="1" ht="13.15" customHeight="1">
      <c r="A4" s="3277" t="s">
        <v>2935</v>
      </c>
      <c r="B4" s="3278"/>
      <c r="C4" s="3262"/>
      <c r="D4" s="3262"/>
      <c r="E4" s="3263"/>
      <c r="F4" s="3264"/>
      <c r="G4" s="3265"/>
      <c r="H4" s="3266"/>
      <c r="I4" s="3267"/>
      <c r="J4" s="3730" t="s">
        <v>2936</v>
      </c>
      <c r="K4" s="3731"/>
      <c r="L4" s="3279"/>
      <c r="M4" s="3279"/>
      <c r="N4" s="3279"/>
      <c r="O4" s="3279"/>
      <c r="P4" s="3279"/>
      <c r="Q4" s="3280"/>
      <c r="R4" s="3281">
        <f>SUM(L4:Q4)</f>
        <v>0</v>
      </c>
      <c r="S4" s="3258"/>
      <c r="T4" s="3258"/>
      <c r="U4" s="3258"/>
      <c r="V4" s="3267"/>
    </row>
    <row r="5" spans="1:22" s="3271" customFormat="1" ht="13.15" customHeight="1" thickBot="1">
      <c r="A5" s="3282" t="s">
        <v>2937</v>
      </c>
      <c r="B5" s="3283"/>
      <c r="C5" s="3262"/>
      <c r="D5" s="3284"/>
      <c r="E5" s="3264"/>
      <c r="F5" s="3264"/>
      <c r="G5" s="3265"/>
      <c r="H5" s="3266"/>
      <c r="I5" s="3267"/>
      <c r="J5" s="3285" t="s">
        <v>2938</v>
      </c>
      <c r="K5" s="3286"/>
      <c r="L5" s="3286"/>
      <c r="M5" s="3287"/>
      <c r="N5" s="3287"/>
      <c r="O5" s="3287"/>
      <c r="P5" s="3287"/>
      <c r="Q5" s="3287"/>
      <c r="R5" s="3270">
        <f>SUM(R14,R19,R24,R25,R27,R28)</f>
        <v>0</v>
      </c>
      <c r="S5" s="3258"/>
      <c r="T5" s="3258" t="s">
        <v>2939</v>
      </c>
      <c r="U5" s="3258" t="e">
        <f>ROUND(R5*10000/365/R3,1)</f>
        <v>#DIV/0!</v>
      </c>
      <c r="V5" s="3267"/>
    </row>
    <row r="6" spans="1:22" s="3271" customFormat="1" ht="13.15" customHeight="1" thickBot="1">
      <c r="A6" s="3736" t="s">
        <v>2940</v>
      </c>
      <c r="B6" s="3737"/>
      <c r="C6" s="3738"/>
      <c r="D6" s="3288"/>
      <c r="E6" s="3289"/>
      <c r="F6" s="3290"/>
      <c r="G6" s="3291"/>
      <c r="H6" s="3266"/>
      <c r="I6" s="3267"/>
      <c r="J6" s="3722">
        <v>1</v>
      </c>
      <c r="K6" s="3723" t="s">
        <v>2941</v>
      </c>
      <c r="L6" s="3292" t="s">
        <v>2942</v>
      </c>
      <c r="M6" s="3293" t="s">
        <v>2943</v>
      </c>
      <c r="N6" s="3293" t="s">
        <v>2944</v>
      </c>
      <c r="O6" s="3293" t="s">
        <v>2945</v>
      </c>
      <c r="P6" s="3293" t="s">
        <v>2946</v>
      </c>
      <c r="Q6" s="3293" t="s">
        <v>2947</v>
      </c>
      <c r="R6" s="3276" t="s">
        <v>2948</v>
      </c>
      <c r="S6" s="3258"/>
      <c r="T6" s="3258" t="s">
        <v>2949</v>
      </c>
      <c r="U6" s="3258"/>
      <c r="V6" s="3267"/>
    </row>
    <row r="7" spans="1:22" s="3271" customFormat="1" ht="13.15" customHeight="1">
      <c r="A7" s="3294" t="s">
        <v>2950</v>
      </c>
      <c r="B7" s="3295"/>
      <c r="C7" s="3296"/>
      <c r="D7" s="3297">
        <f>SUM(D9,D10,D11,D17,0)</f>
        <v>0</v>
      </c>
      <c r="E7" s="3298" t="e">
        <f>E9+E10+E11+E17</f>
        <v>#DIV/0!</v>
      </c>
      <c r="F7" s="3299"/>
      <c r="G7" s="3300"/>
      <c r="H7" s="3266"/>
      <c r="I7" s="3267"/>
      <c r="J7" s="3722"/>
      <c r="K7" s="3724"/>
      <c r="L7" s="3301" t="s">
        <v>2951</v>
      </c>
      <c r="M7" s="3302"/>
      <c r="N7" s="3278"/>
      <c r="O7" s="3303"/>
      <c r="P7" s="3303"/>
      <c r="Q7" s="3304">
        <v>365</v>
      </c>
      <c r="R7" s="3305">
        <f>ROUND(M7*N7*O7*P7*Q7/10000,0)</f>
        <v>0</v>
      </c>
      <c r="S7" s="3258"/>
      <c r="T7" s="3258" t="s">
        <v>2952</v>
      </c>
      <c r="U7" s="3258"/>
      <c r="V7" s="3267"/>
    </row>
    <row r="8" spans="1:22" s="3271" customFormat="1" ht="13.15" customHeight="1">
      <c r="A8" s="3306" t="s">
        <v>2953</v>
      </c>
      <c r="B8" s="3739" t="s">
        <v>2954</v>
      </c>
      <c r="C8" s="3740"/>
      <c r="D8" s="3307" t="s">
        <v>2955</v>
      </c>
      <c r="E8" s="3308" t="s">
        <v>2956</v>
      </c>
      <c r="F8" s="3309" t="s">
        <v>2957</v>
      </c>
      <c r="G8" s="3310"/>
      <c r="H8" s="3266"/>
      <c r="I8" s="3267"/>
      <c r="J8" s="3722"/>
      <c r="K8" s="3724"/>
      <c r="L8" s="3301" t="s">
        <v>2958</v>
      </c>
      <c r="M8" s="3302"/>
      <c r="N8" s="3278"/>
      <c r="O8" s="3303"/>
      <c r="P8" s="3303"/>
      <c r="Q8" s="3304">
        <v>365</v>
      </c>
      <c r="R8" s="3305">
        <f t="shared" ref="R8:R13" si="0">ROUND(M8*N8*O8*P8*Q8/10000,0)</f>
        <v>0</v>
      </c>
      <c r="S8" s="3258"/>
      <c r="T8" s="3258" t="s">
        <v>2959</v>
      </c>
      <c r="U8" s="3258"/>
      <c r="V8" s="3267"/>
    </row>
    <row r="9" spans="1:22" s="3271" customFormat="1" ht="13.15" customHeight="1">
      <c r="A9" s="3306">
        <v>1</v>
      </c>
      <c r="B9" s="3739" t="s">
        <v>2960</v>
      </c>
      <c r="C9" s="3740"/>
      <c r="D9" s="3307">
        <f>ROUND(D6*E9,0)</f>
        <v>0</v>
      </c>
      <c r="E9" s="3311"/>
      <c r="F9" s="3312" t="s">
        <v>2961</v>
      </c>
      <c r="G9" s="3291"/>
      <c r="H9" s="3266"/>
      <c r="I9" s="3267"/>
      <c r="J9" s="3722"/>
      <c r="K9" s="3724"/>
      <c r="L9" s="3301" t="s">
        <v>2962</v>
      </c>
      <c r="M9" s="3302"/>
      <c r="N9" s="3278"/>
      <c r="O9" s="3303"/>
      <c r="P9" s="3303"/>
      <c r="Q9" s="3304">
        <v>365</v>
      </c>
      <c r="R9" s="3305">
        <f t="shared" si="0"/>
        <v>0</v>
      </c>
      <c r="S9" s="3258"/>
      <c r="T9" s="3258"/>
      <c r="U9" s="3258"/>
      <c r="V9" s="3267"/>
    </row>
    <row r="10" spans="1:22" s="3271" customFormat="1" ht="13.15" customHeight="1">
      <c r="A10" s="3306">
        <v>2</v>
      </c>
      <c r="B10" s="3739" t="s">
        <v>2963</v>
      </c>
      <c r="C10" s="3740"/>
      <c r="D10" s="3307">
        <f>ROUND(D6*E10,0)</f>
        <v>0</v>
      </c>
      <c r="E10" s="3311"/>
      <c r="F10" s="3312" t="s">
        <v>2964</v>
      </c>
      <c r="G10" s="3291"/>
      <c r="H10" s="3266"/>
      <c r="I10" s="3267"/>
      <c r="J10" s="3722"/>
      <c r="K10" s="3724"/>
      <c r="L10" s="3301" t="s">
        <v>2965</v>
      </c>
      <c r="M10" s="3302"/>
      <c r="N10" s="3278"/>
      <c r="O10" s="3303"/>
      <c r="P10" s="3303"/>
      <c r="Q10" s="3304">
        <v>365</v>
      </c>
      <c r="R10" s="3305">
        <f t="shared" si="0"/>
        <v>0</v>
      </c>
      <c r="S10" s="3258"/>
      <c r="T10" s="3258"/>
      <c r="U10" s="3258"/>
      <c r="V10" s="3267"/>
    </row>
    <row r="11" spans="1:22" s="3271" customFormat="1" ht="13.15" customHeight="1">
      <c r="A11" s="3306">
        <v>3</v>
      </c>
      <c r="B11" s="3739" t="s">
        <v>2966</v>
      </c>
      <c r="C11" s="3740"/>
      <c r="D11" s="3307">
        <f>D12+D14+D15+D16</f>
        <v>0</v>
      </c>
      <c r="E11" s="3313" t="e">
        <f>D11/D6</f>
        <v>#DIV/0!</v>
      </c>
      <c r="F11" s="3309"/>
      <c r="G11" s="3310"/>
      <c r="H11" s="3266"/>
      <c r="I11" s="3267"/>
      <c r="J11" s="3722"/>
      <c r="K11" s="3724"/>
      <c r="L11" s="3301" t="s">
        <v>2967</v>
      </c>
      <c r="M11" s="3302"/>
      <c r="N11" s="3278"/>
      <c r="O11" s="3303"/>
      <c r="P11" s="3303"/>
      <c r="Q11" s="3304">
        <v>365</v>
      </c>
      <c r="R11" s="3305">
        <f t="shared" si="0"/>
        <v>0</v>
      </c>
      <c r="S11" s="3258"/>
      <c r="T11" s="3258"/>
      <c r="U11" s="3258"/>
      <c r="V11" s="3267"/>
    </row>
    <row r="12" spans="1:22" s="3271" customFormat="1" ht="13.15" customHeight="1">
      <c r="A12" s="3314" t="s">
        <v>2968</v>
      </c>
      <c r="B12" s="3732" t="s">
        <v>2969</v>
      </c>
      <c r="C12" s="3733"/>
      <c r="D12" s="3315">
        <f>ROUND(D13*1.2%*(1-30%),0)</f>
        <v>0</v>
      </c>
      <c r="E12" s="3316">
        <v>1.2E-2</v>
      </c>
      <c r="F12" s="3309" t="s">
        <v>2970</v>
      </c>
      <c r="G12" s="3310"/>
      <c r="H12" s="3266"/>
      <c r="I12" s="3267"/>
      <c r="J12" s="3722"/>
      <c r="K12" s="3724"/>
      <c r="L12" s="3301" t="s">
        <v>2971</v>
      </c>
      <c r="M12" s="3302"/>
      <c r="N12" s="3278"/>
      <c r="O12" s="3303"/>
      <c r="P12" s="3303"/>
      <c r="Q12" s="3304">
        <v>365</v>
      </c>
      <c r="R12" s="3305">
        <f t="shared" si="0"/>
        <v>0</v>
      </c>
      <c r="S12" s="3258"/>
      <c r="T12" s="3258"/>
      <c r="U12" s="3258"/>
      <c r="V12" s="3267"/>
    </row>
    <row r="13" spans="1:22" s="3271" customFormat="1" ht="13.15" customHeight="1">
      <c r="A13" s="3314"/>
      <c r="B13" s="3317"/>
      <c r="C13" s="3318" t="s">
        <v>2972</v>
      </c>
      <c r="D13" s="3319"/>
      <c r="E13" s="3320"/>
      <c r="F13" s="3309"/>
      <c r="G13" s="3310"/>
      <c r="H13" s="3266"/>
      <c r="I13" s="3267"/>
      <c r="J13" s="3722"/>
      <c r="K13" s="3724"/>
      <c r="L13" s="3301" t="s">
        <v>2973</v>
      </c>
      <c r="M13" s="3302"/>
      <c r="N13" s="3278"/>
      <c r="O13" s="3303"/>
      <c r="P13" s="3303"/>
      <c r="Q13" s="3304">
        <v>365</v>
      </c>
      <c r="R13" s="3305">
        <f t="shared" si="0"/>
        <v>0</v>
      </c>
      <c r="S13" s="3258"/>
      <c r="T13" s="3258"/>
      <c r="U13" s="3258"/>
      <c r="V13" s="3267"/>
    </row>
    <row r="14" spans="1:22" s="3271" customFormat="1" ht="13.15" customHeight="1">
      <c r="A14" s="3314" t="s">
        <v>2974</v>
      </c>
      <c r="B14" s="3732" t="s">
        <v>2975</v>
      </c>
      <c r="C14" s="3733"/>
      <c r="D14" s="3315">
        <f>ROUND(E14*B5/10000,0)</f>
        <v>0</v>
      </c>
      <c r="E14" s="3304"/>
      <c r="F14" s="3309" t="s">
        <v>2976</v>
      </c>
      <c r="G14" s="3310"/>
      <c r="H14" s="3266"/>
      <c r="I14" s="3267"/>
      <c r="J14" s="3722"/>
      <c r="K14" s="3725"/>
      <c r="L14" s="3321" t="s">
        <v>2977</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2978</v>
      </c>
      <c r="B15" s="3732" t="s">
        <v>2979</v>
      </c>
      <c r="C15" s="3733"/>
      <c r="D15" s="3315">
        <f>ROUND(D6*E15,0)</f>
        <v>0</v>
      </c>
      <c r="E15" s="3316">
        <v>5.5E-2</v>
      </c>
      <c r="F15" s="3309" t="s">
        <v>2980</v>
      </c>
      <c r="G15" s="3291"/>
      <c r="H15" s="3266"/>
      <c r="I15" s="3267"/>
      <c r="J15" s="3722">
        <v>2</v>
      </c>
      <c r="K15" s="3723" t="s">
        <v>2981</v>
      </c>
      <c r="L15" s="3301" t="s">
        <v>2982</v>
      </c>
      <c r="M15" s="3302" t="s">
        <v>2983</v>
      </c>
      <c r="N15" s="3302" t="s">
        <v>2984</v>
      </c>
      <c r="O15" s="3303" t="s">
        <v>2985</v>
      </c>
      <c r="P15" s="3303" t="s">
        <v>2986</v>
      </c>
      <c r="Q15" s="3278" t="s">
        <v>2987</v>
      </c>
      <c r="R15" s="3325" t="s">
        <v>2988</v>
      </c>
      <c r="S15" s="3258"/>
      <c r="T15" s="3258"/>
      <c r="U15" s="3258"/>
      <c r="V15" s="3267"/>
    </row>
    <row r="16" spans="1:22" s="3271" customFormat="1" ht="13.15" customHeight="1">
      <c r="A16" s="3314" t="s">
        <v>2989</v>
      </c>
      <c r="B16" s="3732" t="s">
        <v>2990</v>
      </c>
      <c r="C16" s="3733"/>
      <c r="D16" s="3326">
        <f>D6*E16</f>
        <v>0</v>
      </c>
      <c r="E16" s="3327"/>
      <c r="F16" s="3312" t="s">
        <v>2991</v>
      </c>
      <c r="G16" s="3291"/>
      <c r="H16" s="3266"/>
      <c r="I16" s="3267"/>
      <c r="J16" s="3722"/>
      <c r="K16" s="3724"/>
      <c r="L16" s="3301" t="s">
        <v>2992</v>
      </c>
      <c r="M16" s="3302"/>
      <c r="N16" s="3302"/>
      <c r="O16" s="3303"/>
      <c r="P16" s="3304">
        <v>365</v>
      </c>
      <c r="Q16" s="3278"/>
      <c r="R16" s="3325">
        <f>ROUND(M16*N16*O16*P16/10000,0)</f>
        <v>0</v>
      </c>
      <c r="S16" s="3258"/>
      <c r="T16" s="3258"/>
      <c r="U16" s="3258"/>
      <c r="V16" s="3267"/>
    </row>
    <row r="17" spans="1:22" s="3271" customFormat="1" ht="13.15" customHeight="1" thickBot="1">
      <c r="A17" s="3328">
        <v>4</v>
      </c>
      <c r="B17" s="3734" t="s">
        <v>2993</v>
      </c>
      <c r="C17" s="3735"/>
      <c r="D17" s="3329">
        <f>ROUND(D6*E17,0)</f>
        <v>0</v>
      </c>
      <c r="E17" s="3330"/>
      <c r="F17" s="3331" t="s">
        <v>2994</v>
      </c>
      <c r="G17" s="3291"/>
      <c r="H17" s="3266"/>
      <c r="I17" s="3267"/>
      <c r="J17" s="3722"/>
      <c r="K17" s="3724"/>
      <c r="L17" s="3301" t="s">
        <v>2995</v>
      </c>
      <c r="M17" s="3302"/>
      <c r="N17" s="3302"/>
      <c r="O17" s="3303"/>
      <c r="P17" s="3304">
        <v>365</v>
      </c>
      <c r="Q17" s="3278"/>
      <c r="R17" s="3325">
        <f>ROUND(M17*N17*O17*P17/10000,0)</f>
        <v>0</v>
      </c>
      <c r="S17" s="3258"/>
      <c r="T17" s="3258"/>
      <c r="U17" s="3258"/>
      <c r="V17" s="3267"/>
    </row>
    <row r="18" spans="1:22" s="3271" customFormat="1" ht="13.15" customHeight="1" thickBot="1">
      <c r="A18" s="3294" t="s">
        <v>2996</v>
      </c>
      <c r="B18" s="3295"/>
      <c r="C18" s="3295"/>
      <c r="D18" s="3332">
        <f>ROUND(D6*E18,0)</f>
        <v>0</v>
      </c>
      <c r="E18" s="3333"/>
      <c r="F18" s="3334" t="s">
        <v>2997</v>
      </c>
      <c r="G18" s="3291"/>
      <c r="H18" s="3266"/>
      <c r="I18" s="3267"/>
      <c r="J18" s="3722"/>
      <c r="K18" s="3724"/>
      <c r="L18" s="3301" t="s">
        <v>2998</v>
      </c>
      <c r="M18" s="3302"/>
      <c r="N18" s="3302"/>
      <c r="O18" s="3303"/>
      <c r="P18" s="3304">
        <v>365</v>
      </c>
      <c r="Q18" s="3278"/>
      <c r="R18" s="3325">
        <f>ROUND(M18*N18*O18*P18/10000,0)</f>
        <v>0</v>
      </c>
      <c r="S18" s="3258"/>
      <c r="T18" s="3258"/>
      <c r="U18" s="3258"/>
      <c r="V18" s="3267"/>
    </row>
    <row r="19" spans="1:22" s="3271" customFormat="1" ht="13.15" customHeight="1" thickBot="1">
      <c r="A19" s="3335" t="s">
        <v>2999</v>
      </c>
      <c r="B19" s="3289"/>
      <c r="C19" s="3289"/>
      <c r="D19" s="3289"/>
      <c r="E19" s="3289"/>
      <c r="F19" s="3290"/>
      <c r="G19" s="3310"/>
      <c r="H19" s="3266"/>
      <c r="I19" s="3267"/>
      <c r="J19" s="3722"/>
      <c r="K19" s="3725"/>
      <c r="L19" s="3321" t="s">
        <v>2977</v>
      </c>
      <c r="M19" s="3322"/>
      <c r="N19" s="3322">
        <f>SUM(N16:N18)</f>
        <v>0</v>
      </c>
      <c r="O19" s="3323"/>
      <c r="P19" s="3336" t="s">
        <v>3065</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22">
        <v>3</v>
      </c>
      <c r="K20" s="3723" t="s">
        <v>3000</v>
      </c>
      <c r="L20" s="3301" t="s">
        <v>3001</v>
      </c>
      <c r="M20" s="3302" t="s">
        <v>3002</v>
      </c>
      <c r="N20" s="3339" t="s">
        <v>3003</v>
      </c>
      <c r="O20" s="3303" t="s">
        <v>3004</v>
      </c>
      <c r="P20" s="3304" t="s">
        <v>3005</v>
      </c>
      <c r="Q20" s="3278" t="s">
        <v>3006</v>
      </c>
      <c r="R20" s="3325" t="s">
        <v>2948</v>
      </c>
      <c r="S20" s="3340"/>
      <c r="T20" s="3340"/>
      <c r="U20" s="3340"/>
      <c r="V20" s="3267"/>
    </row>
    <row r="21" spans="1:22" s="3271" customFormat="1" ht="13.15" customHeight="1">
      <c r="A21" s="3294"/>
      <c r="B21" s="3295"/>
      <c r="C21" s="3341" t="s">
        <v>3007</v>
      </c>
      <c r="D21" s="3342" t="s">
        <v>3008</v>
      </c>
      <c r="E21" s="3343" t="s">
        <v>3009</v>
      </c>
      <c r="F21" s="3338"/>
      <c r="G21" s="3310"/>
      <c r="H21" s="3266"/>
      <c r="I21" s="3267"/>
      <c r="J21" s="3722"/>
      <c r="K21" s="3724"/>
      <c r="L21" s="3301" t="s">
        <v>3010</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3011</v>
      </c>
      <c r="D22" s="3346" t="s">
        <v>3012</v>
      </c>
      <c r="E22" s="3347" t="s">
        <v>3013</v>
      </c>
      <c r="F22" s="3338"/>
      <c r="G22" s="3348"/>
      <c r="H22" s="3266"/>
      <c r="I22" s="3267"/>
      <c r="J22" s="3722"/>
      <c r="K22" s="3724"/>
      <c r="L22" s="3301" t="s">
        <v>3014</v>
      </c>
      <c r="M22" s="3302"/>
      <c r="N22" s="3302"/>
      <c r="O22" s="3303"/>
      <c r="P22" s="3304">
        <v>365</v>
      </c>
      <c r="Q22" s="3278"/>
      <c r="R22" s="3344">
        <f>ROUND(M22*N22*O22*P22/10000,0)</f>
        <v>0</v>
      </c>
      <c r="S22" s="3340"/>
      <c r="T22" s="3340"/>
      <c r="U22" s="3340"/>
      <c r="V22" s="3267"/>
    </row>
    <row r="23" spans="1:22" s="3271" customFormat="1" ht="13.15" customHeight="1">
      <c r="A23" s="3349">
        <v>1</v>
      </c>
      <c r="B23" s="3350" t="s">
        <v>3015</v>
      </c>
      <c r="C23" s="3351">
        <f>D6</f>
        <v>0</v>
      </c>
      <c r="D23" s="3352">
        <f>C23*(1+D24)</f>
        <v>0</v>
      </c>
      <c r="E23" s="3353">
        <f>D23*(1+E24)</f>
        <v>0</v>
      </c>
      <c r="F23" s="3354"/>
      <c r="G23" s="3355"/>
      <c r="H23" s="3266"/>
      <c r="I23" s="3267"/>
      <c r="J23" s="3722"/>
      <c r="K23" s="3724"/>
      <c r="L23" s="3301" t="s">
        <v>3016</v>
      </c>
      <c r="M23" s="3302"/>
      <c r="N23" s="3302"/>
      <c r="O23" s="3303"/>
      <c r="P23" s="3304">
        <v>365</v>
      </c>
      <c r="Q23" s="3278"/>
      <c r="R23" s="3344">
        <f>ROUND(M23*N23*O23*P23/10000,0)</f>
        <v>0</v>
      </c>
      <c r="S23" s="3258"/>
      <c r="T23" s="3258"/>
      <c r="U23" s="3258"/>
      <c r="V23" s="3267"/>
    </row>
    <row r="24" spans="1:22" s="3271" customFormat="1" ht="13.15" customHeight="1">
      <c r="A24" s="3356"/>
      <c r="B24" s="3357" t="s">
        <v>3017</v>
      </c>
      <c r="C24" s="3358"/>
      <c r="D24" s="3359"/>
      <c r="E24" s="3360"/>
      <c r="F24" s="3361"/>
      <c r="G24" s="3355"/>
      <c r="H24" s="3266"/>
      <c r="I24" s="3267"/>
      <c r="J24" s="3722"/>
      <c r="K24" s="3725"/>
      <c r="L24" s="3321" t="s">
        <v>2977</v>
      </c>
      <c r="M24" s="3322">
        <f>SUM(M21:M23)</f>
        <v>0</v>
      </c>
      <c r="N24" s="3322"/>
      <c r="O24" s="3323"/>
      <c r="P24" s="3336" t="s">
        <v>3065</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3018</v>
      </c>
      <c r="L25" s="3364"/>
      <c r="M25" s="3364"/>
      <c r="N25" s="3364"/>
      <c r="O25" s="3364"/>
      <c r="P25" s="3365"/>
      <c r="Q25" s="3366"/>
      <c r="R25" s="3337">
        <f>ROUND(R14*Q25,0)</f>
        <v>0</v>
      </c>
      <c r="S25" s="3258"/>
      <c r="T25" s="3258"/>
      <c r="U25" s="3258"/>
      <c r="V25" s="3367"/>
    </row>
    <row r="26" spans="1:22" s="3368" customFormat="1" ht="13.15" customHeight="1">
      <c r="A26" s="3349">
        <v>2</v>
      </c>
      <c r="B26" s="3350" t="s">
        <v>3019</v>
      </c>
      <c r="C26" s="3351">
        <f>D7</f>
        <v>0</v>
      </c>
      <c r="D26" s="3352">
        <f>D23*D27</f>
        <v>0</v>
      </c>
      <c r="E26" s="3353">
        <f>E23*E27</f>
        <v>0</v>
      </c>
      <c r="F26" s="3354"/>
      <c r="G26" s="3355"/>
      <c r="H26" s="3266"/>
      <c r="I26" s="3267"/>
      <c r="J26" s="3726">
        <v>5</v>
      </c>
      <c r="K26" s="3369" t="s">
        <v>3020</v>
      </c>
      <c r="L26" s="3370"/>
      <c r="M26" s="3371"/>
      <c r="N26" s="3372" t="s">
        <v>3021</v>
      </c>
      <c r="O26" s="3372" t="s">
        <v>3022</v>
      </c>
      <c r="P26" s="3373" t="s">
        <v>3023</v>
      </c>
      <c r="Q26" s="3373" t="s">
        <v>3024</v>
      </c>
      <c r="R26" s="3276" t="s">
        <v>3025</v>
      </c>
      <c r="S26" s="3374"/>
      <c r="T26" s="3374"/>
      <c r="U26" s="3374"/>
      <c r="V26" s="3367"/>
    </row>
    <row r="27" spans="1:22" s="3271" customFormat="1" ht="13.15" customHeight="1">
      <c r="A27" s="3356"/>
      <c r="B27" s="3357" t="s">
        <v>3026</v>
      </c>
      <c r="C27" s="3375" t="e">
        <f>E7</f>
        <v>#DIV/0!</v>
      </c>
      <c r="D27" s="3359"/>
      <c r="E27" s="3360"/>
      <c r="F27" s="3361"/>
      <c r="G27" s="3355"/>
      <c r="H27" s="3376"/>
      <c r="I27" s="3367"/>
      <c r="J27" s="3727"/>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3027</v>
      </c>
      <c r="F28" s="3361"/>
      <c r="G28" s="3348"/>
      <c r="H28" s="3376"/>
      <c r="I28" s="3367"/>
      <c r="J28" s="3382">
        <v>6</v>
      </c>
      <c r="K28" s="3383" t="s">
        <v>3028</v>
      </c>
      <c r="L28" s="3384" t="s">
        <v>3029</v>
      </c>
      <c r="M28" s="3385"/>
      <c r="N28" s="3384" t="s">
        <v>3030</v>
      </c>
      <c r="O28" s="3386"/>
      <c r="P28" s="3384" t="s">
        <v>3031</v>
      </c>
      <c r="Q28" s="3387">
        <v>1.4999999999999999E-2</v>
      </c>
      <c r="R28" s="3388"/>
      <c r="S28" s="3340"/>
      <c r="T28" s="3340"/>
      <c r="U28" s="3340"/>
      <c r="V28" s="3367"/>
    </row>
    <row r="29" spans="1:22" s="3368" customFormat="1" ht="13.15" customHeight="1">
      <c r="A29" s="3349">
        <v>3</v>
      </c>
      <c r="B29" s="3350" t="s">
        <v>3032</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3033</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3034</v>
      </c>
      <c r="K31" s="3256"/>
      <c r="L31" s="3256"/>
      <c r="M31" s="3256"/>
      <c r="N31" s="3256"/>
      <c r="O31" s="3256"/>
      <c r="P31" s="3256"/>
      <c r="Q31" s="3256"/>
      <c r="R31" s="3257"/>
      <c r="S31" s="3340"/>
      <c r="T31" s="3258"/>
      <c r="U31" s="3258"/>
      <c r="V31" s="3367"/>
    </row>
    <row r="32" spans="1:22" s="3368" customFormat="1" ht="13.15" customHeight="1">
      <c r="A32" s="3349">
        <v>4</v>
      </c>
      <c r="B32" s="3350" t="s">
        <v>3035</v>
      </c>
      <c r="C32" s="3351">
        <f>C23-C26-C29</f>
        <v>0</v>
      </c>
      <c r="D32" s="3352">
        <f>D23-D26-D29</f>
        <v>0</v>
      </c>
      <c r="E32" s="3353">
        <f>E23-E26-E29</f>
        <v>0</v>
      </c>
      <c r="F32" s="3354"/>
      <c r="G32" s="3348"/>
      <c r="H32" s="3266"/>
      <c r="I32" s="3267"/>
      <c r="J32" s="3728" t="s">
        <v>3036</v>
      </c>
      <c r="K32" s="3729"/>
      <c r="L32" s="3268" t="s">
        <v>3037</v>
      </c>
      <c r="M32" s="3268" t="s">
        <v>2926</v>
      </c>
      <c r="N32" s="3268" t="s">
        <v>2927</v>
      </c>
      <c r="O32" s="3268" t="s">
        <v>2928</v>
      </c>
      <c r="P32" s="3268" t="s">
        <v>2929</v>
      </c>
      <c r="Q32" s="3269" t="s">
        <v>3038</v>
      </c>
      <c r="R32" s="3391" t="s">
        <v>3039</v>
      </c>
      <c r="S32" s="3340"/>
      <c r="T32" s="3258"/>
      <c r="U32" s="3258"/>
      <c r="V32" s="3367"/>
    </row>
    <row r="33" spans="1:23" s="3271" customFormat="1" ht="13.15" customHeight="1">
      <c r="A33" s="3349"/>
      <c r="B33" s="3350"/>
      <c r="C33" s="3351"/>
      <c r="D33" s="3392"/>
      <c r="E33" s="3393"/>
      <c r="F33" s="3354"/>
      <c r="G33" s="3348"/>
      <c r="H33" s="3376"/>
      <c r="I33" s="3367"/>
      <c r="J33" s="3730" t="s">
        <v>3040</v>
      </c>
      <c r="K33" s="3731"/>
      <c r="L33" s="3274"/>
      <c r="M33" s="3274"/>
      <c r="N33" s="3274"/>
      <c r="O33" s="3274"/>
      <c r="P33" s="3274"/>
      <c r="Q33" s="3275"/>
      <c r="R33" s="3394">
        <f>SUM(L33:Q33)</f>
        <v>0</v>
      </c>
      <c r="S33" s="3340"/>
      <c r="T33" s="3258"/>
      <c r="U33" s="3258"/>
      <c r="V33" s="3267"/>
    </row>
    <row r="34" spans="1:23" s="3271" customFormat="1" ht="13.15" customHeight="1">
      <c r="A34" s="3349">
        <v>5</v>
      </c>
      <c r="B34" s="3350" t="s">
        <v>3041</v>
      </c>
      <c r="C34" s="3395"/>
      <c r="D34" s="3396"/>
      <c r="E34" s="3397"/>
      <c r="F34" s="3354"/>
      <c r="G34" s="3348"/>
      <c r="H34" s="3376"/>
      <c r="I34" s="3367"/>
      <c r="J34" s="3730" t="s">
        <v>3042</v>
      </c>
      <c r="K34" s="3731"/>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3043</v>
      </c>
      <c r="C35" s="3399"/>
      <c r="D35" s="3400"/>
      <c r="E35" s="3401"/>
      <c r="F35" s="3354"/>
      <c r="G35" s="3402"/>
      <c r="H35" s="3266"/>
      <c r="I35" s="3367"/>
      <c r="J35" s="3285" t="s">
        <v>3044</v>
      </c>
      <c r="K35" s="3286"/>
      <c r="L35" s="3286"/>
      <c r="M35" s="3287"/>
      <c r="N35" s="3287"/>
      <c r="O35" s="3287"/>
      <c r="P35" s="3287"/>
      <c r="Q35" s="3287"/>
      <c r="R35" s="3403">
        <f>R40+R41+R43</f>
        <v>0</v>
      </c>
      <c r="S35" s="3340"/>
      <c r="T35" s="3258" t="s">
        <v>3045</v>
      </c>
      <c r="U35" s="3258"/>
      <c r="V35" s="3267"/>
    </row>
    <row r="36" spans="1:23" s="3271" customFormat="1" ht="13.15" customHeight="1" thickBot="1">
      <c r="A36" s="3349">
        <v>7</v>
      </c>
      <c r="B36" s="3404" t="s">
        <v>3046</v>
      </c>
      <c r="C36" s="3405"/>
      <c r="D36" s="3406"/>
      <c r="E36" s="3407"/>
      <c r="F36" s="3408">
        <f>C36+D36+E36</f>
        <v>0</v>
      </c>
      <c r="G36" s="3348"/>
      <c r="H36" s="3266"/>
      <c r="I36" s="3267"/>
      <c r="J36" s="3722">
        <v>1</v>
      </c>
      <c r="K36" s="3723" t="s">
        <v>3047</v>
      </c>
      <c r="L36" s="3292"/>
      <c r="M36" s="3293"/>
      <c r="N36" s="3293"/>
      <c r="O36" s="3293"/>
      <c r="P36" s="3293"/>
      <c r="Q36" s="3293"/>
      <c r="R36" s="3276" t="s">
        <v>2948</v>
      </c>
      <c r="S36" s="3340"/>
      <c r="T36" s="3258" t="s">
        <v>2949</v>
      </c>
      <c r="U36" s="3258"/>
      <c r="V36" s="3267"/>
    </row>
    <row r="37" spans="1:23" s="3271" customFormat="1" ht="13.15" customHeight="1">
      <c r="A37" s="3349"/>
      <c r="B37" s="3350"/>
      <c r="C37" s="3350"/>
      <c r="D37" s="3350"/>
      <c r="E37" s="3350"/>
      <c r="F37" s="3354"/>
      <c r="G37" s="3348"/>
      <c r="H37" s="3266"/>
      <c r="I37" s="3267"/>
      <c r="J37" s="3722"/>
      <c r="K37" s="3724"/>
      <c r="L37" s="3301"/>
      <c r="M37" s="3302"/>
      <c r="N37" s="3278"/>
      <c r="O37" s="3303"/>
      <c r="P37" s="3303"/>
      <c r="Q37" s="3304"/>
      <c r="R37" s="3305"/>
      <c r="S37" s="3340"/>
      <c r="T37" s="3258" t="s">
        <v>2952</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22"/>
      <c r="K38" s="3724"/>
      <c r="L38" s="3301"/>
      <c r="M38" s="3302"/>
      <c r="N38" s="3278"/>
      <c r="O38" s="3303"/>
      <c r="P38" s="3303"/>
      <c r="Q38" s="3304"/>
      <c r="R38" s="3305"/>
      <c r="S38" s="3340"/>
      <c r="T38" s="3258" t="s">
        <v>2959</v>
      </c>
      <c r="U38" s="3258"/>
      <c r="V38" s="3267"/>
    </row>
    <row r="39" spans="1:23" s="3271" customFormat="1" ht="13.15" customHeight="1">
      <c r="A39" s="3349">
        <v>9</v>
      </c>
      <c r="B39" s="3350" t="s">
        <v>3048</v>
      </c>
      <c r="C39" s="3315" t="e">
        <f>C38</f>
        <v>#DIV/0!</v>
      </c>
      <c r="D39" s="3350">
        <f>D38/(1+D34)^C36</f>
        <v>0</v>
      </c>
      <c r="E39" s="3350">
        <f>E38/(1+E34)^(C36+D36)</f>
        <v>0</v>
      </c>
      <c r="F39" s="3354"/>
      <c r="G39" s="3409"/>
      <c r="H39" s="3266"/>
      <c r="I39" s="3267"/>
      <c r="J39" s="3722"/>
      <c r="K39" s="3724"/>
      <c r="L39" s="3301"/>
      <c r="M39" s="3302"/>
      <c r="N39" s="3278"/>
      <c r="O39" s="3303"/>
      <c r="P39" s="3303"/>
      <c r="Q39" s="3304"/>
      <c r="R39" s="3305"/>
      <c r="S39" s="3340"/>
      <c r="T39" s="3258"/>
      <c r="U39" s="3258"/>
      <c r="V39" s="3267"/>
    </row>
    <row r="40" spans="1:23" s="3271" customFormat="1" ht="13.15" customHeight="1">
      <c r="A40" s="3410">
        <v>10</v>
      </c>
      <c r="B40" s="3350" t="s">
        <v>3049</v>
      </c>
      <c r="C40" s="3411" t="e">
        <f>C39+D39+E39</f>
        <v>#DIV/0!</v>
      </c>
      <c r="D40" s="3412"/>
      <c r="E40" s="3412"/>
      <c r="F40" s="3413"/>
      <c r="G40" s="3348"/>
      <c r="H40" s="3266"/>
      <c r="I40" s="3267"/>
      <c r="J40" s="3722"/>
      <c r="K40" s="3725"/>
      <c r="L40" s="3321" t="s">
        <v>3050</v>
      </c>
      <c r="M40" s="3322"/>
      <c r="N40" s="3322"/>
      <c r="O40" s="3323"/>
      <c r="P40" s="3323"/>
      <c r="Q40" s="3324"/>
      <c r="R40" s="3270">
        <f>SUM(R37:R39)</f>
        <v>0</v>
      </c>
      <c r="S40" s="3340"/>
      <c r="T40" s="3258"/>
      <c r="U40" s="3258"/>
      <c r="V40" s="3267"/>
    </row>
    <row r="41" spans="1:23" s="3271" customFormat="1" ht="13.15" customHeight="1" thickBot="1">
      <c r="A41" s="3414">
        <v>11</v>
      </c>
      <c r="B41" s="3415" t="s">
        <v>3051</v>
      </c>
      <c r="C41" s="3415" t="e">
        <f>ROUND(C40*10000/B4,0)</f>
        <v>#DIV/0!</v>
      </c>
      <c r="D41" s="3416"/>
      <c r="E41" s="3416"/>
      <c r="F41" s="3417"/>
      <c r="G41" s="3418"/>
      <c r="H41" s="3266"/>
      <c r="I41" s="3267"/>
      <c r="J41" s="3362">
        <v>2</v>
      </c>
      <c r="K41" s="3363" t="s">
        <v>3052</v>
      </c>
      <c r="L41" s="3364"/>
      <c r="M41" s="3364"/>
      <c r="N41" s="3364"/>
      <c r="O41" s="3364"/>
      <c r="P41" s="3365"/>
      <c r="Q41" s="3366"/>
      <c r="R41" s="3337">
        <f>ROUND(R40*Q41,0)</f>
        <v>0</v>
      </c>
      <c r="S41" s="3340"/>
      <c r="T41" s="3258"/>
      <c r="U41" s="3374"/>
      <c r="V41" s="3267"/>
    </row>
    <row r="42" spans="1:23" s="3271" customFormat="1" ht="13.15" customHeight="1">
      <c r="G42" s="3418"/>
      <c r="H42" s="3266"/>
      <c r="I42" s="3267"/>
      <c r="J42" s="3726">
        <v>3</v>
      </c>
      <c r="K42" s="3369" t="s">
        <v>3053</v>
      </c>
      <c r="L42" s="3370"/>
      <c r="M42" s="3371"/>
      <c r="N42" s="3372" t="s">
        <v>3054</v>
      </c>
      <c r="O42" s="3372" t="s">
        <v>3055</v>
      </c>
      <c r="P42" s="3373" t="s">
        <v>3056</v>
      </c>
      <c r="Q42" s="3373" t="s">
        <v>3057</v>
      </c>
      <c r="R42" s="3276" t="s">
        <v>3058</v>
      </c>
      <c r="S42" s="3374"/>
      <c r="T42" s="3374"/>
      <c r="U42" s="3258"/>
      <c r="V42" s="3267"/>
    </row>
    <row r="43" spans="1:23" ht="13.15" customHeight="1">
      <c r="A43" s="3271"/>
      <c r="B43" s="3271"/>
      <c r="C43" s="3271"/>
      <c r="D43" s="3271"/>
      <c r="E43" s="3271"/>
      <c r="F43" s="3271"/>
      <c r="I43" s="3253"/>
      <c r="J43" s="3727"/>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3059</v>
      </c>
      <c r="L44" s="3422" t="s">
        <v>3060</v>
      </c>
      <c r="M44" s="3385"/>
      <c r="N44" s="3422" t="s">
        <v>3061</v>
      </c>
      <c r="O44" s="3385"/>
      <c r="P44" s="3422" t="s">
        <v>3062</v>
      </c>
      <c r="Q44" s="3387">
        <v>1.4999999999999999E-2</v>
      </c>
      <c r="R44" s="3388"/>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2" customFormat="1" ht="20.25">
      <c r="A1" s="415" t="s">
        <v>586</v>
      </c>
      <c r="B1" s="717"/>
      <c r="C1" s="2033"/>
      <c r="D1" s="2033"/>
      <c r="E1" s="2033"/>
      <c r="F1" s="2033"/>
      <c r="G1" s="1960"/>
    </row>
    <row r="2" spans="1:25" s="1912" customFormat="1" ht="18" customHeight="1">
      <c r="A2" s="417" t="s">
        <v>461</v>
      </c>
      <c r="B2" s="419">
        <f ca="1">C23</f>
        <v>0</v>
      </c>
      <c r="C2" s="3200"/>
      <c r="D2" s="3200"/>
      <c r="E2" s="3200"/>
      <c r="F2" s="3200"/>
      <c r="G2" s="3200"/>
    </row>
    <row r="3" spans="1:25" s="1912" customFormat="1" ht="18" customHeight="1">
      <c r="A3" s="1303" t="s">
        <v>1665</v>
      </c>
      <c r="B3" s="419">
        <f ca="1">ROUND(B2*10000/'数据-汇总表'!E3,0)</f>
        <v>0</v>
      </c>
      <c r="C3" s="3200"/>
      <c r="D3" s="3200"/>
      <c r="E3" s="3200"/>
      <c r="F3" s="3200"/>
      <c r="G3" s="3200"/>
    </row>
    <row r="4" spans="1:25" s="1912" customFormat="1" ht="18" customHeight="1">
      <c r="A4" s="420" t="s">
        <v>462</v>
      </c>
      <c r="B4" s="421">
        <f ca="1">ROUND(B2*10000/'数据-汇总表'!D3,0)</f>
        <v>0</v>
      </c>
      <c r="C4" s="3153"/>
      <c r="D4" s="3200"/>
      <c r="E4" s="3200"/>
      <c r="F4" s="3200"/>
      <c r="G4" s="3200"/>
    </row>
    <row r="5" spans="1:25" s="1912" customFormat="1" ht="18" customHeight="1" thickBot="1">
      <c r="A5" s="423"/>
      <c r="B5" s="424">
        <f ca="1">ROUND(B2/('数据-汇总表'!D3/666.67),0)</f>
        <v>0</v>
      </c>
      <c r="C5" s="425" t="s">
        <v>463</v>
      </c>
      <c r="D5" s="3200"/>
      <c r="E5" s="3200"/>
      <c r="F5" s="3200"/>
      <c r="G5" s="3200"/>
    </row>
    <row r="6" spans="1:25" s="2034" customFormat="1" ht="13.5" customHeight="1">
      <c r="A6" s="718"/>
      <c r="B6" s="719" t="s">
        <v>587</v>
      </c>
      <c r="C6" s="720" t="s">
        <v>588</v>
      </c>
      <c r="D6" s="720" t="s">
        <v>589</v>
      </c>
      <c r="E6" s="721" t="s">
        <v>590</v>
      </c>
      <c r="F6" s="721" t="s">
        <v>591</v>
      </c>
      <c r="G6" s="3199" t="s">
        <v>2906</v>
      </c>
    </row>
    <row r="7" spans="1:25" s="2034" customFormat="1" ht="13.5" customHeight="1">
      <c r="A7" s="2293">
        <v>1</v>
      </c>
      <c r="B7" s="722" t="s">
        <v>592</v>
      </c>
      <c r="C7" s="723">
        <f>C8+C9</f>
        <v>0</v>
      </c>
      <c r="D7" s="723"/>
      <c r="E7" s="724"/>
      <c r="F7" s="724"/>
      <c r="G7" s="2302"/>
    </row>
    <row r="8" spans="1:25" s="2034" customFormat="1" ht="13.5" customHeight="1">
      <c r="A8" s="2293" t="s">
        <v>2403</v>
      </c>
      <c r="B8" s="2296" t="s">
        <v>2405</v>
      </c>
      <c r="C8" s="3203">
        <f t="shared" ref="C8:C9" si="0">ROUND(D8*E8/10000,0)</f>
        <v>0</v>
      </c>
      <c r="D8" s="3203">
        <v>0</v>
      </c>
      <c r="E8" s="3204">
        <v>0</v>
      </c>
      <c r="F8" s="724"/>
      <c r="G8" s="725"/>
    </row>
    <row r="9" spans="1:25" s="2034" customFormat="1" ht="13.5" customHeight="1">
      <c r="A9" s="2293" t="s">
        <v>2404</v>
      </c>
      <c r="B9" s="2296" t="s">
        <v>2406</v>
      </c>
      <c r="C9" s="3203">
        <f t="shared" si="0"/>
        <v>0</v>
      </c>
      <c r="D9" s="3203">
        <v>0</v>
      </c>
      <c r="E9" s="3204">
        <v>0</v>
      </c>
      <c r="F9" s="724"/>
      <c r="G9" s="725"/>
    </row>
    <row r="10" spans="1:25" s="2034" customFormat="1" ht="36">
      <c r="A10" s="2293">
        <v>2</v>
      </c>
      <c r="B10" s="722" t="s">
        <v>596</v>
      </c>
      <c r="C10" s="723">
        <f>C11+C14+C15</f>
        <v>0</v>
      </c>
      <c r="D10" s="733"/>
      <c r="E10" s="723"/>
      <c r="F10" s="734"/>
      <c r="G10" s="732" t="s">
        <v>597</v>
      </c>
    </row>
    <row r="11" spans="1:25" s="2034" customFormat="1" ht="13.5" customHeight="1">
      <c r="A11" s="2293" t="s">
        <v>2403</v>
      </c>
      <c r="B11" s="726" t="s">
        <v>593</v>
      </c>
      <c r="C11" s="727">
        <f>'数据-取费表'!B29</f>
        <v>0</v>
      </c>
      <c r="D11" s="728"/>
      <c r="E11" s="727"/>
      <c r="F11" s="729"/>
      <c r="G11" s="2301" t="s">
        <v>2414</v>
      </c>
    </row>
    <row r="12" spans="1:25" s="2034" customFormat="1" ht="13.5" customHeight="1">
      <c r="A12" s="2299" t="s">
        <v>2411</v>
      </c>
      <c r="B12" s="730" t="s">
        <v>594</v>
      </c>
      <c r="C12" s="731">
        <f>ROUND(D12*E12/10000,0)</f>
        <v>704</v>
      </c>
      <c r="D12" s="3203">
        <f>'数据-汇总表'!E5</f>
        <v>43988.19</v>
      </c>
      <c r="E12" s="3203">
        <f>'数据-取费表'!B27</f>
        <v>160</v>
      </c>
      <c r="F12" s="729"/>
      <c r="G12" s="732"/>
    </row>
    <row r="13" spans="1:25" s="2034" customFormat="1" ht="13.5" customHeight="1">
      <c r="A13" s="2299" t="s">
        <v>2410</v>
      </c>
      <c r="B13" s="730" t="s">
        <v>595</v>
      </c>
      <c r="C13" s="731">
        <f>ROUND(D13*E13/10000,0)</f>
        <v>378</v>
      </c>
      <c r="D13" s="3203">
        <f>'数据-汇总表'!E6</f>
        <v>18896.78</v>
      </c>
      <c r="E13" s="3203">
        <f>'数据-取费表'!B28</f>
        <v>200</v>
      </c>
      <c r="F13" s="729"/>
      <c r="G13" s="732"/>
    </row>
    <row r="14" spans="1:25" s="2034" customFormat="1" ht="13.5" customHeight="1">
      <c r="A14" s="2293" t="s">
        <v>2404</v>
      </c>
      <c r="B14" s="2298" t="s">
        <v>2407</v>
      </c>
      <c r="C14" s="3205">
        <f t="shared" ref="C14:C15" si="1">ROUND(D14*E14/10000,0)</f>
        <v>0</v>
      </c>
      <c r="D14" s="3203">
        <v>0</v>
      </c>
      <c r="E14" s="3204">
        <v>0</v>
      </c>
      <c r="F14" s="2297"/>
      <c r="G14" s="2300" t="s">
        <v>2412</v>
      </c>
    </row>
    <row r="15" spans="1:25" s="2034" customFormat="1" ht="13.5" customHeight="1">
      <c r="A15" s="2293" t="s">
        <v>2409</v>
      </c>
      <c r="B15" s="2298" t="s">
        <v>2408</v>
      </c>
      <c r="C15" s="3205">
        <f t="shared" si="1"/>
        <v>0</v>
      </c>
      <c r="D15" s="3203">
        <v>0</v>
      </c>
      <c r="E15" s="3204">
        <v>0</v>
      </c>
      <c r="F15" s="2297"/>
      <c r="G15" s="2300" t="s">
        <v>2413</v>
      </c>
    </row>
    <row r="16" spans="1:25" s="2035" customFormat="1" ht="48">
      <c r="A16" s="2293">
        <v>3</v>
      </c>
      <c r="B16" s="722" t="s">
        <v>598</v>
      </c>
      <c r="C16" s="3205">
        <f t="shared" ref="C16" si="2">ROUND(D16*E16/10000,0)</f>
        <v>0</v>
      </c>
      <c r="D16" s="3203">
        <v>0</v>
      </c>
      <c r="E16" s="3204">
        <v>0</v>
      </c>
      <c r="F16" s="734"/>
      <c r="G16" s="732" t="s">
        <v>2415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2" t="s">
        <v>600</v>
      </c>
      <c r="C18" s="723">
        <f>ROUND((C7+C10+C16)*F18,0)</f>
        <v>0</v>
      </c>
      <c r="D18" s="735"/>
      <c r="E18" s="736"/>
      <c r="F18" s="1274">
        <v>0.05</v>
      </c>
      <c r="G18" s="738" t="s">
        <v>601</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2" t="s">
        <v>602</v>
      </c>
      <c r="C19" s="723">
        <f ca="1">C7+C10+C16+C17+C18</f>
        <v>0</v>
      </c>
      <c r="D19" s="733"/>
      <c r="E19" s="723"/>
      <c r="F19" s="734"/>
      <c r="G19" s="738" t="s">
        <v>603</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2" t="s">
        <v>604</v>
      </c>
      <c r="C20" s="723">
        <f ca="1">ROUND(C19*F20,0)</f>
        <v>0</v>
      </c>
      <c r="D20" s="733"/>
      <c r="E20" s="723"/>
      <c r="F20" s="1274">
        <v>0.1</v>
      </c>
      <c r="G20" s="738" t="s">
        <v>605</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2" t="s">
        <v>606</v>
      </c>
      <c r="C21" s="723">
        <f ca="1">C19+C20</f>
        <v>0</v>
      </c>
      <c r="D21" s="733"/>
      <c r="E21" s="723"/>
      <c r="F21" s="734"/>
      <c r="G21" s="738" t="s">
        <v>607</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2" t="s">
        <v>608</v>
      </c>
      <c r="C22" s="723">
        <f ca="1">ROUND(C21*F22,0)</f>
        <v>0</v>
      </c>
      <c r="D22" s="733"/>
      <c r="E22" s="723"/>
      <c r="F22" s="739">
        <f>'数据-取费表'!AP16</f>
        <v>0.92400000000000004</v>
      </c>
      <c r="G22" s="738" t="s">
        <v>609</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40" t="s">
        <v>610</v>
      </c>
      <c r="C23" s="741">
        <f ca="1">C22</f>
        <v>0</v>
      </c>
      <c r="D23" s="742"/>
      <c r="E23" s="741"/>
      <c r="F23" s="743"/>
      <c r="G23" s="744"/>
      <c r="H23" s="2034"/>
      <c r="I23" s="2034"/>
      <c r="J23" s="2034"/>
      <c r="K23" s="2034"/>
      <c r="L23" s="2034"/>
      <c r="M23" s="2034"/>
      <c r="N23" s="2034"/>
      <c r="O23" s="2034"/>
      <c r="P23" s="2034"/>
      <c r="Q23" s="2034"/>
      <c r="R23" s="2034"/>
      <c r="S23" s="2034"/>
      <c r="T23" s="2034"/>
      <c r="U23" s="2034"/>
      <c r="V23" s="2034"/>
      <c r="W23" s="2034"/>
      <c r="X23" s="2034"/>
      <c r="Y23" s="2034"/>
    </row>
    <row r="24" spans="1:25" s="3202" customFormat="1">
      <c r="A24" s="3201"/>
      <c r="D24" s="1854"/>
      <c r="E24" s="1854"/>
    </row>
    <row r="25" spans="1:25" s="3202" customFormat="1">
      <c r="A25" s="3201"/>
      <c r="D25" s="1854"/>
      <c r="E25" s="1854"/>
    </row>
    <row r="26" spans="1:25" s="3202" customFormat="1">
      <c r="A26" s="3201"/>
      <c r="D26" s="1854"/>
      <c r="E26" s="1854"/>
    </row>
    <row r="27" spans="1:25" s="3202" customFormat="1">
      <c r="A27" s="3201"/>
      <c r="D27" s="1854"/>
      <c r="E27" s="1854"/>
    </row>
    <row r="28" spans="1:25" s="3202" customFormat="1">
      <c r="A28" s="3201"/>
      <c r="D28" s="1854"/>
      <c r="E28" s="1854"/>
    </row>
    <row r="29" spans="1:25" s="3202" customFormat="1">
      <c r="A29" s="3201"/>
      <c r="D29" s="1854"/>
      <c r="E29" s="1854"/>
    </row>
    <row r="30" spans="1:25" s="3202" customFormat="1">
      <c r="A30" s="3201"/>
      <c r="D30" s="1854"/>
      <c r="E30" s="1854"/>
    </row>
    <row r="31" spans="1:25" s="3202" customFormat="1">
      <c r="A31" s="3201"/>
      <c r="D31" s="1854"/>
      <c r="E31" s="1854"/>
    </row>
    <row r="32" spans="1:25" s="3202" customFormat="1">
      <c r="A32" s="3201"/>
      <c r="D32" s="1854"/>
      <c r="E32" s="1854"/>
    </row>
    <row r="33" spans="1:5" s="3202" customFormat="1">
      <c r="A33" s="3201"/>
      <c r="D33" s="1854"/>
      <c r="E33" s="1854"/>
    </row>
    <row r="34" spans="1:5" s="3202" customFormat="1">
      <c r="A34" s="3201"/>
      <c r="D34" s="1854"/>
      <c r="E34" s="1854"/>
    </row>
    <row r="35" spans="1:5" s="3202" customFormat="1">
      <c r="A35" s="3201"/>
      <c r="D35" s="1854"/>
      <c r="E35" s="1854"/>
    </row>
    <row r="36" spans="1:5" s="3202" customFormat="1">
      <c r="A36" s="3201"/>
      <c r="D36" s="1854"/>
      <c r="E36" s="1854"/>
    </row>
    <row r="37" spans="1:5" s="3202" customFormat="1">
      <c r="A37" s="3201"/>
      <c r="D37" s="1854"/>
      <c r="E37" s="1854"/>
    </row>
    <row r="38" spans="1:5" s="3202" customFormat="1">
      <c r="A38" s="3201"/>
      <c r="D38" s="1854"/>
      <c r="E38" s="1854"/>
    </row>
    <row r="39" spans="1:5" s="3202" customFormat="1">
      <c r="A39" s="3201"/>
      <c r="D39" s="1854"/>
      <c r="E39" s="1854"/>
    </row>
    <row r="40" spans="1:5" s="3202" customFormat="1">
      <c r="A40" s="3201"/>
      <c r="D40" s="1854"/>
      <c r="E40" s="1854"/>
    </row>
    <row r="41" spans="1:5" s="3202" customFormat="1">
      <c r="A41" s="3201"/>
      <c r="D41" s="1854"/>
      <c r="E41" s="1854"/>
    </row>
    <row r="42" spans="1:5" s="3202" customFormat="1">
      <c r="A42" s="3201"/>
      <c r="D42" s="1854"/>
      <c r="E42" s="1854"/>
    </row>
    <row r="43" spans="1:5" s="3202" customFormat="1">
      <c r="A43" s="3201"/>
      <c r="D43" s="1854"/>
      <c r="E43" s="1854"/>
    </row>
    <row r="44" spans="1:5" s="3202" customFormat="1">
      <c r="A44" s="3201"/>
      <c r="D44" s="1854"/>
      <c r="E44" s="1854"/>
    </row>
    <row r="45" spans="1:5" s="3202" customFormat="1">
      <c r="A45" s="3201"/>
      <c r="D45" s="1854"/>
      <c r="E45" s="1854"/>
    </row>
    <row r="46" spans="1:5" s="3202" customFormat="1">
      <c r="A46" s="3201"/>
      <c r="D46" s="1854"/>
      <c r="E46" s="1854"/>
    </row>
    <row r="47" spans="1:5" s="3202" customFormat="1">
      <c r="A47" s="3201"/>
      <c r="D47" s="1854"/>
      <c r="E47" s="1854"/>
    </row>
    <row r="48" spans="1:5" s="3202" customFormat="1">
      <c r="A48" s="3201"/>
      <c r="D48" s="1854"/>
      <c r="E48" s="1854"/>
    </row>
    <row r="49" spans="1:5" s="3202" customFormat="1">
      <c r="A49" s="3201"/>
      <c r="D49" s="1854"/>
      <c r="E49" s="1854"/>
    </row>
    <row r="50" spans="1:5" s="3202" customFormat="1">
      <c r="A50" s="3201"/>
      <c r="D50" s="1854"/>
      <c r="E50" s="1854"/>
    </row>
    <row r="51" spans="1:5" s="3202" customFormat="1">
      <c r="A51" s="3201"/>
      <c r="D51" s="1854"/>
      <c r="E51" s="1854"/>
    </row>
    <row r="52" spans="1:5" s="3202" customFormat="1">
      <c r="A52" s="3201"/>
      <c r="D52" s="1854"/>
      <c r="E52" s="1854"/>
    </row>
    <row r="53" spans="1:5" s="3202" customFormat="1">
      <c r="A53" s="3201"/>
      <c r="D53" s="1854"/>
      <c r="E53" s="1854"/>
    </row>
    <row r="54" spans="1:5" s="3202" customFormat="1">
      <c r="A54" s="3201"/>
      <c r="D54" s="1854"/>
      <c r="E54" s="1854"/>
    </row>
    <row r="55" spans="1:5" s="3202" customFormat="1">
      <c r="A55" s="3201"/>
      <c r="D55" s="1854"/>
      <c r="E55" s="1854"/>
    </row>
    <row r="56" spans="1:5" s="3202" customFormat="1">
      <c r="A56" s="3201"/>
      <c r="D56" s="1854"/>
      <c r="E56" s="1854"/>
    </row>
    <row r="57" spans="1:5" s="3202" customFormat="1">
      <c r="A57" s="3201"/>
      <c r="D57" s="1854"/>
      <c r="E57" s="1854"/>
    </row>
    <row r="58" spans="1:5" s="3202" customFormat="1">
      <c r="A58" s="3201"/>
      <c r="D58" s="1854"/>
      <c r="E58" s="1854"/>
    </row>
    <row r="59" spans="1:5" s="3202" customFormat="1">
      <c r="A59" s="3201"/>
      <c r="D59" s="1854"/>
      <c r="E59" s="1854"/>
    </row>
    <row r="60" spans="1:5" s="3202" customFormat="1">
      <c r="A60" s="3201"/>
      <c r="D60" s="1854"/>
      <c r="E60" s="1854"/>
    </row>
    <row r="61" spans="1:5" s="3202" customFormat="1">
      <c r="A61" s="3201"/>
      <c r="D61" s="1854"/>
      <c r="E61" s="1854"/>
    </row>
    <row r="62" spans="1:5" s="3202" customFormat="1">
      <c r="A62" s="3201"/>
      <c r="D62" s="1854"/>
      <c r="E62" s="1854"/>
    </row>
    <row r="63" spans="1:5" s="3202" customFormat="1">
      <c r="A63" s="3201"/>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740</v>
      </c>
      <c r="C1" s="481" t="s">
        <v>703</v>
      </c>
      <c r="D1" s="2195"/>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502</v>
      </c>
      <c r="B3" s="487" t="e">
        <f>C49</f>
        <v>#DIV/0!</v>
      </c>
      <c r="C3" s="824" t="s">
        <v>705</v>
      </c>
      <c r="D3" s="823">
        <f>SUMIF('数据-汇总表'!$C19:$C33,D1,'数据-汇总表'!$E19:$E33)</f>
        <v>0</v>
      </c>
      <c r="E3" s="1914"/>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4"/>
    </row>
    <row r="4" spans="1:29" ht="15">
      <c r="A4" s="489" t="s">
        <v>504</v>
      </c>
      <c r="B4" s="490"/>
      <c r="C4" s="3638" t="s">
        <v>505</v>
      </c>
      <c r="D4" s="3639"/>
      <c r="E4" s="3667" t="s">
        <v>506</v>
      </c>
      <c r="F4" s="3668"/>
      <c r="G4" s="3638" t="s">
        <v>507</v>
      </c>
      <c r="H4" s="3639"/>
      <c r="I4" s="3638" t="s">
        <v>508</v>
      </c>
      <c r="J4" s="3639"/>
      <c r="K4" s="491" t="s">
        <v>509</v>
      </c>
      <c r="L4" s="1985"/>
      <c r="M4" s="1986"/>
      <c r="N4" s="1986"/>
      <c r="O4" s="1986"/>
      <c r="P4" s="3640" t="s">
        <v>510</v>
      </c>
      <c r="Q4" s="3641"/>
      <c r="R4" s="3626" t="s">
        <v>506</v>
      </c>
      <c r="S4" s="3627"/>
      <c r="T4" s="3626" t="s">
        <v>507</v>
      </c>
      <c r="U4" s="3627"/>
      <c r="V4" s="3646" t="s">
        <v>508</v>
      </c>
      <c r="W4" s="3646"/>
      <c r="X4" s="1474"/>
      <c r="Y4" s="3626" t="s">
        <v>510</v>
      </c>
      <c r="Z4" s="3627"/>
      <c r="AA4" s="3621" t="s">
        <v>506</v>
      </c>
      <c r="AB4" s="3646" t="s">
        <v>507</v>
      </c>
      <c r="AC4" s="3621" t="s">
        <v>508</v>
      </c>
    </row>
    <row r="5" spans="1:29" ht="15">
      <c r="A5" s="492"/>
      <c r="B5" s="493"/>
      <c r="C5" s="3649" t="s">
        <v>2808</v>
      </c>
      <c r="D5" s="3650"/>
      <c r="E5" s="3669" t="s">
        <v>2809</v>
      </c>
      <c r="F5" s="3670"/>
      <c r="G5" s="3649" t="s">
        <v>2810</v>
      </c>
      <c r="H5" s="3650"/>
      <c r="I5" s="3649" t="s">
        <v>2811</v>
      </c>
      <c r="J5" s="3650"/>
      <c r="K5" s="491"/>
      <c r="L5" s="1985"/>
      <c r="M5" s="1986"/>
      <c r="N5" s="1986"/>
      <c r="O5" s="1986"/>
      <c r="P5" s="3642"/>
      <c r="Q5" s="3643"/>
      <c r="R5" s="3628"/>
      <c r="S5" s="3629"/>
      <c r="T5" s="3628"/>
      <c r="U5" s="3629"/>
      <c r="V5" s="3646"/>
      <c r="W5" s="3646"/>
      <c r="X5" s="1474"/>
      <c r="Y5" s="3628"/>
      <c r="Z5" s="3629"/>
      <c r="AA5" s="3622"/>
      <c r="AB5" s="3646"/>
      <c r="AC5" s="3622"/>
    </row>
    <row r="6" spans="1:29" ht="15.75" thickBot="1">
      <c r="A6" s="494"/>
      <c r="B6" s="495"/>
      <c r="C6" s="3647" t="s">
        <v>2812</v>
      </c>
      <c r="D6" s="3648"/>
      <c r="E6" s="3671" t="s">
        <v>2812</v>
      </c>
      <c r="F6" s="3672"/>
      <c r="G6" s="3647" t="s">
        <v>2812</v>
      </c>
      <c r="H6" s="3648"/>
      <c r="I6" s="3647" t="s">
        <v>2812</v>
      </c>
      <c r="J6" s="3648"/>
      <c r="K6" s="491" t="s">
        <v>511</v>
      </c>
      <c r="L6" s="1985"/>
      <c r="M6" s="1986"/>
      <c r="N6" s="1986"/>
      <c r="O6" s="1986"/>
      <c r="P6" s="3644"/>
      <c r="Q6" s="3645"/>
      <c r="R6" s="3628"/>
      <c r="S6" s="3629"/>
      <c r="T6" s="3630"/>
      <c r="U6" s="3631"/>
      <c r="V6" s="3646"/>
      <c r="W6" s="3646"/>
      <c r="X6" s="1474"/>
      <c r="Y6" s="3630"/>
      <c r="Z6" s="3631"/>
      <c r="AA6" s="3623"/>
      <c r="AB6" s="3646"/>
      <c r="AC6" s="3623"/>
    </row>
    <row r="7" spans="1:29" s="1183" customFormat="1" ht="15.75" thickBot="1">
      <c r="A7" s="2567"/>
      <c r="B7" s="2574" t="s">
        <v>512</v>
      </c>
      <c r="C7" s="496">
        <f>'数据-取费表'!B2</f>
        <v>44649</v>
      </c>
      <c r="D7" s="497">
        <v>100</v>
      </c>
      <c r="E7" s="498"/>
      <c r="F7" s="499">
        <f>SUMIF(58:58,YEAR(E7)&amp;"-"&amp;MONTH(E7),59:59)</f>
        <v>0</v>
      </c>
      <c r="G7" s="498"/>
      <c r="H7" s="497">
        <f>SUMIF(58:58,YEAR(G7)&amp;"-"&amp;MONTH(G7),59:59)</f>
        <v>0</v>
      </c>
      <c r="I7" s="498"/>
      <c r="J7" s="497">
        <f>SUMIF(58:58,YEAR(I7)&amp;"-"&amp;MONTH(I7),59:59)</f>
        <v>0</v>
      </c>
      <c r="K7" s="501"/>
      <c r="L7" s="1987"/>
      <c r="M7" s="1988"/>
      <c r="N7" s="1988"/>
      <c r="O7" s="1988"/>
      <c r="P7" s="3624" t="s">
        <v>513</v>
      </c>
      <c r="Q7" s="3633"/>
      <c r="R7" s="1475" t="s">
        <v>8</v>
      </c>
      <c r="S7" s="1476">
        <f t="shared" ref="S7:S15" si="0">F7</f>
        <v>0</v>
      </c>
      <c r="T7" s="1475" t="s">
        <v>8</v>
      </c>
      <c r="U7" s="1476">
        <f t="shared" ref="U7:U15" si="1">H7</f>
        <v>0</v>
      </c>
      <c r="V7" s="1475" t="s">
        <v>8</v>
      </c>
      <c r="W7" s="1476">
        <f t="shared" ref="W7:W15" si="2">J7</f>
        <v>0</v>
      </c>
      <c r="X7" s="1477"/>
      <c r="Y7" s="3624" t="s">
        <v>513</v>
      </c>
      <c r="Z7" s="3625"/>
      <c r="AA7" s="1478" t="e">
        <f>D7/F7</f>
        <v>#DIV/0!</v>
      </c>
      <c r="AB7" s="1478" t="e">
        <f>D7/H7</f>
        <v>#DIV/0!</v>
      </c>
      <c r="AC7" s="1478" t="e">
        <f>D7/J7</f>
        <v>#DIV/0!</v>
      </c>
    </row>
    <row r="8" spans="1:29" s="1183"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7"/>
      <c r="M8" s="1988"/>
      <c r="N8" s="1988"/>
      <c r="O8" s="1988"/>
      <c r="P8" s="3624" t="s">
        <v>516</v>
      </c>
      <c r="Q8" s="3625"/>
      <c r="R8" s="1475" t="s">
        <v>8</v>
      </c>
      <c r="S8" s="1476">
        <f t="shared" si="0"/>
        <v>0</v>
      </c>
      <c r="T8" s="1475" t="s">
        <v>8</v>
      </c>
      <c r="U8" s="1476">
        <f t="shared" si="1"/>
        <v>0</v>
      </c>
      <c r="V8" s="1475" t="s">
        <v>8</v>
      </c>
      <c r="W8" s="1476">
        <f t="shared" si="2"/>
        <v>0</v>
      </c>
      <c r="X8" s="1477"/>
      <c r="Y8" s="3624" t="s">
        <v>516</v>
      </c>
      <c r="Z8" s="3625"/>
      <c r="AA8" s="1478" t="e">
        <f t="shared" ref="AA8:AA46" si="3">D8/F8</f>
        <v>#DIV/0!</v>
      </c>
      <c r="AB8" s="1478" t="e">
        <f t="shared" ref="AB8:AB46" si="4">D8/H8</f>
        <v>#DIV/0!</v>
      </c>
      <c r="AC8" s="1478" t="e">
        <f t="shared" ref="AC8:AC46" si="5">D8/J8</f>
        <v>#DIV/0!</v>
      </c>
    </row>
    <row r="9" spans="1:29" s="1183" customFormat="1" ht="15">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87"/>
      <c r="M9" s="1988"/>
      <c r="N9" s="1988"/>
      <c r="O9" s="1989"/>
      <c r="P9" s="3632" t="s">
        <v>518</v>
      </c>
      <c r="Q9" s="1114" t="str">
        <f t="shared" ref="Q9:Q15" si="6">B9</f>
        <v>用途</v>
      </c>
      <c r="R9" s="1475" t="s">
        <v>8</v>
      </c>
      <c r="S9" s="1476">
        <f t="shared" si="0"/>
        <v>100</v>
      </c>
      <c r="T9" s="1475" t="s">
        <v>8</v>
      </c>
      <c r="U9" s="1476">
        <f t="shared" si="1"/>
        <v>100</v>
      </c>
      <c r="V9" s="1475" t="s">
        <v>8</v>
      </c>
      <c r="W9" s="1476">
        <f t="shared" si="2"/>
        <v>100</v>
      </c>
      <c r="X9" s="1477"/>
      <c r="Y9" s="3583"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0"/>
      <c r="M10" s="2029"/>
      <c r="N10" s="2029"/>
      <c r="O10" s="1991"/>
      <c r="P10" s="3632"/>
      <c r="Q10" s="1114" t="str">
        <f t="shared" si="6"/>
        <v>土地使用年限（年）</v>
      </c>
      <c r="R10" s="1475" t="s">
        <v>8</v>
      </c>
      <c r="S10" s="1476">
        <f t="shared" si="0"/>
        <v>100</v>
      </c>
      <c r="T10" s="1475" t="s">
        <v>8</v>
      </c>
      <c r="U10" s="1476">
        <f t="shared" si="1"/>
        <v>100</v>
      </c>
      <c r="V10" s="1475" t="s">
        <v>8</v>
      </c>
      <c r="W10" s="1476">
        <f t="shared" si="2"/>
        <v>100</v>
      </c>
      <c r="X10" s="1477"/>
      <c r="Y10" s="3583"/>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2"/>
      <c r="M11" s="1986"/>
      <c r="N11" s="1986"/>
      <c r="O11" s="1993"/>
      <c r="P11" s="3632"/>
      <c r="Q11" s="1114" t="str">
        <f t="shared" si="6"/>
        <v>容积率</v>
      </c>
      <c r="R11" s="1475" t="s">
        <v>8</v>
      </c>
      <c r="S11" s="1476" t="e">
        <f t="shared" si="0"/>
        <v>#N/A</v>
      </c>
      <c r="T11" s="1475" t="s">
        <v>8</v>
      </c>
      <c r="U11" s="1476" t="e">
        <f t="shared" si="1"/>
        <v>#N/A</v>
      </c>
      <c r="V11" s="1475" t="s">
        <v>8</v>
      </c>
      <c r="W11" s="1476" t="e">
        <f t="shared" si="2"/>
        <v>#N/A</v>
      </c>
      <c r="X11" s="1477"/>
      <c r="Y11" s="3583"/>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1"/>
      <c r="H12" s="253">
        <f>SUMIF(70:70,G12,71:71)-SUMIF(70:70,C12,71:71)+100</f>
        <v>100</v>
      </c>
      <c r="I12" s="516"/>
      <c r="J12" s="253">
        <f>SUMIF(70:70,I12,71:71)-SUMIF(70:70,C12,71:71)+100</f>
        <v>100</v>
      </c>
      <c r="K12" s="558"/>
      <c r="L12" s="1987"/>
      <c r="M12" s="1988"/>
      <c r="N12" s="1988"/>
      <c r="O12" s="1989"/>
      <c r="P12" s="3632"/>
      <c r="Q12" s="1114">
        <f t="shared" si="6"/>
        <v>111</v>
      </c>
      <c r="R12" s="1475" t="s">
        <v>8</v>
      </c>
      <c r="S12" s="1476">
        <f t="shared" si="0"/>
        <v>100</v>
      </c>
      <c r="T12" s="1475" t="s">
        <v>8</v>
      </c>
      <c r="U12" s="1476">
        <f t="shared" si="1"/>
        <v>100</v>
      </c>
      <c r="V12" s="1475" t="s">
        <v>8</v>
      </c>
      <c r="W12" s="1476">
        <f t="shared" si="2"/>
        <v>100</v>
      </c>
      <c r="X12" s="1477"/>
      <c r="Y12" s="3583"/>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1"/>
      <c r="H13" s="517">
        <f>SUMIF(72:72,G13,73:73)-SUMIF(72:72,C13,73:73)+100</f>
        <v>100</v>
      </c>
      <c r="I13" s="516"/>
      <c r="J13" s="517">
        <f>SUMIF(72:72,I13,73:73)-SUMIF(72:72,C13,73:73)+100</f>
        <v>100</v>
      </c>
      <c r="K13" s="558"/>
      <c r="L13" s="1994"/>
      <c r="M13" s="1986"/>
      <c r="N13" s="1986"/>
      <c r="O13" s="1993"/>
      <c r="P13" s="3632"/>
      <c r="Q13" s="1114">
        <f t="shared" si="6"/>
        <v>111</v>
      </c>
      <c r="R13" s="1475" t="s">
        <v>8</v>
      </c>
      <c r="S13" s="1476">
        <f t="shared" si="0"/>
        <v>100</v>
      </c>
      <c r="T13" s="1475" t="s">
        <v>8</v>
      </c>
      <c r="U13" s="1476">
        <f t="shared" si="1"/>
        <v>100</v>
      </c>
      <c r="V13" s="1475" t="s">
        <v>8</v>
      </c>
      <c r="W13" s="1476">
        <f t="shared" si="2"/>
        <v>100</v>
      </c>
      <c r="X13" s="1477"/>
      <c r="Y13" s="3583"/>
      <c r="Z13" s="1113">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1"/>
      <c r="H14" s="523">
        <f>SUMIF(74:74,G14,75:75)-SUMIF(74:74,C14,75:75)+100</f>
        <v>100</v>
      </c>
      <c r="I14" s="516"/>
      <c r="J14" s="523">
        <f>SUMIF(74:74,I14,75:75)-SUMIF(74:74,C14,75:75)+100</f>
        <v>100</v>
      </c>
      <c r="K14" s="558"/>
      <c r="L14" s="1994"/>
      <c r="M14" s="1986"/>
      <c r="N14" s="1986"/>
      <c r="O14" s="1993"/>
      <c r="P14" s="3632"/>
      <c r="Q14" s="1114">
        <f t="shared" si="6"/>
        <v>111</v>
      </c>
      <c r="R14" s="1475" t="s">
        <v>8</v>
      </c>
      <c r="S14" s="1476">
        <f t="shared" si="0"/>
        <v>100</v>
      </c>
      <c r="T14" s="1475" t="s">
        <v>8</v>
      </c>
      <c r="U14" s="1476">
        <f t="shared" si="1"/>
        <v>100</v>
      </c>
      <c r="V14" s="1475" t="s">
        <v>8</v>
      </c>
      <c r="W14" s="1476">
        <f t="shared" si="2"/>
        <v>100</v>
      </c>
      <c r="X14" s="1477"/>
      <c r="Y14" s="3583"/>
      <c r="Z14" s="1113">
        <f t="shared" si="7"/>
        <v>111</v>
      </c>
      <c r="AA14" s="1478">
        <f t="shared" si="3"/>
        <v>1</v>
      </c>
      <c r="AB14" s="1478">
        <f t="shared" si="4"/>
        <v>1</v>
      </c>
      <c r="AC14" s="1478">
        <f t="shared" si="5"/>
        <v>1</v>
      </c>
    </row>
    <row r="15" spans="1:29" ht="15">
      <c r="A15" s="2565" t="s">
        <v>2653</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67"/>
      <c r="L15" s="1994"/>
      <c r="M15" s="1986"/>
      <c r="N15" s="1986"/>
      <c r="O15" s="1993"/>
      <c r="P15" s="3634" t="s">
        <v>523</v>
      </c>
      <c r="Q15" s="1479" t="str">
        <f t="shared" si="6"/>
        <v>商业繁华度</v>
      </c>
      <c r="R15" s="1480" t="s">
        <v>8</v>
      </c>
      <c r="S15" s="1481">
        <f t="shared" si="0"/>
        <v>100</v>
      </c>
      <c r="T15" s="1480" t="s">
        <v>8</v>
      </c>
      <c r="U15" s="1481">
        <f t="shared" si="1"/>
        <v>100</v>
      </c>
      <c r="V15" s="1480" t="s">
        <v>8</v>
      </c>
      <c r="W15" s="1481">
        <f t="shared" si="2"/>
        <v>100</v>
      </c>
      <c r="X15" s="1474"/>
      <c r="Y15" s="3634"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35"/>
      <c r="Q16" s="1479"/>
      <c r="R16" s="1480"/>
      <c r="S16" s="1481"/>
      <c r="T16" s="1480"/>
      <c r="U16" s="1481"/>
      <c r="V16" s="1480"/>
      <c r="W16" s="1481"/>
      <c r="X16" s="1474"/>
      <c r="Y16" s="3635"/>
      <c r="Z16" s="1482"/>
      <c r="AA16" s="1483">
        <v>1</v>
      </c>
      <c r="AB16" s="1483">
        <v>1</v>
      </c>
      <c r="AC16" s="1483">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7"/>
      <c r="L17" s="1994"/>
      <c r="M17" s="1986"/>
      <c r="N17" s="1986"/>
      <c r="O17" s="1993"/>
      <c r="P17" s="3635"/>
      <c r="Q17" s="1479" t="str">
        <f>B17</f>
        <v>交通便捷度</v>
      </c>
      <c r="R17" s="1480" t="s">
        <v>8</v>
      </c>
      <c r="S17" s="1481">
        <f>F17</f>
        <v>100</v>
      </c>
      <c r="T17" s="1480" t="s">
        <v>8</v>
      </c>
      <c r="U17" s="1481">
        <f>H17</f>
        <v>100</v>
      </c>
      <c r="V17" s="1480" t="s">
        <v>8</v>
      </c>
      <c r="W17" s="1481">
        <f>J17</f>
        <v>100</v>
      </c>
      <c r="X17" s="1474"/>
      <c r="Y17" s="3635"/>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35"/>
      <c r="Q18" s="1479"/>
      <c r="R18" s="1480"/>
      <c r="S18" s="1481"/>
      <c r="T18" s="1480"/>
      <c r="U18" s="1481"/>
      <c r="V18" s="1480"/>
      <c r="W18" s="1481"/>
      <c r="X18" s="1474"/>
      <c r="Y18" s="3635"/>
      <c r="Z18" s="1482"/>
      <c r="AA18" s="1483">
        <v>1</v>
      </c>
      <c r="AB18" s="1483">
        <v>1</v>
      </c>
      <c r="AC18" s="1483">
        <v>1</v>
      </c>
    </row>
    <row r="19" spans="1:29" ht="15">
      <c r="A19" s="509"/>
      <c r="B19" s="2382" t="s">
        <v>2446</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7"/>
      <c r="L19" s="1994"/>
      <c r="M19" s="1986"/>
      <c r="N19" s="1986"/>
      <c r="O19" s="1993"/>
      <c r="P19" s="3635"/>
      <c r="Q19" s="1479" t="str">
        <f>B19</f>
        <v>公共配套设施</v>
      </c>
      <c r="R19" s="1480" t="s">
        <v>8</v>
      </c>
      <c r="S19" s="1481">
        <f>F19</f>
        <v>100</v>
      </c>
      <c r="T19" s="1480" t="s">
        <v>8</v>
      </c>
      <c r="U19" s="1481">
        <f>H19</f>
        <v>100</v>
      </c>
      <c r="V19" s="1480" t="s">
        <v>8</v>
      </c>
      <c r="W19" s="1481">
        <f>J19</f>
        <v>100</v>
      </c>
      <c r="X19" s="1474"/>
      <c r="Y19" s="3635"/>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8"/>
      <c r="L20" s="1994"/>
      <c r="M20" s="1986"/>
      <c r="N20" s="1986"/>
      <c r="O20" s="1993"/>
      <c r="P20" s="3635"/>
      <c r="Q20" s="1479"/>
      <c r="R20" s="1480"/>
      <c r="S20" s="1481"/>
      <c r="T20" s="1480"/>
      <c r="U20" s="1481"/>
      <c r="V20" s="1480"/>
      <c r="W20" s="1481"/>
      <c r="X20" s="1474"/>
      <c r="Y20" s="3635"/>
      <c r="Z20" s="1482"/>
      <c r="AA20" s="1483">
        <v>1</v>
      </c>
      <c r="AB20" s="1483">
        <v>1</v>
      </c>
      <c r="AC20" s="1483">
        <v>1</v>
      </c>
    </row>
    <row r="21" spans="1:29" ht="15">
      <c r="A21" s="509"/>
      <c r="B21" s="2375" t="s">
        <v>2458</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7"/>
      <c r="L21" s="1994"/>
      <c r="M21" s="1986"/>
      <c r="N21" s="1986"/>
      <c r="O21" s="1993"/>
      <c r="P21" s="3635"/>
      <c r="Q21" s="2367" t="str">
        <f>B21</f>
        <v>基础设施水平</v>
      </c>
      <c r="R21" s="1480" t="s">
        <v>8</v>
      </c>
      <c r="S21" s="1481">
        <f>F21</f>
        <v>100</v>
      </c>
      <c r="T21" s="1480" t="s">
        <v>8</v>
      </c>
      <c r="U21" s="1481">
        <f>H21</f>
        <v>100</v>
      </c>
      <c r="V21" s="1480" t="s">
        <v>8</v>
      </c>
      <c r="W21" s="1481">
        <f>J21</f>
        <v>100</v>
      </c>
      <c r="X21" s="2369"/>
      <c r="Y21" s="3635"/>
      <c r="Z21" s="2368" t="str">
        <f>Q21</f>
        <v>基础设施水平</v>
      </c>
      <c r="AA21" s="1483">
        <f t="shared" ref="AA21" si="8">D21/F21</f>
        <v>1</v>
      </c>
      <c r="AB21" s="1483">
        <f t="shared" ref="AB21" si="9">D21/H21</f>
        <v>1</v>
      </c>
      <c r="AC21" s="1483">
        <f t="shared" ref="AC21" si="10">D21/J21</f>
        <v>1</v>
      </c>
    </row>
    <row r="22" spans="1:29" ht="15">
      <c r="A22" s="509"/>
      <c r="B22" s="891"/>
      <c r="C22" s="845"/>
      <c r="D22" s="532"/>
      <c r="E22" s="553"/>
      <c r="F22" s="534"/>
      <c r="G22" s="553"/>
      <c r="H22" s="532"/>
      <c r="I22" s="553"/>
      <c r="J22" s="532"/>
      <c r="K22" s="2384"/>
      <c r="L22" s="1994"/>
      <c r="M22" s="1986"/>
      <c r="N22" s="1986"/>
      <c r="O22" s="1993"/>
      <c r="P22" s="3635"/>
      <c r="Q22" s="2367"/>
      <c r="R22" s="1480"/>
      <c r="S22" s="1481"/>
      <c r="T22" s="1480"/>
      <c r="U22" s="1481"/>
      <c r="V22" s="1480"/>
      <c r="W22" s="1481"/>
      <c r="X22" s="2369"/>
      <c r="Y22" s="3635"/>
      <c r="Z22" s="2368"/>
      <c r="AA22" s="1483">
        <v>1</v>
      </c>
      <c r="AB22" s="1483">
        <v>1</v>
      </c>
      <c r="AC22" s="1483">
        <v>1</v>
      </c>
    </row>
    <row r="23" spans="1:29" ht="15">
      <c r="A23" s="509"/>
      <c r="B23" s="843" t="s">
        <v>297</v>
      </c>
      <c r="C23" s="869"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7"/>
      <c r="L23" s="1994"/>
      <c r="M23" s="1986"/>
      <c r="N23" s="1986"/>
      <c r="O23" s="1993"/>
      <c r="P23" s="3635"/>
      <c r="Q23" s="1479" t="str">
        <f>B23</f>
        <v>自然及人文环境</v>
      </c>
      <c r="R23" s="1480" t="s">
        <v>8</v>
      </c>
      <c r="S23" s="1481">
        <f>F23</f>
        <v>100</v>
      </c>
      <c r="T23" s="1480" t="s">
        <v>8</v>
      </c>
      <c r="U23" s="1481">
        <f>H23</f>
        <v>100</v>
      </c>
      <c r="V23" s="1480" t="s">
        <v>8</v>
      </c>
      <c r="W23" s="1481">
        <f>J23</f>
        <v>100</v>
      </c>
      <c r="X23" s="1474"/>
      <c r="Y23" s="3635"/>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8"/>
      <c r="L24" s="1994"/>
      <c r="M24" s="1986"/>
      <c r="N24" s="1986"/>
      <c r="O24" s="1993"/>
      <c r="P24" s="3635"/>
      <c r="Q24" s="1479"/>
      <c r="R24" s="1480"/>
      <c r="S24" s="1481"/>
      <c r="T24" s="1480"/>
      <c r="U24" s="1481"/>
      <c r="V24" s="1480"/>
      <c r="W24" s="1481"/>
      <c r="X24" s="1474"/>
      <c r="Y24" s="3635"/>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4"/>
      <c r="M25" s="1986"/>
      <c r="N25" s="1986"/>
      <c r="O25" s="1993"/>
      <c r="P25" s="3635"/>
      <c r="Q25" s="1479" t="str">
        <f t="shared" ref="Q25:Q46" si="11">B25</f>
        <v>临街状况</v>
      </c>
      <c r="R25" s="1480" t="s">
        <v>8</v>
      </c>
      <c r="S25" s="1481">
        <f>F25</f>
        <v>100</v>
      </c>
      <c r="T25" s="1480" t="s">
        <v>8</v>
      </c>
      <c r="U25" s="1481">
        <f>H25</f>
        <v>100</v>
      </c>
      <c r="V25" s="1480" t="s">
        <v>8</v>
      </c>
      <c r="W25" s="1481">
        <f>J25</f>
        <v>100</v>
      </c>
      <c r="X25" s="1474"/>
      <c r="Y25" s="3635"/>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4"/>
      <c r="M26" s="1986"/>
      <c r="N26" s="1986"/>
      <c r="O26" s="1993"/>
      <c r="P26" s="3635"/>
      <c r="Q26" s="1479" t="str">
        <f t="shared" si="11"/>
        <v>平面位置/可视性</v>
      </c>
      <c r="R26" s="1480" t="s">
        <v>8</v>
      </c>
      <c r="S26" s="1481">
        <f>F26</f>
        <v>100</v>
      </c>
      <c r="T26" s="1480" t="s">
        <v>8</v>
      </c>
      <c r="U26" s="1481">
        <f>H26</f>
        <v>100</v>
      </c>
      <c r="V26" s="1480" t="s">
        <v>8</v>
      </c>
      <c r="W26" s="1481">
        <f>J26</f>
        <v>100</v>
      </c>
      <c r="X26" s="1474"/>
      <c r="Y26" s="3635"/>
      <c r="Z26" s="1482" t="str">
        <f>Q26</f>
        <v>平面位置/可视性</v>
      </c>
      <c r="AA26" s="1483">
        <f t="shared" si="3"/>
        <v>1</v>
      </c>
      <c r="AB26" s="1483">
        <f t="shared" si="4"/>
        <v>1</v>
      </c>
      <c r="AC26" s="1483">
        <f t="shared" si="5"/>
        <v>1</v>
      </c>
    </row>
    <row r="27" spans="1:29" s="1183" customFormat="1" ht="15">
      <c r="A27" s="513"/>
      <c r="B27" s="843" t="s">
        <v>742</v>
      </c>
      <c r="C27" s="870"/>
      <c r="D27" s="847">
        <v>100</v>
      </c>
      <c r="E27" s="870"/>
      <c r="F27" s="848">
        <f>SUMIF(90:90,E27,91:91)-SUMIF(90:90,C27,91:91)+100</f>
        <v>100</v>
      </c>
      <c r="G27" s="870"/>
      <c r="H27" s="847">
        <f>SUMIF(90:90,G27,91:91)-SUMIF(90:90,C27,91:91)+100</f>
        <v>100</v>
      </c>
      <c r="I27" s="870"/>
      <c r="J27" s="847">
        <f>SUMIF(90:90,I27,91:91)-SUMIF(90:90,C27,91:91)+100</f>
        <v>100</v>
      </c>
      <c r="K27" s="561"/>
      <c r="L27" s="1987"/>
      <c r="M27" s="1988"/>
      <c r="N27" s="1988"/>
      <c r="O27" s="1989"/>
      <c r="P27" s="3635"/>
      <c r="Q27" s="1114" t="str">
        <f t="shared" si="11"/>
        <v>人流量</v>
      </c>
      <c r="R27" s="1475" t="s">
        <v>8</v>
      </c>
      <c r="S27" s="1476">
        <f>F27</f>
        <v>100</v>
      </c>
      <c r="T27" s="1475" t="s">
        <v>8</v>
      </c>
      <c r="U27" s="1476">
        <f>H27</f>
        <v>100</v>
      </c>
      <c r="V27" s="1475" t="s">
        <v>8</v>
      </c>
      <c r="W27" s="1476">
        <f>J27</f>
        <v>100</v>
      </c>
      <c r="X27" s="1477"/>
      <c r="Y27" s="3635"/>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4"/>
      <c r="M28" s="1986"/>
      <c r="N28" s="1986"/>
      <c r="O28" s="1993"/>
      <c r="P28" s="3635"/>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35"/>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4"/>
      <c r="M29" s="1986"/>
      <c r="N29" s="1986"/>
      <c r="O29" s="1993"/>
      <c r="P29" s="3635"/>
      <c r="Q29" s="1479">
        <f t="shared" si="11"/>
        <v>111</v>
      </c>
      <c r="R29" s="1480" t="s">
        <v>8</v>
      </c>
      <c r="S29" s="1481">
        <f t="shared" si="12"/>
        <v>100</v>
      </c>
      <c r="T29" s="1480" t="s">
        <v>8</v>
      </c>
      <c r="U29" s="1481">
        <f t="shared" si="13"/>
        <v>100</v>
      </c>
      <c r="V29" s="1480" t="s">
        <v>8</v>
      </c>
      <c r="W29" s="1481">
        <f t="shared" si="14"/>
        <v>100</v>
      </c>
      <c r="X29" s="1474"/>
      <c r="Y29" s="3635"/>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4"/>
      <c r="M30" s="1986"/>
      <c r="N30" s="1986"/>
      <c r="O30" s="1993"/>
      <c r="P30" s="3635"/>
      <c r="Q30" s="1479">
        <f t="shared" si="11"/>
        <v>111</v>
      </c>
      <c r="R30" s="1480" t="s">
        <v>8</v>
      </c>
      <c r="S30" s="1481">
        <f t="shared" si="12"/>
        <v>100</v>
      </c>
      <c r="T30" s="1480" t="s">
        <v>8</v>
      </c>
      <c r="U30" s="1481">
        <f t="shared" si="13"/>
        <v>100</v>
      </c>
      <c r="V30" s="1480" t="s">
        <v>8</v>
      </c>
      <c r="W30" s="1481">
        <f t="shared" si="14"/>
        <v>100</v>
      </c>
      <c r="X30" s="1474"/>
      <c r="Y30" s="3635"/>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4"/>
      <c r="M31" s="1986"/>
      <c r="N31" s="1986"/>
      <c r="O31" s="1993"/>
      <c r="P31" s="3635"/>
      <c r="Q31" s="1479">
        <f t="shared" si="11"/>
        <v>111</v>
      </c>
      <c r="R31" s="1480" t="s">
        <v>8</v>
      </c>
      <c r="S31" s="1481">
        <f t="shared" si="12"/>
        <v>100</v>
      </c>
      <c r="T31" s="1480" t="s">
        <v>8</v>
      </c>
      <c r="U31" s="1481">
        <f t="shared" si="13"/>
        <v>100</v>
      </c>
      <c r="V31" s="1480" t="s">
        <v>8</v>
      </c>
      <c r="W31" s="1481">
        <f t="shared" si="14"/>
        <v>100</v>
      </c>
      <c r="X31" s="1474"/>
      <c r="Y31" s="3635"/>
      <c r="Z31" s="1482">
        <f t="shared" si="15"/>
        <v>111</v>
      </c>
      <c r="AA31" s="1483">
        <f t="shared" si="3"/>
        <v>1</v>
      </c>
      <c r="AB31" s="1483">
        <f t="shared" si="4"/>
        <v>1</v>
      </c>
      <c r="AC31" s="1483">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4"/>
      <c r="M32" s="1986"/>
      <c r="N32" s="1986"/>
      <c r="O32" s="1993"/>
      <c r="P32" s="3636" t="s">
        <v>533</v>
      </c>
      <c r="Q32" s="1479" t="str">
        <f t="shared" si="11"/>
        <v>商业类型</v>
      </c>
      <c r="R32" s="1480" t="s">
        <v>8</v>
      </c>
      <c r="S32" s="1481">
        <f t="shared" si="12"/>
        <v>100</v>
      </c>
      <c r="T32" s="1480" t="s">
        <v>8</v>
      </c>
      <c r="U32" s="1481">
        <f t="shared" si="13"/>
        <v>100</v>
      </c>
      <c r="V32" s="1480" t="s">
        <v>8</v>
      </c>
      <c r="W32" s="1481">
        <f t="shared" si="14"/>
        <v>100</v>
      </c>
      <c r="X32" s="1474"/>
      <c r="Y32" s="3637" t="s">
        <v>533</v>
      </c>
      <c r="Z32" s="1482" t="str">
        <f t="shared" si="15"/>
        <v>商业类型</v>
      </c>
      <c r="AA32" s="1483">
        <f t="shared" si="3"/>
        <v>1</v>
      </c>
      <c r="AB32" s="1483">
        <f t="shared" si="4"/>
        <v>1</v>
      </c>
      <c r="AC32" s="1483">
        <f t="shared" si="5"/>
        <v>1</v>
      </c>
    </row>
    <row r="33" spans="1:29" s="1265"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2"/>
      <c r="M33" s="2022"/>
      <c r="N33" s="2022"/>
      <c r="O33" s="1995"/>
      <c r="P33" s="3637"/>
      <c r="Q33" s="1508" t="str">
        <f t="shared" si="11"/>
        <v>项目建筑规模</v>
      </c>
      <c r="R33" s="1484" t="s">
        <v>8</v>
      </c>
      <c r="S33" s="1485" t="e">
        <f t="shared" si="12"/>
        <v>#N/A</v>
      </c>
      <c r="T33" s="1484" t="s">
        <v>8</v>
      </c>
      <c r="U33" s="1485" t="e">
        <f t="shared" si="13"/>
        <v>#N/A</v>
      </c>
      <c r="V33" s="1484" t="s">
        <v>8</v>
      </c>
      <c r="W33" s="1485" t="e">
        <f t="shared" si="14"/>
        <v>#N/A</v>
      </c>
      <c r="X33" s="1486"/>
      <c r="Y33" s="3637"/>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4"/>
      <c r="M34" s="1986"/>
      <c r="N34" s="1986"/>
      <c r="O34" s="1993"/>
      <c r="P34" s="3637"/>
      <c r="Q34" s="1479" t="str">
        <f t="shared" si="11"/>
        <v>建筑结构</v>
      </c>
      <c r="R34" s="1480" t="s">
        <v>8</v>
      </c>
      <c r="S34" s="1481">
        <f t="shared" si="12"/>
        <v>100</v>
      </c>
      <c r="T34" s="1480" t="s">
        <v>8</v>
      </c>
      <c r="U34" s="1481">
        <f t="shared" si="13"/>
        <v>100</v>
      </c>
      <c r="V34" s="1480" t="s">
        <v>8</v>
      </c>
      <c r="W34" s="1481">
        <f t="shared" si="14"/>
        <v>100</v>
      </c>
      <c r="X34" s="1474"/>
      <c r="Y34" s="3637"/>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4"/>
      <c r="M35" s="1986"/>
      <c r="N35" s="1986"/>
      <c r="O35" s="1993"/>
      <c r="P35" s="3637"/>
      <c r="Q35" s="1479" t="str">
        <f t="shared" si="11"/>
        <v>公共部分装修</v>
      </c>
      <c r="R35" s="1480" t="s">
        <v>8</v>
      </c>
      <c r="S35" s="1481">
        <f t="shared" si="12"/>
        <v>100</v>
      </c>
      <c r="T35" s="1480" t="s">
        <v>8</v>
      </c>
      <c r="U35" s="1481">
        <f t="shared" si="13"/>
        <v>100</v>
      </c>
      <c r="V35" s="1480" t="s">
        <v>8</v>
      </c>
      <c r="W35" s="1481">
        <f t="shared" si="14"/>
        <v>100</v>
      </c>
      <c r="X35" s="1474"/>
      <c r="Y35" s="3637"/>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4"/>
      <c r="M36" s="1986"/>
      <c r="N36" s="1986"/>
      <c r="O36" s="1993"/>
      <c r="P36" s="3637"/>
      <c r="Q36" s="1479" t="str">
        <f t="shared" si="11"/>
        <v>成新度</v>
      </c>
      <c r="R36" s="1480" t="s">
        <v>8</v>
      </c>
      <c r="S36" s="1481" t="e">
        <f t="shared" si="12"/>
        <v>#N/A</v>
      </c>
      <c r="T36" s="1480" t="s">
        <v>8</v>
      </c>
      <c r="U36" s="1481" t="e">
        <f t="shared" si="13"/>
        <v>#N/A</v>
      </c>
      <c r="V36" s="1480" t="s">
        <v>8</v>
      </c>
      <c r="W36" s="1481" t="e">
        <f t="shared" si="14"/>
        <v>#N/A</v>
      </c>
      <c r="X36" s="1474"/>
      <c r="Y36" s="3637"/>
      <c r="Z36" s="1482" t="str">
        <f t="shared" si="15"/>
        <v>成新度</v>
      </c>
      <c r="AA36" s="1483" t="e">
        <f t="shared" si="3"/>
        <v>#N/A</v>
      </c>
      <c r="AB36" s="1483" t="e">
        <f t="shared" si="4"/>
        <v>#N/A</v>
      </c>
      <c r="AC36" s="1483" t="e">
        <f t="shared" si="5"/>
        <v>#N/A</v>
      </c>
    </row>
    <row r="37" spans="1:29" s="1183" customFormat="1" ht="15">
      <c r="A37" s="577"/>
      <c r="B37" s="1780"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7"/>
      <c r="M37" s="1988"/>
      <c r="N37" s="1988"/>
      <c r="O37" s="1989"/>
      <c r="P37" s="3637"/>
      <c r="Q37" s="1114" t="str">
        <f t="shared" si="11"/>
        <v>市政基础设施</v>
      </c>
      <c r="R37" s="1475" t="s">
        <v>8</v>
      </c>
      <c r="S37" s="1476">
        <f t="shared" si="12"/>
        <v>100</v>
      </c>
      <c r="T37" s="1475" t="s">
        <v>8</v>
      </c>
      <c r="U37" s="1476">
        <f t="shared" si="13"/>
        <v>100</v>
      </c>
      <c r="V37" s="1475" t="s">
        <v>8</v>
      </c>
      <c r="W37" s="1476">
        <f t="shared" si="14"/>
        <v>100</v>
      </c>
      <c r="X37" s="1477"/>
      <c r="Y37" s="3637"/>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4"/>
      <c r="M38" s="1986"/>
      <c r="N38" s="1986"/>
      <c r="O38" s="1993"/>
      <c r="P38" s="3637" t="s">
        <v>749</v>
      </c>
      <c r="Q38" s="1479" t="str">
        <f t="shared" si="11"/>
        <v>业态</v>
      </c>
      <c r="R38" s="1480" t="s">
        <v>8</v>
      </c>
      <c r="S38" s="1481">
        <f t="shared" si="12"/>
        <v>100</v>
      </c>
      <c r="T38" s="1480" t="s">
        <v>8</v>
      </c>
      <c r="U38" s="1481">
        <f t="shared" si="13"/>
        <v>100</v>
      </c>
      <c r="V38" s="1480" t="s">
        <v>8</v>
      </c>
      <c r="W38" s="1481">
        <f t="shared" si="14"/>
        <v>100</v>
      </c>
      <c r="X38" s="1474"/>
      <c r="Y38" s="3637"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37"/>
      <c r="Q39" s="1479" t="str">
        <f t="shared" si="11"/>
        <v>层高</v>
      </c>
      <c r="R39" s="1480" t="s">
        <v>8</v>
      </c>
      <c r="S39" s="1481">
        <f t="shared" si="12"/>
        <v>100</v>
      </c>
      <c r="T39" s="1480" t="s">
        <v>8</v>
      </c>
      <c r="U39" s="1481">
        <f t="shared" si="13"/>
        <v>100</v>
      </c>
      <c r="V39" s="1480" t="s">
        <v>8</v>
      </c>
      <c r="W39" s="1481">
        <f t="shared" si="14"/>
        <v>100</v>
      </c>
      <c r="X39" s="1474"/>
      <c r="Y39" s="3637"/>
      <c r="Z39" s="1482" t="str">
        <f t="shared" si="15"/>
        <v>层高</v>
      </c>
      <c r="AA39" s="1483">
        <f t="shared" si="3"/>
        <v>1</v>
      </c>
      <c r="AB39" s="1483">
        <f t="shared" si="4"/>
        <v>1</v>
      </c>
      <c r="AC39" s="1483">
        <f t="shared" si="5"/>
        <v>1</v>
      </c>
    </row>
    <row r="40" spans="1:29" ht="15">
      <c r="A40" s="571"/>
      <c r="B40" s="504" t="s">
        <v>751</v>
      </c>
      <c r="C40" s="871"/>
      <c r="D40" s="517">
        <v>100</v>
      </c>
      <c r="E40" s="872"/>
      <c r="F40" s="552">
        <f>SUMIF(118:118,E40,119:119)-SUMIF(118:118,C40,119:119)+100</f>
        <v>100</v>
      </c>
      <c r="G40" s="872"/>
      <c r="H40" s="517">
        <f>SUMIF(118:118,G40,119:119)-SUMIF(118:118,C40,119:119)+100</f>
        <v>100</v>
      </c>
      <c r="I40" s="872"/>
      <c r="J40" s="517">
        <f>SUMIF(118:118,I40,119:119)-SUMIF(118:118,C40,119:119)+100</f>
        <v>100</v>
      </c>
      <c r="K40" s="558"/>
      <c r="L40" s="1994"/>
      <c r="M40" s="1986"/>
      <c r="N40" s="1986"/>
      <c r="O40" s="1993"/>
      <c r="P40" s="3637"/>
      <c r="Q40" s="1479" t="str">
        <f t="shared" si="11"/>
        <v>单套建筑面积</v>
      </c>
      <c r="R40" s="1480" t="s">
        <v>8</v>
      </c>
      <c r="S40" s="1481">
        <f t="shared" si="12"/>
        <v>100</v>
      </c>
      <c r="T40" s="1480" t="s">
        <v>8</v>
      </c>
      <c r="U40" s="1481">
        <f t="shared" si="13"/>
        <v>100</v>
      </c>
      <c r="V40" s="1480" t="s">
        <v>8</v>
      </c>
      <c r="W40" s="1481">
        <f t="shared" si="14"/>
        <v>100</v>
      </c>
      <c r="X40" s="1474"/>
      <c r="Y40" s="3637"/>
      <c r="Z40" s="1482" t="str">
        <f t="shared" si="15"/>
        <v>单套建筑面积</v>
      </c>
      <c r="AA40" s="1483">
        <f t="shared" si="3"/>
        <v>1</v>
      </c>
      <c r="AB40" s="1483">
        <f t="shared" si="4"/>
        <v>1</v>
      </c>
      <c r="AC40" s="1483">
        <f t="shared" si="5"/>
        <v>1</v>
      </c>
    </row>
    <row r="41" spans="1:29" s="1265" customFormat="1" ht="15">
      <c r="A41" s="580"/>
      <c r="B41" s="873"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2"/>
      <c r="M41" s="2022"/>
      <c r="N41" s="2022"/>
      <c r="O41" s="1995"/>
      <c r="P41" s="3637"/>
      <c r="Q41" s="1508" t="str">
        <f t="shared" si="11"/>
        <v>进深比</v>
      </c>
      <c r="R41" s="1484" t="s">
        <v>8</v>
      </c>
      <c r="S41" s="1485">
        <f t="shared" si="12"/>
        <v>100</v>
      </c>
      <c r="T41" s="1484" t="s">
        <v>8</v>
      </c>
      <c r="U41" s="1485">
        <f t="shared" si="13"/>
        <v>100</v>
      </c>
      <c r="V41" s="1484" t="s">
        <v>8</v>
      </c>
      <c r="W41" s="1485">
        <f t="shared" si="14"/>
        <v>100</v>
      </c>
      <c r="X41" s="1486"/>
      <c r="Y41" s="3637"/>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4"/>
      <c r="M42" s="1986"/>
      <c r="N42" s="1986"/>
      <c r="O42" s="1993"/>
      <c r="P42" s="3637"/>
      <c r="Q42" s="1479" t="str">
        <f t="shared" si="11"/>
        <v>内部装修</v>
      </c>
      <c r="R42" s="1480" t="s">
        <v>8</v>
      </c>
      <c r="S42" s="1481">
        <f t="shared" si="12"/>
        <v>100</v>
      </c>
      <c r="T42" s="1480" t="s">
        <v>8</v>
      </c>
      <c r="U42" s="1481">
        <f t="shared" si="13"/>
        <v>100</v>
      </c>
      <c r="V42" s="1480" t="s">
        <v>8</v>
      </c>
      <c r="W42" s="1481">
        <f t="shared" si="14"/>
        <v>100</v>
      </c>
      <c r="X42" s="1474"/>
      <c r="Y42" s="3637"/>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4"/>
      <c r="M43" s="1986"/>
      <c r="N43" s="1986"/>
      <c r="O43" s="1993"/>
      <c r="P43" s="3637"/>
      <c r="Q43" s="1479" t="str">
        <f t="shared" si="11"/>
        <v>内部装修维护情况</v>
      </c>
      <c r="R43" s="1480" t="s">
        <v>8</v>
      </c>
      <c r="S43" s="1481">
        <f t="shared" si="12"/>
        <v>100</v>
      </c>
      <c r="T43" s="1480" t="s">
        <v>8</v>
      </c>
      <c r="U43" s="1481">
        <f t="shared" si="13"/>
        <v>100</v>
      </c>
      <c r="V43" s="1480" t="s">
        <v>8</v>
      </c>
      <c r="W43" s="1481">
        <f t="shared" si="14"/>
        <v>100</v>
      </c>
      <c r="X43" s="1474"/>
      <c r="Y43" s="3637"/>
      <c r="Z43" s="1482" t="str">
        <f t="shared" si="15"/>
        <v>内部装修维护情况</v>
      </c>
      <c r="AA43" s="1483">
        <f t="shared" si="3"/>
        <v>1</v>
      </c>
      <c r="AB43" s="1483">
        <f t="shared" si="4"/>
        <v>1</v>
      </c>
      <c r="AC43" s="1483">
        <f t="shared" si="5"/>
        <v>1</v>
      </c>
    </row>
    <row r="44" spans="1:29" s="1183"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7"/>
      <c r="M44" s="1988"/>
      <c r="N44" s="1988"/>
      <c r="O44" s="1989"/>
      <c r="P44" s="3637"/>
      <c r="Q44" s="1114">
        <f t="shared" si="11"/>
        <v>111</v>
      </c>
      <c r="R44" s="1475" t="s">
        <v>8</v>
      </c>
      <c r="S44" s="1476">
        <f t="shared" si="12"/>
        <v>100</v>
      </c>
      <c r="T44" s="1475" t="s">
        <v>8</v>
      </c>
      <c r="U44" s="1476">
        <f t="shared" si="13"/>
        <v>100</v>
      </c>
      <c r="V44" s="1475" t="s">
        <v>8</v>
      </c>
      <c r="W44" s="1476">
        <f t="shared" si="14"/>
        <v>100</v>
      </c>
      <c r="X44" s="1477"/>
      <c r="Y44" s="3637"/>
      <c r="Z44" s="1113">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4"/>
      <c r="M45" s="1986"/>
      <c r="N45" s="1986"/>
      <c r="O45" s="1993"/>
      <c r="P45" s="3637"/>
      <c r="Q45" s="1479">
        <f t="shared" si="11"/>
        <v>111</v>
      </c>
      <c r="R45" s="1480" t="s">
        <v>8</v>
      </c>
      <c r="S45" s="1481">
        <f t="shared" si="12"/>
        <v>100</v>
      </c>
      <c r="T45" s="1480" t="s">
        <v>8</v>
      </c>
      <c r="U45" s="1481">
        <f t="shared" si="13"/>
        <v>100</v>
      </c>
      <c r="V45" s="1480" t="s">
        <v>8</v>
      </c>
      <c r="W45" s="1481">
        <f t="shared" si="14"/>
        <v>100</v>
      </c>
      <c r="X45" s="1474"/>
      <c r="Y45" s="3637"/>
      <c r="Z45" s="1482">
        <f t="shared" si="15"/>
        <v>111</v>
      </c>
      <c r="AA45" s="1483">
        <f t="shared" si="3"/>
        <v>1</v>
      </c>
      <c r="AB45" s="1483">
        <f t="shared" si="4"/>
        <v>1</v>
      </c>
      <c r="AC45" s="1483">
        <f t="shared" si="5"/>
        <v>1</v>
      </c>
    </row>
    <row r="46" spans="1:29" ht="15.75" thickBot="1">
      <c r="A46" s="855"/>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4"/>
      <c r="M46" s="1986"/>
      <c r="N46" s="1986"/>
      <c r="O46" s="1993"/>
      <c r="P46" s="3719"/>
      <c r="Q46" s="1479">
        <f t="shared" si="11"/>
        <v>111</v>
      </c>
      <c r="R46" s="1480" t="s">
        <v>8</v>
      </c>
      <c r="S46" s="1481">
        <f t="shared" si="12"/>
        <v>100</v>
      </c>
      <c r="T46" s="1480" t="s">
        <v>8</v>
      </c>
      <c r="U46" s="1481">
        <f t="shared" si="13"/>
        <v>100</v>
      </c>
      <c r="V46" s="1480" t="s">
        <v>8</v>
      </c>
      <c r="W46" s="1481">
        <f t="shared" si="14"/>
        <v>100</v>
      </c>
      <c r="X46" s="1474"/>
      <c r="Y46" s="3719"/>
      <c r="Z46" s="1482">
        <f t="shared" si="15"/>
        <v>111</v>
      </c>
      <c r="AA46" s="1483">
        <f t="shared" si="3"/>
        <v>1</v>
      </c>
      <c r="AB46" s="1483">
        <f t="shared" si="4"/>
        <v>1</v>
      </c>
      <c r="AC46" s="1483">
        <f t="shared" si="5"/>
        <v>1</v>
      </c>
    </row>
    <row r="47" spans="1:29" ht="15">
      <c r="A47" s="584" t="s">
        <v>719</v>
      </c>
      <c r="B47" s="856"/>
      <c r="C47" s="2408" t="s">
        <v>1</v>
      </c>
      <c r="D47" s="2409"/>
      <c r="E47" s="2410"/>
      <c r="F47" s="2411"/>
      <c r="G47" s="2412"/>
      <c r="H47" s="2413"/>
      <c r="I47" s="2410"/>
      <c r="J47" s="2413"/>
      <c r="K47" s="1513"/>
      <c r="L47" s="1996"/>
      <c r="M47" s="1997"/>
      <c r="N47" s="1986"/>
      <c r="O47" s="1997"/>
      <c r="P47" s="3632" t="str">
        <f>A47</f>
        <v>成交单价（元/平方米）</v>
      </c>
      <c r="Q47" s="3632"/>
      <c r="R47" s="3718">
        <f>E47</f>
        <v>0</v>
      </c>
      <c r="S47" s="3718"/>
      <c r="T47" s="3718">
        <f>G47</f>
        <v>0</v>
      </c>
      <c r="U47" s="3718"/>
      <c r="V47" s="3718">
        <f>I47</f>
        <v>0</v>
      </c>
      <c r="W47" s="3718"/>
      <c r="X47" s="1469"/>
      <c r="Y47" s="1488"/>
      <c r="Z47" s="1469"/>
      <c r="AA47" s="1469"/>
      <c r="AB47" s="1469"/>
      <c r="AC47" s="1469"/>
    </row>
    <row r="48" spans="1:29" ht="15.75" thickBot="1">
      <c r="A48" s="592" t="s">
        <v>2659</v>
      </c>
      <c r="B48" s="857"/>
      <c r="C48" s="2414" t="e">
        <f>R49</f>
        <v>#DIV/0!</v>
      </c>
      <c r="D48" s="2948" t="s">
        <v>2881</v>
      </c>
      <c r="E48" s="2415" t="e">
        <f>R48</f>
        <v>#DIV/0!</v>
      </c>
      <c r="F48" s="2949"/>
      <c r="G48" s="2414" t="e">
        <f>T48</f>
        <v>#DIV/0!</v>
      </c>
      <c r="H48" s="2949"/>
      <c r="I48" s="2415" t="e">
        <f>V48</f>
        <v>#DIV/0!</v>
      </c>
      <c r="J48" s="2949"/>
      <c r="K48" s="2957">
        <f>F48+H48+J48</f>
        <v>0</v>
      </c>
      <c r="L48" s="1996"/>
      <c r="M48" s="1997"/>
      <c r="N48" s="1986"/>
      <c r="O48" s="1997"/>
      <c r="P48" s="3632" t="str">
        <f>A48</f>
        <v>比较价格（元/平方米）</v>
      </c>
      <c r="Q48" s="3632"/>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1469"/>
      <c r="Y48" s="1469"/>
      <c r="Z48" s="1469"/>
      <c r="AA48" s="1469"/>
      <c r="AB48" s="1469"/>
      <c r="AC48" s="1469"/>
    </row>
    <row r="49" spans="1:29" ht="15.75" thickBot="1">
      <c r="A49" s="596" t="s">
        <v>2814</v>
      </c>
      <c r="B49" s="597"/>
      <c r="C49" s="2416" t="e">
        <f>R49</f>
        <v>#DIV/0!</v>
      </c>
      <c r="D49" s="2416"/>
      <c r="E49" s="2416"/>
      <c r="F49" s="2416"/>
      <c r="G49" s="2416"/>
      <c r="H49" s="2416"/>
      <c r="I49" s="2416"/>
      <c r="J49" s="2416"/>
      <c r="K49" s="1514"/>
      <c r="L49" s="1996"/>
      <c r="M49" s="1997"/>
      <c r="N49" s="1986"/>
      <c r="O49" s="1997"/>
      <c r="P49" s="3653" t="str">
        <f>A49</f>
        <v>估价对象XX用房的比较价格（楼面单价，元/平方米）</v>
      </c>
      <c r="Q49" s="3654"/>
      <c r="R49" s="3717" t="e">
        <f>IF(F1="售价",ROUND(IF(D48="简单平均",AVERAGE(R48:V48),R48*F48+T48*H48+V48*J48),0),ROUND(IF(D48="简单平均",AVERAGE(R48:V48),R48*F48+T48*H48+V48*J48),1))</f>
        <v>#DIV/0!</v>
      </c>
      <c r="S49" s="3717"/>
      <c r="T49" s="3717"/>
      <c r="U49" s="3717"/>
      <c r="V49" s="3717"/>
      <c r="W49" s="3717"/>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7"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c r="E59" s="625"/>
      <c r="F59" s="625"/>
      <c r="G59" s="625"/>
      <c r="H59" s="625"/>
      <c r="I59" s="625"/>
      <c r="J59" s="625"/>
      <c r="K59" s="625"/>
      <c r="L59" s="625"/>
      <c r="M59" s="626"/>
      <c r="N59" s="625"/>
      <c r="O59" s="627"/>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168"/>
    </row>
    <row r="63" spans="1:29">
      <c r="A63" s="639" t="s">
        <v>560</v>
      </c>
      <c r="B63" s="640" t="s">
        <v>517</v>
      </c>
      <c r="C63" s="679">
        <f>C9</f>
        <v>0</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c r="D64" s="646"/>
      <c r="E64" s="646"/>
      <c r="F64" s="646"/>
      <c r="G64" s="646"/>
      <c r="H64" s="646"/>
      <c r="I64" s="646"/>
      <c r="J64" s="646"/>
      <c r="K64" s="646"/>
      <c r="L64" s="646"/>
      <c r="M64" s="647"/>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c r="D68" s="518"/>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46"/>
      <c r="E73" s="646"/>
      <c r="F73" s="646"/>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100</v>
      </c>
      <c r="E83" s="654">
        <f>D83-$K21</f>
        <v>100</v>
      </c>
      <c r="F83" s="654">
        <f>E83-$K21</f>
        <v>100</v>
      </c>
      <c r="G83" s="654">
        <f>F83-$K21</f>
        <v>100</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648" t="s">
        <v>754</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tr">
        <f>B26</f>
        <v>平面位置/可视性</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67"/>
      <c r="D89" s="646"/>
      <c r="E89" s="646"/>
      <c r="F89" s="646"/>
      <c r="G89" s="646"/>
      <c r="H89" s="646"/>
      <c r="I89" s="646"/>
      <c r="J89" s="646"/>
      <c r="K89" s="646"/>
      <c r="L89" s="646"/>
      <c r="M89" s="646"/>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人流量</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4"/>
      <c r="B92" s="648" t="str">
        <f>B28</f>
        <v>楼层</v>
      </c>
      <c r="C92" s="663"/>
      <c r="D92" s="663"/>
      <c r="E92" s="663"/>
      <c r="F92" s="663"/>
      <c r="G92" s="663"/>
      <c r="H92" s="663"/>
      <c r="I92" s="663"/>
      <c r="J92" s="663"/>
      <c r="K92" s="663"/>
      <c r="L92" s="859"/>
      <c r="M92" s="860"/>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46"/>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46"/>
      <c r="E95" s="646"/>
      <c r="F95" s="646"/>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67"/>
      <c r="D97" s="646"/>
      <c r="E97" s="646"/>
      <c r="F97" s="646"/>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63"/>
      <c r="D98" s="663"/>
      <c r="E98" s="663"/>
      <c r="F98" s="663"/>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675"/>
      <c r="D99" s="675"/>
      <c r="E99" s="675"/>
      <c r="F99" s="675"/>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755</v>
      </c>
      <c r="C100" s="575"/>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c r="D103" s="705"/>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c r="D104" s="646"/>
      <c r="E104" s="646"/>
      <c r="F104" s="646"/>
      <c r="G104" s="646"/>
      <c r="H104" s="646"/>
      <c r="I104" s="646"/>
      <c r="J104" s="646"/>
      <c r="K104" s="646"/>
      <c r="L104" s="646"/>
      <c r="M104" s="647"/>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663"/>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734</v>
      </c>
      <c r="C107" s="663"/>
      <c r="D107" s="663"/>
      <c r="E107" s="663"/>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c r="A110" s="710"/>
      <c r="B110" s="656"/>
      <c r="C110" s="863">
        <v>0.5</v>
      </c>
      <c r="D110" s="863">
        <v>0.6</v>
      </c>
      <c r="E110" s="863">
        <v>0.7</v>
      </c>
      <c r="F110" s="863">
        <v>0.8</v>
      </c>
      <c r="G110" s="863">
        <v>0.9</v>
      </c>
      <c r="H110" s="863">
        <v>1.0001</v>
      </c>
      <c r="I110" s="874"/>
      <c r="J110" s="874"/>
      <c r="K110" s="875"/>
      <c r="L110" s="876"/>
      <c r="M110" s="877"/>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s="1265" customFormat="1" ht="15" thickTop="1">
      <c r="A112" s="703"/>
      <c r="B112" s="1781" t="s">
        <v>2456</v>
      </c>
      <c r="C112" s="663"/>
      <c r="D112" s="663"/>
      <c r="E112" s="663"/>
      <c r="F112" s="663"/>
      <c r="G112" s="663"/>
      <c r="H112" s="693"/>
      <c r="I112" s="693"/>
      <c r="J112" s="693"/>
      <c r="K112" s="694"/>
      <c r="L112" s="695"/>
      <c r="M112" s="69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756</v>
      </c>
      <c r="C114" s="663"/>
      <c r="D114" s="663"/>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648" t="s">
        <v>757</v>
      </c>
      <c r="C116" s="663"/>
      <c r="D116" s="663"/>
      <c r="E116" s="663"/>
      <c r="F116" s="663"/>
      <c r="G116" s="663"/>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758</v>
      </c>
      <c r="C118" s="878"/>
      <c r="D118" s="878"/>
      <c r="E118" s="878"/>
      <c r="F118" s="878"/>
      <c r="G118" s="878"/>
      <c r="H118" s="664"/>
      <c r="I118" s="664"/>
      <c r="J118" s="664"/>
      <c r="K118" s="664"/>
      <c r="L118" s="665"/>
      <c r="M118" s="66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2017"/>
      <c r="O119" s="2017"/>
      <c r="P119" s="2016"/>
      <c r="Q119" s="2009"/>
      <c r="R119" s="1997"/>
      <c r="S119" s="1997"/>
      <c r="T119" s="1997"/>
      <c r="U119" s="1997"/>
      <c r="V119" s="1997"/>
      <c r="W119" s="1997"/>
      <c r="X119" s="1997"/>
      <c r="Y119" s="1997"/>
      <c r="Z119" s="1997"/>
      <c r="AA119" s="1997"/>
      <c r="AB119" s="1997"/>
      <c r="AC119" s="1997"/>
    </row>
    <row r="120" spans="1:29" s="1265" customFormat="1" ht="15" thickTop="1">
      <c r="A120" s="703"/>
      <c r="B120" s="648" t="s">
        <v>759</v>
      </c>
      <c r="C120" s="693"/>
      <c r="D120" s="693"/>
      <c r="E120" s="693"/>
      <c r="F120" s="693"/>
      <c r="G120" s="664"/>
      <c r="H120" s="664"/>
      <c r="I120" s="664"/>
      <c r="J120" s="664"/>
      <c r="K120" s="664"/>
      <c r="L120" s="665"/>
      <c r="M120" s="666"/>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c r="D122" s="663"/>
      <c r="E122" s="663"/>
      <c r="F122" s="693"/>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46"/>
      <c r="E129" s="646"/>
      <c r="F129" s="646"/>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1"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760</v>
      </c>
      <c r="C1" s="481" t="s">
        <v>703</v>
      </c>
      <c r="D1" s="821"/>
      <c r="E1" s="483"/>
      <c r="F1" s="2462"/>
      <c r="G1" s="1504" t="s">
        <v>704</v>
      </c>
      <c r="H1" s="483"/>
      <c r="I1" s="483"/>
      <c r="J1" s="483"/>
      <c r="K1" s="484"/>
      <c r="L1" s="3142"/>
      <c r="M1" s="3143"/>
      <c r="N1" s="3143"/>
      <c r="O1" s="3143"/>
      <c r="P1" s="3206"/>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3206"/>
      <c r="Q2" s="1984"/>
      <c r="R2" s="1984"/>
      <c r="S2" s="1984"/>
      <c r="T2" s="1984"/>
      <c r="U2" s="1984"/>
      <c r="V2" s="1984"/>
      <c r="W2" s="1984"/>
      <c r="X2" s="1984"/>
      <c r="Y2" s="1984"/>
      <c r="Z2" s="1984"/>
      <c r="AA2" s="1984"/>
      <c r="AB2" s="1984"/>
      <c r="AC2" s="3144"/>
    </row>
    <row r="3" spans="1:29" s="1262" customFormat="1" ht="28.5" customHeight="1" thickBot="1">
      <c r="A3" s="486" t="s">
        <v>502</v>
      </c>
      <c r="B3" s="487" t="e">
        <f>C50</f>
        <v>#DIV/0!</v>
      </c>
      <c r="C3" s="824" t="s">
        <v>705</v>
      </c>
      <c r="D3" s="823">
        <f>SUMIF('数据-汇总表'!$C19:$C33,D1,'数据-汇总表'!$E19:$E33)</f>
        <v>0</v>
      </c>
      <c r="E3" s="1914"/>
      <c r="F3" s="1981"/>
      <c r="G3" s="1980"/>
      <c r="H3" s="1980"/>
      <c r="I3" s="1980"/>
      <c r="J3" s="1980"/>
      <c r="K3" s="1982"/>
      <c r="L3" s="1983"/>
      <c r="M3" s="1984"/>
      <c r="N3" s="1984"/>
      <c r="O3" s="1984"/>
      <c r="P3" s="3206"/>
      <c r="Q3" s="1984"/>
      <c r="R3" s="1984"/>
      <c r="S3" s="1984"/>
      <c r="T3" s="1984"/>
      <c r="U3" s="1984"/>
      <c r="V3" s="1984"/>
      <c r="W3" s="1984"/>
      <c r="X3" s="1984"/>
      <c r="Y3" s="1984"/>
      <c r="Z3" s="1984"/>
      <c r="AA3" s="1984"/>
      <c r="AB3" s="1984"/>
      <c r="AC3" s="3144"/>
    </row>
    <row r="4" spans="1:29" ht="15">
      <c r="A4" s="489" t="s">
        <v>504</v>
      </c>
      <c r="B4" s="490"/>
      <c r="C4" s="3638" t="s">
        <v>505</v>
      </c>
      <c r="D4" s="3639"/>
      <c r="E4" s="3667" t="s">
        <v>506</v>
      </c>
      <c r="F4" s="3668"/>
      <c r="G4" s="3638" t="s">
        <v>507</v>
      </c>
      <c r="H4" s="3639"/>
      <c r="I4" s="3638" t="s">
        <v>508</v>
      </c>
      <c r="J4" s="3639"/>
      <c r="K4" s="491" t="s">
        <v>509</v>
      </c>
      <c r="L4" s="1985"/>
      <c r="M4" s="1986"/>
      <c r="N4" s="1986"/>
      <c r="O4" s="1986"/>
      <c r="P4" s="3741" t="s">
        <v>510</v>
      </c>
      <c r="Q4" s="3641"/>
      <c r="R4" s="3626" t="s">
        <v>506</v>
      </c>
      <c r="S4" s="3627"/>
      <c r="T4" s="3626" t="s">
        <v>507</v>
      </c>
      <c r="U4" s="3627"/>
      <c r="V4" s="3646" t="s">
        <v>508</v>
      </c>
      <c r="W4" s="3646"/>
      <c r="X4" s="1474"/>
      <c r="Y4" s="3626" t="s">
        <v>510</v>
      </c>
      <c r="Z4" s="3627"/>
      <c r="AA4" s="3621" t="s">
        <v>506</v>
      </c>
      <c r="AB4" s="3621" t="s">
        <v>507</v>
      </c>
      <c r="AC4" s="3621" t="s">
        <v>508</v>
      </c>
    </row>
    <row r="5" spans="1:29" ht="15">
      <c r="A5" s="492"/>
      <c r="B5" s="493"/>
      <c r="C5" s="3649" t="s">
        <v>2808</v>
      </c>
      <c r="D5" s="3650"/>
      <c r="E5" s="3669" t="s">
        <v>2809</v>
      </c>
      <c r="F5" s="3670"/>
      <c r="G5" s="3649" t="s">
        <v>2810</v>
      </c>
      <c r="H5" s="3650"/>
      <c r="I5" s="3649" t="s">
        <v>2811</v>
      </c>
      <c r="J5" s="3650"/>
      <c r="K5" s="491"/>
      <c r="L5" s="1985"/>
      <c r="M5" s="1986"/>
      <c r="N5" s="1986"/>
      <c r="O5" s="1986"/>
      <c r="P5" s="3742"/>
      <c r="Q5" s="3643"/>
      <c r="R5" s="3628"/>
      <c r="S5" s="3629"/>
      <c r="T5" s="3628"/>
      <c r="U5" s="3629"/>
      <c r="V5" s="3646"/>
      <c r="W5" s="3646"/>
      <c r="X5" s="1474"/>
      <c r="Y5" s="3628"/>
      <c r="Z5" s="3629"/>
      <c r="AA5" s="3622"/>
      <c r="AB5" s="3622"/>
      <c r="AC5" s="3622"/>
    </row>
    <row r="6" spans="1:29" ht="15.75" thickBot="1">
      <c r="A6" s="494"/>
      <c r="B6" s="495"/>
      <c r="C6" s="3647" t="s">
        <v>2812</v>
      </c>
      <c r="D6" s="3648"/>
      <c r="E6" s="3671" t="s">
        <v>2812</v>
      </c>
      <c r="F6" s="3672"/>
      <c r="G6" s="3647" t="s">
        <v>2812</v>
      </c>
      <c r="H6" s="3648"/>
      <c r="I6" s="3647" t="s">
        <v>2812</v>
      </c>
      <c r="J6" s="3648"/>
      <c r="K6" s="491" t="s">
        <v>511</v>
      </c>
      <c r="L6" s="1985"/>
      <c r="M6" s="1986"/>
      <c r="N6" s="1986"/>
      <c r="O6" s="1986"/>
      <c r="P6" s="3743"/>
      <c r="Q6" s="3645"/>
      <c r="R6" s="3628"/>
      <c r="S6" s="3629"/>
      <c r="T6" s="3630"/>
      <c r="U6" s="3631"/>
      <c r="V6" s="3646"/>
      <c r="W6" s="3646"/>
      <c r="X6" s="1474"/>
      <c r="Y6" s="3630"/>
      <c r="Z6" s="3631"/>
      <c r="AA6" s="3623"/>
      <c r="AB6" s="3623"/>
      <c r="AC6" s="3623"/>
    </row>
    <row r="7" spans="1:29" s="1183" customFormat="1" ht="15.75" thickBot="1">
      <c r="A7" s="2567"/>
      <c r="B7" s="2574" t="s">
        <v>512</v>
      </c>
      <c r="C7" s="496">
        <f>'数据-取费表'!B2</f>
        <v>44649</v>
      </c>
      <c r="D7" s="497">
        <v>100</v>
      </c>
      <c r="E7" s="498"/>
      <c r="F7" s="499">
        <f>SUMIF(59:59,YEAR(E7)&amp;"-"&amp;MONTH(E7),60:60)</f>
        <v>0</v>
      </c>
      <c r="G7" s="498"/>
      <c r="H7" s="497">
        <f>SUMIF(59:59,YEAR(G7)&amp;"-"&amp;MONTH(G7),60:60)</f>
        <v>0</v>
      </c>
      <c r="I7" s="498"/>
      <c r="J7" s="497">
        <f>SUMIF(59:59,YEAR(I7)&amp;"-"&amp;MONTH(I7),60:60)</f>
        <v>0</v>
      </c>
      <c r="K7" s="501"/>
      <c r="L7" s="1987"/>
      <c r="M7" s="1988"/>
      <c r="N7" s="1988"/>
      <c r="O7" s="1988"/>
      <c r="P7" s="3633" t="s">
        <v>513</v>
      </c>
      <c r="Q7" s="3633"/>
      <c r="R7" s="1475" t="s">
        <v>8</v>
      </c>
      <c r="S7" s="1476">
        <f t="shared" ref="S7:S15" si="0">F7</f>
        <v>0</v>
      </c>
      <c r="T7" s="1475" t="s">
        <v>8</v>
      </c>
      <c r="U7" s="1476">
        <f t="shared" ref="U7:U15" si="1">H7</f>
        <v>0</v>
      </c>
      <c r="V7" s="1475" t="s">
        <v>8</v>
      </c>
      <c r="W7" s="1476">
        <f t="shared" ref="W7:W15" si="2">J7</f>
        <v>0</v>
      </c>
      <c r="X7" s="1477"/>
      <c r="Y7" s="3624" t="s">
        <v>513</v>
      </c>
      <c r="Z7" s="3625"/>
      <c r="AA7" s="1478" t="e">
        <f>D7/F7</f>
        <v>#DIV/0!</v>
      </c>
      <c r="AB7" s="1478" t="e">
        <f>D7/H7</f>
        <v>#DIV/0!</v>
      </c>
      <c r="AC7" s="1478" t="e">
        <f>D7/J7</f>
        <v>#DIV/0!</v>
      </c>
    </row>
    <row r="8" spans="1:29" s="1183"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7"/>
      <c r="M8" s="1988"/>
      <c r="N8" s="1988"/>
      <c r="O8" s="1988"/>
      <c r="P8" s="3633" t="s">
        <v>516</v>
      </c>
      <c r="Q8" s="3625"/>
      <c r="R8" s="1475" t="s">
        <v>8</v>
      </c>
      <c r="S8" s="1476">
        <f t="shared" si="0"/>
        <v>0</v>
      </c>
      <c r="T8" s="1475" t="s">
        <v>8</v>
      </c>
      <c r="U8" s="1476">
        <f t="shared" si="1"/>
        <v>0</v>
      </c>
      <c r="V8" s="1475" t="s">
        <v>8</v>
      </c>
      <c r="W8" s="1476">
        <f t="shared" si="2"/>
        <v>0</v>
      </c>
      <c r="X8" s="1477"/>
      <c r="Y8" s="3624" t="s">
        <v>516</v>
      </c>
      <c r="Z8" s="3625"/>
      <c r="AA8" s="1478" t="e">
        <f t="shared" ref="AA8:AA47" si="3">D8/F8</f>
        <v>#DIV/0!</v>
      </c>
      <c r="AB8" s="1478" t="e">
        <f t="shared" ref="AB8:AB47" si="4">D8/H8</f>
        <v>#DIV/0!</v>
      </c>
      <c r="AC8" s="1478" t="e">
        <f t="shared" ref="AC8:AC47" si="5">D8/J8</f>
        <v>#DIV/0!</v>
      </c>
    </row>
    <row r="9" spans="1:29" s="1183" customFormat="1" ht="15">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87"/>
      <c r="M9" s="1988"/>
      <c r="N9" s="1988"/>
      <c r="O9" s="1988"/>
      <c r="P9" s="3632" t="s">
        <v>518</v>
      </c>
      <c r="Q9" s="1114" t="str">
        <f t="shared" ref="Q9:Q15" si="6">B9</f>
        <v>用途</v>
      </c>
      <c r="R9" s="1475" t="s">
        <v>8</v>
      </c>
      <c r="S9" s="1476">
        <f t="shared" si="0"/>
        <v>100</v>
      </c>
      <c r="T9" s="1475" t="s">
        <v>8</v>
      </c>
      <c r="U9" s="1476">
        <f t="shared" si="1"/>
        <v>100</v>
      </c>
      <c r="V9" s="1475" t="s">
        <v>8</v>
      </c>
      <c r="W9" s="1476">
        <f t="shared" si="2"/>
        <v>100</v>
      </c>
      <c r="X9" s="1477"/>
      <c r="Y9" s="3583"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0"/>
      <c r="M10" s="2029"/>
      <c r="N10" s="2029"/>
      <c r="O10" s="2029"/>
      <c r="P10" s="3632"/>
      <c r="Q10" s="1114" t="str">
        <f t="shared" si="6"/>
        <v>土地使用年限（年）</v>
      </c>
      <c r="R10" s="1475" t="s">
        <v>8</v>
      </c>
      <c r="S10" s="1476">
        <f t="shared" si="0"/>
        <v>100</v>
      </c>
      <c r="T10" s="1475" t="s">
        <v>8</v>
      </c>
      <c r="U10" s="1476">
        <f t="shared" si="1"/>
        <v>100</v>
      </c>
      <c r="V10" s="1475" t="s">
        <v>8</v>
      </c>
      <c r="W10" s="1476">
        <f t="shared" si="2"/>
        <v>100</v>
      </c>
      <c r="X10" s="1477"/>
      <c r="Y10" s="3583"/>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2"/>
      <c r="M11" s="1986"/>
      <c r="N11" s="1986"/>
      <c r="O11" s="1986"/>
      <c r="P11" s="3632"/>
      <c r="Q11" s="1114" t="str">
        <f t="shared" si="6"/>
        <v>容积率</v>
      </c>
      <c r="R11" s="1475" t="s">
        <v>8</v>
      </c>
      <c r="S11" s="1476" t="e">
        <f t="shared" si="0"/>
        <v>#N/A</v>
      </c>
      <c r="T11" s="1475" t="s">
        <v>8</v>
      </c>
      <c r="U11" s="1476" t="e">
        <f t="shared" si="1"/>
        <v>#N/A</v>
      </c>
      <c r="V11" s="1475" t="s">
        <v>8</v>
      </c>
      <c r="W11" s="1476" t="e">
        <f t="shared" si="2"/>
        <v>#N/A</v>
      </c>
      <c r="X11" s="1477"/>
      <c r="Y11" s="3583"/>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79"/>
      <c r="H12" s="253">
        <f>SUMIF(71:71,G12,72:72)-SUMIF(71:71,C12,72:72)+100</f>
        <v>100</v>
      </c>
      <c r="I12" s="505"/>
      <c r="J12" s="253">
        <f>SUMIF(71:71,I12,72:72)-SUMIF(71:71,C12,72:72)+100</f>
        <v>100</v>
      </c>
      <c r="K12" s="558"/>
      <c r="L12" s="1987"/>
      <c r="M12" s="1988"/>
      <c r="N12" s="1988"/>
      <c r="O12" s="1988"/>
      <c r="P12" s="3632"/>
      <c r="Q12" s="1114">
        <f t="shared" si="6"/>
        <v>111</v>
      </c>
      <c r="R12" s="1475" t="s">
        <v>8</v>
      </c>
      <c r="S12" s="1476">
        <f t="shared" si="0"/>
        <v>100</v>
      </c>
      <c r="T12" s="1475" t="s">
        <v>8</v>
      </c>
      <c r="U12" s="1476">
        <f t="shared" si="1"/>
        <v>100</v>
      </c>
      <c r="V12" s="1475" t="s">
        <v>8</v>
      </c>
      <c r="W12" s="1476">
        <f t="shared" si="2"/>
        <v>100</v>
      </c>
      <c r="X12" s="1477"/>
      <c r="Y12" s="3583"/>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79"/>
      <c r="H13" s="517">
        <f>SUMIF(73:73,G13,74:74)-SUMIF(73:73,C13,74:74)+100</f>
        <v>100</v>
      </c>
      <c r="I13" s="505"/>
      <c r="J13" s="517">
        <f>SUMIF(73:73,I13,74:74)-SUMIF(73:73,C13,74:74)+100</f>
        <v>100</v>
      </c>
      <c r="K13" s="558"/>
      <c r="L13" s="1994"/>
      <c r="M13" s="1986"/>
      <c r="N13" s="1986"/>
      <c r="O13" s="1986"/>
      <c r="P13" s="3632"/>
      <c r="Q13" s="1114">
        <f t="shared" si="6"/>
        <v>111</v>
      </c>
      <c r="R13" s="1475" t="s">
        <v>8</v>
      </c>
      <c r="S13" s="1476">
        <f t="shared" si="0"/>
        <v>100</v>
      </c>
      <c r="T13" s="1475" t="s">
        <v>8</v>
      </c>
      <c r="U13" s="1476">
        <f t="shared" si="1"/>
        <v>100</v>
      </c>
      <c r="V13" s="1475" t="s">
        <v>8</v>
      </c>
      <c r="W13" s="1476">
        <f t="shared" si="2"/>
        <v>100</v>
      </c>
      <c r="X13" s="1477"/>
      <c r="Y13" s="3583"/>
      <c r="Z13" s="1113">
        <f t="shared" si="7"/>
        <v>111</v>
      </c>
      <c r="AA13" s="1478">
        <f t="shared" si="3"/>
        <v>1</v>
      </c>
      <c r="AB13" s="1478">
        <f t="shared" si="4"/>
        <v>1</v>
      </c>
      <c r="AC13" s="1478">
        <f t="shared" si="5"/>
        <v>1</v>
      </c>
    </row>
    <row r="14" spans="1:29" ht="15.75" thickBot="1">
      <c r="A14" s="2573"/>
      <c r="B14" s="2579">
        <v>111</v>
      </c>
      <c r="C14" s="522"/>
      <c r="D14" s="523">
        <v>100</v>
      </c>
      <c r="E14" s="880"/>
      <c r="F14" s="523">
        <f>SUMIF(75:75,E14,76:76)-SUMIF(75:75,C14,76:76)+100</f>
        <v>100</v>
      </c>
      <c r="G14" s="879"/>
      <c r="H14" s="523">
        <f>SUMIF(75:75,G14,76:76)-SUMIF(75:75,C14,76:76)+100</f>
        <v>100</v>
      </c>
      <c r="I14" s="505"/>
      <c r="J14" s="523">
        <f>SUMIF(75:75,I14,76:76)-SUMIF(75:75,C14,76:76)+100</f>
        <v>100</v>
      </c>
      <c r="K14" s="558"/>
      <c r="L14" s="1994"/>
      <c r="M14" s="1986"/>
      <c r="N14" s="1986"/>
      <c r="O14" s="1986"/>
      <c r="P14" s="3632"/>
      <c r="Q14" s="1114">
        <f t="shared" si="6"/>
        <v>111</v>
      </c>
      <c r="R14" s="1475" t="s">
        <v>8</v>
      </c>
      <c r="S14" s="1476">
        <f t="shared" si="0"/>
        <v>100</v>
      </c>
      <c r="T14" s="1475" t="s">
        <v>8</v>
      </c>
      <c r="U14" s="1476">
        <f t="shared" si="1"/>
        <v>100</v>
      </c>
      <c r="V14" s="1475" t="s">
        <v>8</v>
      </c>
      <c r="W14" s="1476">
        <f t="shared" si="2"/>
        <v>100</v>
      </c>
      <c r="X14" s="1477"/>
      <c r="Y14" s="3583"/>
      <c r="Z14" s="1113">
        <f t="shared" si="7"/>
        <v>111</v>
      </c>
      <c r="AA14" s="1478">
        <f t="shared" si="3"/>
        <v>1</v>
      </c>
      <c r="AB14" s="1478">
        <f t="shared" si="4"/>
        <v>1</v>
      </c>
      <c r="AC14" s="1478">
        <f t="shared" si="5"/>
        <v>1</v>
      </c>
    </row>
    <row r="15" spans="1:29" ht="15">
      <c r="A15" s="2565" t="s">
        <v>2653</v>
      </c>
      <c r="B15" s="524" t="s">
        <v>525</v>
      </c>
      <c r="C15" s="525" t="str">
        <f>估价对象房地状况!C5</f>
        <v>一般</v>
      </c>
      <c r="D15" s="526">
        <v>100</v>
      </c>
      <c r="E15" s="529"/>
      <c r="F15" s="526">
        <f>SUMIF(77:77,E16,78:78)-SUMIF(77:77,C16,78:78)+100</f>
        <v>100</v>
      </c>
      <c r="G15" s="527"/>
      <c r="H15" s="526">
        <f>SUMIF(77:77,G16,78:78)-SUMIF(77:77,C16,78:78)+100</f>
        <v>100</v>
      </c>
      <c r="I15" s="527"/>
      <c r="J15" s="526">
        <f>SUMIF(77:77,I16,78:78)-SUMIF(77:77,C16,78:78)+100</f>
        <v>100</v>
      </c>
      <c r="K15" s="867"/>
      <c r="L15" s="1994"/>
      <c r="M15" s="1986"/>
      <c r="N15" s="1986"/>
      <c r="O15" s="1986"/>
      <c r="P15" s="3634" t="s">
        <v>523</v>
      </c>
      <c r="Q15" s="1479" t="str">
        <f t="shared" si="6"/>
        <v>办公集聚程度</v>
      </c>
      <c r="R15" s="1480" t="s">
        <v>8</v>
      </c>
      <c r="S15" s="1481">
        <f t="shared" si="0"/>
        <v>100</v>
      </c>
      <c r="T15" s="1480" t="s">
        <v>8</v>
      </c>
      <c r="U15" s="1481">
        <f t="shared" si="1"/>
        <v>100</v>
      </c>
      <c r="V15" s="1480" t="s">
        <v>8</v>
      </c>
      <c r="W15" s="1481">
        <f t="shared" si="2"/>
        <v>100</v>
      </c>
      <c r="X15" s="1474"/>
      <c r="Y15" s="3634"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8"/>
      <c r="L16" s="1994"/>
      <c r="M16" s="1986"/>
      <c r="N16" s="1986"/>
      <c r="O16" s="1986"/>
      <c r="P16" s="3635"/>
      <c r="Q16" s="1479"/>
      <c r="R16" s="1480"/>
      <c r="S16" s="1481"/>
      <c r="T16" s="1480"/>
      <c r="U16" s="1481"/>
      <c r="V16" s="1480"/>
      <c r="W16" s="1481"/>
      <c r="X16" s="1474"/>
      <c r="Y16" s="3635"/>
      <c r="Z16" s="1482"/>
      <c r="AA16" s="1483">
        <v>1</v>
      </c>
      <c r="AB16" s="1483">
        <v>1</v>
      </c>
      <c r="AC16" s="1483">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7"/>
      <c r="L17" s="1994"/>
      <c r="M17" s="1986"/>
      <c r="N17" s="1986"/>
      <c r="O17" s="1986"/>
      <c r="P17" s="3635"/>
      <c r="Q17" s="1479" t="str">
        <f>B17</f>
        <v>交通便捷度</v>
      </c>
      <c r="R17" s="1480" t="s">
        <v>8</v>
      </c>
      <c r="S17" s="1481">
        <f>F17</f>
        <v>100</v>
      </c>
      <c r="T17" s="1480" t="s">
        <v>8</v>
      </c>
      <c r="U17" s="1481">
        <f>H17</f>
        <v>100</v>
      </c>
      <c r="V17" s="1480" t="s">
        <v>8</v>
      </c>
      <c r="W17" s="1481">
        <f>J17</f>
        <v>100</v>
      </c>
      <c r="X17" s="1474"/>
      <c r="Y17" s="3635"/>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8"/>
      <c r="L18" s="1994"/>
      <c r="M18" s="1986"/>
      <c r="N18" s="1986"/>
      <c r="O18" s="1986"/>
      <c r="P18" s="3635"/>
      <c r="Q18" s="1479"/>
      <c r="R18" s="1480"/>
      <c r="S18" s="1481"/>
      <c r="T18" s="1480"/>
      <c r="U18" s="1481"/>
      <c r="V18" s="1480"/>
      <c r="W18" s="1481"/>
      <c r="X18" s="1474"/>
      <c r="Y18" s="3635"/>
      <c r="Z18" s="1482"/>
      <c r="AA18" s="1483">
        <v>1</v>
      </c>
      <c r="AB18" s="1483">
        <v>1</v>
      </c>
      <c r="AC18" s="1483">
        <v>1</v>
      </c>
    </row>
    <row r="19" spans="1:29" ht="15">
      <c r="A19" s="509"/>
      <c r="B19" s="2385" t="s">
        <v>2446</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7"/>
      <c r="L19" s="1994"/>
      <c r="M19" s="1986"/>
      <c r="N19" s="1986"/>
      <c r="O19" s="1986"/>
      <c r="P19" s="3635"/>
      <c r="Q19" s="1479" t="str">
        <f>B19</f>
        <v>公共配套设施</v>
      </c>
      <c r="R19" s="1480" t="s">
        <v>8</v>
      </c>
      <c r="S19" s="1481">
        <f>F19</f>
        <v>100</v>
      </c>
      <c r="T19" s="1480" t="s">
        <v>8</v>
      </c>
      <c r="U19" s="1481">
        <f>H19</f>
        <v>100</v>
      </c>
      <c r="V19" s="1480" t="s">
        <v>8</v>
      </c>
      <c r="W19" s="1481">
        <f>J19</f>
        <v>100</v>
      </c>
      <c r="X19" s="1474"/>
      <c r="Y19" s="3635"/>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8"/>
      <c r="L20" s="1994"/>
      <c r="M20" s="1986"/>
      <c r="N20" s="1986"/>
      <c r="O20" s="1986"/>
      <c r="P20" s="3635"/>
      <c r="Q20" s="1479"/>
      <c r="R20" s="1480"/>
      <c r="S20" s="1481"/>
      <c r="T20" s="1480"/>
      <c r="U20" s="1481"/>
      <c r="V20" s="1480"/>
      <c r="W20" s="1481"/>
      <c r="X20" s="1474"/>
      <c r="Y20" s="3635"/>
      <c r="Z20" s="1482"/>
      <c r="AA20" s="1483">
        <v>1</v>
      </c>
      <c r="AB20" s="1483">
        <v>1</v>
      </c>
      <c r="AC20" s="1483">
        <v>1</v>
      </c>
    </row>
    <row r="21" spans="1:29" ht="15">
      <c r="A21" s="509"/>
      <c r="B21" s="2373" t="s">
        <v>2458</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7"/>
      <c r="L21" s="1994"/>
      <c r="M21" s="1986"/>
      <c r="N21" s="1986"/>
      <c r="O21" s="1986"/>
      <c r="P21" s="3635"/>
      <c r="Q21" s="2367" t="str">
        <f>B21</f>
        <v>基础设施水平</v>
      </c>
      <c r="R21" s="1480" t="s">
        <v>8</v>
      </c>
      <c r="S21" s="1481">
        <f>F21</f>
        <v>100</v>
      </c>
      <c r="T21" s="1480" t="s">
        <v>8</v>
      </c>
      <c r="U21" s="1481">
        <f>H21</f>
        <v>100</v>
      </c>
      <c r="V21" s="1480" t="s">
        <v>8</v>
      </c>
      <c r="W21" s="1481">
        <f>J21</f>
        <v>100</v>
      </c>
      <c r="X21" s="2369"/>
      <c r="Y21" s="3635"/>
      <c r="Z21" s="2368"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4"/>
      <c r="L22" s="1994"/>
      <c r="M22" s="1986"/>
      <c r="N22" s="1986"/>
      <c r="O22" s="1986"/>
      <c r="P22" s="3635"/>
      <c r="Q22" s="2367"/>
      <c r="R22" s="1480"/>
      <c r="S22" s="1481"/>
      <c r="T22" s="1480"/>
      <c r="U22" s="1481"/>
      <c r="V22" s="1480"/>
      <c r="W22" s="1481"/>
      <c r="X22" s="2369"/>
      <c r="Y22" s="3635"/>
      <c r="Z22" s="2368"/>
      <c r="AA22" s="1483">
        <v>1</v>
      </c>
      <c r="AB22" s="1483">
        <v>1</v>
      </c>
      <c r="AC22" s="1483">
        <v>1</v>
      </c>
    </row>
    <row r="23" spans="1:29" ht="15">
      <c r="A23" s="509"/>
      <c r="B23" s="537" t="s">
        <v>761</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7"/>
      <c r="L23" s="1994"/>
      <c r="M23" s="1986"/>
      <c r="N23" s="1986"/>
      <c r="O23" s="1986"/>
      <c r="P23" s="3635"/>
      <c r="Q23" s="1479" t="str">
        <f>B23</f>
        <v>环境质量</v>
      </c>
      <c r="R23" s="1480" t="s">
        <v>8</v>
      </c>
      <c r="S23" s="1481">
        <f>F23</f>
        <v>100</v>
      </c>
      <c r="T23" s="1480" t="s">
        <v>8</v>
      </c>
      <c r="U23" s="1481">
        <f>H23</f>
        <v>100</v>
      </c>
      <c r="V23" s="1480" t="s">
        <v>8</v>
      </c>
      <c r="W23" s="1481">
        <f>J23</f>
        <v>100</v>
      </c>
      <c r="X23" s="1474"/>
      <c r="Y23" s="3635"/>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8"/>
      <c r="L24" s="1994"/>
      <c r="M24" s="1986"/>
      <c r="N24" s="1986"/>
      <c r="O24" s="1986"/>
      <c r="P24" s="3635"/>
      <c r="Q24" s="1479"/>
      <c r="R24" s="1480"/>
      <c r="S24" s="1481"/>
      <c r="T24" s="1480"/>
      <c r="U24" s="1481"/>
      <c r="V24" s="1480"/>
      <c r="W24" s="1481"/>
      <c r="X24" s="1474"/>
      <c r="Y24" s="3635"/>
      <c r="Z24" s="1482"/>
      <c r="AA24" s="1483">
        <v>1</v>
      </c>
      <c r="AB24" s="1483">
        <v>1</v>
      </c>
      <c r="AC24" s="1483">
        <v>1</v>
      </c>
    </row>
    <row r="25" spans="1:29" ht="27">
      <c r="A25" s="492"/>
      <c r="B25" s="537" t="s">
        <v>531</v>
      </c>
      <c r="C25" s="881"/>
      <c r="D25" s="517">
        <v>100</v>
      </c>
      <c r="E25" s="516"/>
      <c r="F25" s="517">
        <f>SUMIF(87:87,E26,88:88)-SUMIF(87:87,C26,88:88)+100</f>
        <v>100</v>
      </c>
      <c r="G25" s="881"/>
      <c r="H25" s="517">
        <f>SUMIF(87:87,G26,88:88)-SUMIF(87:87,C26,88:88)+100</f>
        <v>100</v>
      </c>
      <c r="I25" s="516"/>
      <c r="J25" s="517">
        <f>SUMIF(87:87,I26,88:88)-SUMIF(87:87,C26,88:88)+100</f>
        <v>100</v>
      </c>
      <c r="K25" s="867"/>
      <c r="L25" s="1994"/>
      <c r="M25" s="1986"/>
      <c r="N25" s="1986"/>
      <c r="O25" s="1986"/>
      <c r="P25" s="3635"/>
      <c r="Q25" s="1479" t="str">
        <f>B25</f>
        <v>毗邻道路的类型与等级</v>
      </c>
      <c r="R25" s="1480" t="s">
        <v>8</v>
      </c>
      <c r="S25" s="1481">
        <f>F25</f>
        <v>100</v>
      </c>
      <c r="T25" s="1480" t="s">
        <v>8</v>
      </c>
      <c r="U25" s="1481">
        <f>H25</f>
        <v>100</v>
      </c>
      <c r="V25" s="1480" t="s">
        <v>8</v>
      </c>
      <c r="W25" s="1481">
        <f>J25</f>
        <v>100</v>
      </c>
      <c r="X25" s="1474"/>
      <c r="Y25" s="3635"/>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8"/>
      <c r="L26" s="1994"/>
      <c r="M26" s="1986"/>
      <c r="N26" s="1986"/>
      <c r="O26" s="1986"/>
      <c r="P26" s="3635"/>
      <c r="Q26" s="1479"/>
      <c r="R26" s="1480"/>
      <c r="S26" s="1481"/>
      <c r="T26" s="1480"/>
      <c r="U26" s="1481"/>
      <c r="V26" s="1480"/>
      <c r="W26" s="1481"/>
      <c r="X26" s="1474"/>
      <c r="Y26" s="3635"/>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4"/>
      <c r="M27" s="1986"/>
      <c r="N27" s="1986"/>
      <c r="O27" s="1986"/>
      <c r="P27" s="3635"/>
      <c r="Q27" s="1479" t="str">
        <f t="shared" ref="Q27:Q47" si="11">B27</f>
        <v>楼层</v>
      </c>
      <c r="R27" s="1480" t="s">
        <v>8</v>
      </c>
      <c r="S27" s="1481">
        <f>F27</f>
        <v>100</v>
      </c>
      <c r="T27" s="1480" t="s">
        <v>8</v>
      </c>
      <c r="U27" s="1481">
        <f>H27</f>
        <v>100</v>
      </c>
      <c r="V27" s="1480" t="s">
        <v>8</v>
      </c>
      <c r="W27" s="1481">
        <f>J27</f>
        <v>100</v>
      </c>
      <c r="X27" s="1474"/>
      <c r="Y27" s="3635"/>
      <c r="Z27" s="1482" t="str">
        <f>Q27</f>
        <v>楼层</v>
      </c>
      <c r="AA27" s="1483">
        <f t="shared" si="3"/>
        <v>1</v>
      </c>
      <c r="AB27" s="1483">
        <f t="shared" si="4"/>
        <v>1</v>
      </c>
      <c r="AC27" s="1483">
        <f t="shared" si="5"/>
        <v>1</v>
      </c>
    </row>
    <row r="28" spans="1:29" s="1183" customFormat="1" ht="15">
      <c r="A28" s="513"/>
      <c r="B28" s="537" t="s">
        <v>762</v>
      </c>
      <c r="C28" s="882"/>
      <c r="D28" s="847">
        <v>100</v>
      </c>
      <c r="E28" s="870"/>
      <c r="F28" s="847">
        <f>SUMIF(91:91,E28,92:92)-SUMIF(91:91,C28,92:92)+100</f>
        <v>100</v>
      </c>
      <c r="G28" s="882"/>
      <c r="H28" s="847">
        <f>SUMIF(91:91,G28,92:92)-SUMIF(91:91,C28,92:92)+100</f>
        <v>100</v>
      </c>
      <c r="I28" s="870"/>
      <c r="J28" s="847">
        <f>SUMIF(91:91,I28,92:92)-SUMIF(91:91,C28,92:92)+100</f>
        <v>100</v>
      </c>
      <c r="K28" s="561"/>
      <c r="L28" s="1987"/>
      <c r="M28" s="1988"/>
      <c r="N28" s="1988"/>
      <c r="O28" s="1988"/>
      <c r="P28" s="3635"/>
      <c r="Q28" s="1114" t="str">
        <f t="shared" si="11"/>
        <v>朝向</v>
      </c>
      <c r="R28" s="1475" t="s">
        <v>8</v>
      </c>
      <c r="S28" s="1476">
        <f>F28</f>
        <v>100</v>
      </c>
      <c r="T28" s="1475" t="s">
        <v>8</v>
      </c>
      <c r="U28" s="1476">
        <f>H28</f>
        <v>100</v>
      </c>
      <c r="V28" s="1475" t="s">
        <v>8</v>
      </c>
      <c r="W28" s="1476">
        <f>J28</f>
        <v>100</v>
      </c>
      <c r="X28" s="1477"/>
      <c r="Y28" s="3635"/>
      <c r="Z28" s="1113" t="str">
        <f>Q28</f>
        <v>朝向</v>
      </c>
      <c r="AA28" s="1483">
        <f>D28/F28</f>
        <v>1</v>
      </c>
      <c r="AB28" s="1483">
        <f>D28/H28</f>
        <v>1</v>
      </c>
      <c r="AC28" s="1483">
        <f>D28/J28</f>
        <v>1</v>
      </c>
    </row>
    <row r="29" spans="1:29" ht="15">
      <c r="A29" s="509"/>
      <c r="B29" s="562">
        <v>111</v>
      </c>
      <c r="C29" s="881"/>
      <c r="D29" s="517">
        <v>100</v>
      </c>
      <c r="E29" s="505"/>
      <c r="F29" s="517">
        <f>SUMIF(93:93,E29,94:94)-SUMIF(93:93,C29,94:94)+100</f>
        <v>100</v>
      </c>
      <c r="G29" s="879"/>
      <c r="H29" s="517">
        <f>SUMIF(93:93,G29,94:94)-SUMIF(93:93,C29,94:94)+100</f>
        <v>100</v>
      </c>
      <c r="I29" s="505"/>
      <c r="J29" s="517">
        <f>SUMIF(93:93,I29,94:94)-SUMIF(93:93,C29,94:94)+100</f>
        <v>100</v>
      </c>
      <c r="K29" s="558"/>
      <c r="L29" s="1994"/>
      <c r="M29" s="1986"/>
      <c r="N29" s="1986"/>
      <c r="O29" s="1986"/>
      <c r="P29" s="3635"/>
      <c r="Q29" s="1479">
        <f t="shared" si="11"/>
        <v>111</v>
      </c>
      <c r="R29" s="1480" t="s">
        <v>8</v>
      </c>
      <c r="S29" s="1481">
        <f t="shared" ref="S29:S47" si="12">F29</f>
        <v>100</v>
      </c>
      <c r="T29" s="1480" t="s">
        <v>8</v>
      </c>
      <c r="U29" s="1481">
        <f t="shared" ref="U29:U47" si="13">H29</f>
        <v>100</v>
      </c>
      <c r="V29" s="1480" t="s">
        <v>8</v>
      </c>
      <c r="W29" s="1481">
        <f t="shared" ref="W29:W47" si="14">J29</f>
        <v>100</v>
      </c>
      <c r="X29" s="1474"/>
      <c r="Y29" s="3635"/>
      <c r="Z29" s="1482">
        <f t="shared" ref="Z29:Z47" si="15">Q29</f>
        <v>111</v>
      </c>
      <c r="AA29" s="1483">
        <f t="shared" si="3"/>
        <v>1</v>
      </c>
      <c r="AB29" s="1483">
        <f t="shared" si="4"/>
        <v>1</v>
      </c>
      <c r="AC29" s="1483">
        <f t="shared" si="5"/>
        <v>1</v>
      </c>
    </row>
    <row r="30" spans="1:29" ht="15">
      <c r="A30" s="509"/>
      <c r="B30" s="562">
        <v>111</v>
      </c>
      <c r="C30" s="881"/>
      <c r="D30" s="517">
        <v>100</v>
      </c>
      <c r="E30" s="505"/>
      <c r="F30" s="517">
        <f>SUMIF(95:95,E30,96:96)-SUMIF(95:95,C30,96:96)+100</f>
        <v>100</v>
      </c>
      <c r="G30" s="879"/>
      <c r="H30" s="517">
        <f>SUMIF(95:95,G30,96:96)-SUMIF(95:95,C30,96:96)+100</f>
        <v>100</v>
      </c>
      <c r="I30" s="505"/>
      <c r="J30" s="517">
        <f>SUMIF(95:95,I30,96:96)-SUMIF(95:95,C30,96:96)+100</f>
        <v>100</v>
      </c>
      <c r="K30" s="558"/>
      <c r="L30" s="1994"/>
      <c r="M30" s="1986"/>
      <c r="N30" s="1986"/>
      <c r="O30" s="1986"/>
      <c r="P30" s="3635"/>
      <c r="Q30" s="1479">
        <f t="shared" si="11"/>
        <v>111</v>
      </c>
      <c r="R30" s="1480" t="s">
        <v>8</v>
      </c>
      <c r="S30" s="1481">
        <f t="shared" si="12"/>
        <v>100</v>
      </c>
      <c r="T30" s="1480" t="s">
        <v>8</v>
      </c>
      <c r="U30" s="1481">
        <f t="shared" si="13"/>
        <v>100</v>
      </c>
      <c r="V30" s="1480" t="s">
        <v>8</v>
      </c>
      <c r="W30" s="1481">
        <f t="shared" si="14"/>
        <v>100</v>
      </c>
      <c r="X30" s="1474"/>
      <c r="Y30" s="3635"/>
      <c r="Z30" s="1482">
        <f t="shared" si="15"/>
        <v>111</v>
      </c>
      <c r="AA30" s="1483">
        <f t="shared" si="3"/>
        <v>1</v>
      </c>
      <c r="AB30" s="1483">
        <f t="shared" si="4"/>
        <v>1</v>
      </c>
      <c r="AC30" s="1483">
        <f t="shared" si="5"/>
        <v>1</v>
      </c>
    </row>
    <row r="31" spans="1:29" ht="15">
      <c r="A31" s="509"/>
      <c r="B31" s="562">
        <v>111</v>
      </c>
      <c r="C31" s="881"/>
      <c r="D31" s="517">
        <v>100</v>
      </c>
      <c r="E31" s="505"/>
      <c r="F31" s="517">
        <f>SUMIF(97:97,E31,98:98)-SUMIF(97:97,C31,98:98)+100</f>
        <v>100</v>
      </c>
      <c r="G31" s="879"/>
      <c r="H31" s="517">
        <f>SUMIF(97:97,G31,98:98)-SUMIF(97:97,C31,98:98)+100</f>
        <v>100</v>
      </c>
      <c r="I31" s="505"/>
      <c r="J31" s="517">
        <f>SUMIF(97:97,I31,98:98)-SUMIF(97:97,C31,98:98)+100</f>
        <v>100</v>
      </c>
      <c r="K31" s="558"/>
      <c r="L31" s="1994"/>
      <c r="M31" s="1986"/>
      <c r="N31" s="1986"/>
      <c r="O31" s="1986"/>
      <c r="P31" s="3635"/>
      <c r="Q31" s="1479">
        <f t="shared" si="11"/>
        <v>111</v>
      </c>
      <c r="R31" s="1480" t="s">
        <v>8</v>
      </c>
      <c r="S31" s="1481">
        <f t="shared" si="12"/>
        <v>100</v>
      </c>
      <c r="T31" s="1480" t="s">
        <v>8</v>
      </c>
      <c r="U31" s="1481">
        <f t="shared" si="13"/>
        <v>100</v>
      </c>
      <c r="V31" s="1480" t="s">
        <v>8</v>
      </c>
      <c r="W31" s="1481">
        <f t="shared" si="14"/>
        <v>100</v>
      </c>
      <c r="X31" s="1474"/>
      <c r="Y31" s="3635"/>
      <c r="Z31" s="1482">
        <f t="shared" si="15"/>
        <v>111</v>
      </c>
      <c r="AA31" s="1483">
        <f t="shared" si="3"/>
        <v>1</v>
      </c>
      <c r="AB31" s="1483">
        <f t="shared" si="4"/>
        <v>1</v>
      </c>
      <c r="AC31" s="1483">
        <f t="shared" si="5"/>
        <v>1</v>
      </c>
    </row>
    <row r="32" spans="1:29" ht="15.75" thickBot="1">
      <c r="A32" s="520"/>
      <c r="B32" s="883">
        <v>111</v>
      </c>
      <c r="C32" s="884"/>
      <c r="D32" s="523">
        <v>100</v>
      </c>
      <c r="E32" s="880"/>
      <c r="F32" s="523">
        <f>SUMIF(99:99,E32,100:100)-SUMIF(99:99,C32,100:100)+100</f>
        <v>100</v>
      </c>
      <c r="G32" s="879"/>
      <c r="H32" s="523">
        <f>SUMIF(99:99,G32,100:100)-SUMIF(99:99,C32,100:100)+100</f>
        <v>100</v>
      </c>
      <c r="I32" s="505"/>
      <c r="J32" s="523">
        <f>SUMIF(99:99,I32,100:100)-SUMIF(99:99,C32,100:100)+100</f>
        <v>100</v>
      </c>
      <c r="K32" s="558"/>
      <c r="L32" s="1994"/>
      <c r="M32" s="1986"/>
      <c r="N32" s="1986"/>
      <c r="O32" s="1986"/>
      <c r="P32" s="3635"/>
      <c r="Q32" s="1479">
        <f t="shared" si="11"/>
        <v>111</v>
      </c>
      <c r="R32" s="1480" t="s">
        <v>8</v>
      </c>
      <c r="S32" s="1481">
        <f t="shared" si="12"/>
        <v>100</v>
      </c>
      <c r="T32" s="1480" t="s">
        <v>8</v>
      </c>
      <c r="U32" s="1481">
        <f t="shared" si="13"/>
        <v>100</v>
      </c>
      <c r="V32" s="1480" t="s">
        <v>8</v>
      </c>
      <c r="W32" s="1481">
        <f t="shared" si="14"/>
        <v>100</v>
      </c>
      <c r="X32" s="1474"/>
      <c r="Y32" s="3635"/>
      <c r="Z32" s="1482">
        <f t="shared" si="15"/>
        <v>111</v>
      </c>
      <c r="AA32" s="1483">
        <f t="shared" si="3"/>
        <v>1</v>
      </c>
      <c r="AB32" s="1483">
        <f t="shared" si="4"/>
        <v>1</v>
      </c>
      <c r="AC32" s="1483">
        <f t="shared" si="5"/>
        <v>1</v>
      </c>
    </row>
    <row r="33" spans="1:29" ht="15">
      <c r="A33" s="2562" t="s">
        <v>2654</v>
      </c>
      <c r="B33" s="170" t="s">
        <v>763</v>
      </c>
      <c r="C33" s="885"/>
      <c r="D33" s="574">
        <v>100</v>
      </c>
      <c r="E33" s="885"/>
      <c r="F33" s="552">
        <f>SUMIF(101:101,E33,102:102)-SUMIF(101:101,C33,102:102)+100</f>
        <v>100</v>
      </c>
      <c r="G33" s="885"/>
      <c r="H33" s="517">
        <f>SUMIF(101:101,G33,102:102)-SUMIF(101:101,C33,102:102)+100</f>
        <v>100</v>
      </c>
      <c r="I33" s="885"/>
      <c r="J33" s="574">
        <f>SUMIF(101:101,I33,102:102)-SUMIF(101:101,C33,102:102)+100</f>
        <v>100</v>
      </c>
      <c r="K33" s="561"/>
      <c r="L33" s="1994"/>
      <c r="M33" s="1986"/>
      <c r="N33" s="1986"/>
      <c r="O33" s="1986"/>
      <c r="P33" s="3636" t="s">
        <v>533</v>
      </c>
      <c r="Q33" s="1479" t="str">
        <f t="shared" si="11"/>
        <v>建筑类型</v>
      </c>
      <c r="R33" s="1480" t="s">
        <v>8</v>
      </c>
      <c r="S33" s="1481">
        <f t="shared" si="12"/>
        <v>100</v>
      </c>
      <c r="T33" s="1480" t="s">
        <v>8</v>
      </c>
      <c r="U33" s="1481">
        <f t="shared" si="13"/>
        <v>100</v>
      </c>
      <c r="V33" s="1480" t="s">
        <v>8</v>
      </c>
      <c r="W33" s="1481">
        <f t="shared" si="14"/>
        <v>100</v>
      </c>
      <c r="X33" s="1474"/>
      <c r="Y33" s="3637" t="s">
        <v>533</v>
      </c>
      <c r="Z33" s="1482" t="str">
        <f t="shared" si="15"/>
        <v>建筑类型</v>
      </c>
      <c r="AA33" s="1483">
        <f t="shared" si="3"/>
        <v>1</v>
      </c>
      <c r="AB33" s="1483">
        <f t="shared" si="4"/>
        <v>1</v>
      </c>
      <c r="AC33" s="1483">
        <f t="shared" si="5"/>
        <v>1</v>
      </c>
    </row>
    <row r="34" spans="1:29" s="1265"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2"/>
      <c r="M34" s="2022"/>
      <c r="N34" s="2022"/>
      <c r="O34" s="2022"/>
      <c r="P34" s="3637"/>
      <c r="Q34" s="1508" t="str">
        <f t="shared" si="11"/>
        <v>项目建筑规模</v>
      </c>
      <c r="R34" s="1484" t="s">
        <v>8</v>
      </c>
      <c r="S34" s="1485" t="e">
        <f t="shared" si="12"/>
        <v>#N/A</v>
      </c>
      <c r="T34" s="1484" t="s">
        <v>8</v>
      </c>
      <c r="U34" s="1485" t="e">
        <f t="shared" si="13"/>
        <v>#N/A</v>
      </c>
      <c r="V34" s="1484" t="s">
        <v>8</v>
      </c>
      <c r="W34" s="1485" t="e">
        <f t="shared" si="14"/>
        <v>#N/A</v>
      </c>
      <c r="X34" s="1486"/>
      <c r="Y34" s="3637"/>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4"/>
      <c r="M35" s="1986"/>
      <c r="N35" s="1986"/>
      <c r="O35" s="1986"/>
      <c r="P35" s="3637"/>
      <c r="Q35" s="1479" t="str">
        <f t="shared" si="11"/>
        <v>建筑结构</v>
      </c>
      <c r="R35" s="1480" t="s">
        <v>8</v>
      </c>
      <c r="S35" s="1481">
        <f t="shared" si="12"/>
        <v>100</v>
      </c>
      <c r="T35" s="1480" t="s">
        <v>8</v>
      </c>
      <c r="U35" s="1481">
        <f t="shared" si="13"/>
        <v>100</v>
      </c>
      <c r="V35" s="1480" t="s">
        <v>8</v>
      </c>
      <c r="W35" s="1481">
        <f t="shared" si="14"/>
        <v>100</v>
      </c>
      <c r="X35" s="1474"/>
      <c r="Y35" s="3637"/>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4"/>
      <c r="M36" s="1986"/>
      <c r="N36" s="1986"/>
      <c r="O36" s="1986"/>
      <c r="P36" s="3637"/>
      <c r="Q36" s="1479" t="str">
        <f t="shared" si="11"/>
        <v>公共部分装修</v>
      </c>
      <c r="R36" s="1480" t="s">
        <v>8</v>
      </c>
      <c r="S36" s="1481">
        <f t="shared" si="12"/>
        <v>100</v>
      </c>
      <c r="T36" s="1480" t="s">
        <v>8</v>
      </c>
      <c r="U36" s="1481">
        <f t="shared" si="13"/>
        <v>100</v>
      </c>
      <c r="V36" s="1480" t="s">
        <v>8</v>
      </c>
      <c r="W36" s="1481">
        <f t="shared" si="14"/>
        <v>100</v>
      </c>
      <c r="X36" s="1474"/>
      <c r="Y36" s="3637"/>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4"/>
      <c r="M37" s="1986"/>
      <c r="N37" s="1986"/>
      <c r="O37" s="1986"/>
      <c r="P37" s="3637"/>
      <c r="Q37" s="1479" t="str">
        <f t="shared" si="11"/>
        <v>成新度</v>
      </c>
      <c r="R37" s="1480" t="s">
        <v>8</v>
      </c>
      <c r="S37" s="1481" t="e">
        <f t="shared" si="12"/>
        <v>#N/A</v>
      </c>
      <c r="T37" s="1480" t="s">
        <v>8</v>
      </c>
      <c r="U37" s="1481" t="e">
        <f t="shared" si="13"/>
        <v>#N/A</v>
      </c>
      <c r="V37" s="1480" t="s">
        <v>8</v>
      </c>
      <c r="W37" s="1481" t="e">
        <f t="shared" si="14"/>
        <v>#N/A</v>
      </c>
      <c r="X37" s="1474"/>
      <c r="Y37" s="3637"/>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7"/>
      <c r="M38" s="1988"/>
      <c r="N38" s="1988"/>
      <c r="O38" s="1988"/>
      <c r="P38" s="3637"/>
      <c r="Q38" s="1114" t="str">
        <f t="shared" si="11"/>
        <v>写字楼等级</v>
      </c>
      <c r="R38" s="1475" t="s">
        <v>8</v>
      </c>
      <c r="S38" s="1476">
        <f t="shared" si="12"/>
        <v>100</v>
      </c>
      <c r="T38" s="1475" t="s">
        <v>8</v>
      </c>
      <c r="U38" s="1476">
        <f t="shared" si="13"/>
        <v>100</v>
      </c>
      <c r="V38" s="1475" t="s">
        <v>8</v>
      </c>
      <c r="W38" s="1476">
        <f t="shared" si="14"/>
        <v>100</v>
      </c>
      <c r="X38" s="1477"/>
      <c r="Y38" s="3637"/>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4"/>
      <c r="M39" s="1986"/>
      <c r="N39" s="1986"/>
      <c r="O39" s="1986"/>
      <c r="P39" s="3637" t="s">
        <v>533</v>
      </c>
      <c r="Q39" s="1479" t="str">
        <f t="shared" si="11"/>
        <v>物业管理</v>
      </c>
      <c r="R39" s="1480" t="s">
        <v>8</v>
      </c>
      <c r="S39" s="1481">
        <f t="shared" si="12"/>
        <v>100</v>
      </c>
      <c r="T39" s="1480" t="s">
        <v>8</v>
      </c>
      <c r="U39" s="1481">
        <f t="shared" si="13"/>
        <v>100</v>
      </c>
      <c r="V39" s="1480" t="s">
        <v>8</v>
      </c>
      <c r="W39" s="1481">
        <f t="shared" si="14"/>
        <v>100</v>
      </c>
      <c r="X39" s="1474"/>
      <c r="Y39" s="3637" t="s">
        <v>533</v>
      </c>
      <c r="Z39" s="1482" t="str">
        <f t="shared" si="15"/>
        <v>物业管理</v>
      </c>
      <c r="AA39" s="1483">
        <f t="shared" si="3"/>
        <v>1</v>
      </c>
      <c r="AB39" s="1483">
        <f t="shared" si="4"/>
        <v>1</v>
      </c>
      <c r="AC39" s="1483">
        <f t="shared" si="5"/>
        <v>1</v>
      </c>
    </row>
    <row r="40" spans="1:29" ht="15">
      <c r="A40" s="571"/>
      <c r="B40" s="1780"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4"/>
      <c r="M40" s="1986"/>
      <c r="N40" s="1986"/>
      <c r="O40" s="1986"/>
      <c r="P40" s="3637"/>
      <c r="Q40" s="1479" t="str">
        <f t="shared" si="11"/>
        <v>市政基础设施</v>
      </c>
      <c r="R40" s="1480" t="s">
        <v>8</v>
      </c>
      <c r="S40" s="1481">
        <f t="shared" si="12"/>
        <v>100</v>
      </c>
      <c r="T40" s="1480" t="s">
        <v>8</v>
      </c>
      <c r="U40" s="1481">
        <f t="shared" si="13"/>
        <v>100</v>
      </c>
      <c r="V40" s="1480" t="s">
        <v>8</v>
      </c>
      <c r="W40" s="1481">
        <f t="shared" si="14"/>
        <v>100</v>
      </c>
      <c r="X40" s="1474"/>
      <c r="Y40" s="3637"/>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4"/>
      <c r="M41" s="1986"/>
      <c r="N41" s="1986"/>
      <c r="O41" s="1986"/>
      <c r="P41" s="3637"/>
      <c r="Q41" s="1479" t="str">
        <f t="shared" si="11"/>
        <v>层高</v>
      </c>
      <c r="R41" s="1480" t="s">
        <v>8</v>
      </c>
      <c r="S41" s="1481">
        <f t="shared" si="12"/>
        <v>100</v>
      </c>
      <c r="T41" s="1480" t="s">
        <v>8</v>
      </c>
      <c r="U41" s="1481">
        <f t="shared" si="13"/>
        <v>100</v>
      </c>
      <c r="V41" s="1480" t="s">
        <v>8</v>
      </c>
      <c r="W41" s="1481">
        <f t="shared" si="14"/>
        <v>100</v>
      </c>
      <c r="X41" s="1474"/>
      <c r="Y41" s="3637"/>
      <c r="Z41" s="1482" t="str">
        <f t="shared" si="15"/>
        <v>层高</v>
      </c>
      <c r="AA41" s="1483">
        <f t="shared" si="3"/>
        <v>1</v>
      </c>
      <c r="AB41" s="1483">
        <f t="shared" si="4"/>
        <v>1</v>
      </c>
      <c r="AC41" s="1483">
        <f t="shared" si="5"/>
        <v>1</v>
      </c>
    </row>
    <row r="42" spans="1:29" s="1265" customFormat="1" ht="15">
      <c r="A42" s="580"/>
      <c r="B42" s="873"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2"/>
      <c r="M42" s="2022"/>
      <c r="N42" s="2022"/>
      <c r="O42" s="2022"/>
      <c r="P42" s="3637"/>
      <c r="Q42" s="1508" t="str">
        <f t="shared" si="11"/>
        <v>单套建筑面积</v>
      </c>
      <c r="R42" s="1484" t="s">
        <v>8</v>
      </c>
      <c r="S42" s="1485">
        <f t="shared" si="12"/>
        <v>100</v>
      </c>
      <c r="T42" s="1484" t="s">
        <v>8</v>
      </c>
      <c r="U42" s="1485">
        <f t="shared" si="13"/>
        <v>100</v>
      </c>
      <c r="V42" s="1484" t="s">
        <v>8</v>
      </c>
      <c r="W42" s="1485">
        <f t="shared" si="14"/>
        <v>100</v>
      </c>
      <c r="X42" s="1486"/>
      <c r="Y42" s="3637"/>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4"/>
      <c r="M43" s="1986"/>
      <c r="N43" s="1986"/>
      <c r="O43" s="1986"/>
      <c r="P43" s="3637"/>
      <c r="Q43" s="1479" t="str">
        <f t="shared" si="11"/>
        <v>内部装修</v>
      </c>
      <c r="R43" s="1480" t="s">
        <v>8</v>
      </c>
      <c r="S43" s="1481">
        <f t="shared" si="12"/>
        <v>100</v>
      </c>
      <c r="T43" s="1480" t="s">
        <v>8</v>
      </c>
      <c r="U43" s="1481">
        <f t="shared" si="13"/>
        <v>100</v>
      </c>
      <c r="V43" s="1480" t="s">
        <v>8</v>
      </c>
      <c r="W43" s="1481">
        <f t="shared" si="14"/>
        <v>100</v>
      </c>
      <c r="X43" s="1474"/>
      <c r="Y43" s="3637"/>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4"/>
      <c r="M44" s="1986"/>
      <c r="N44" s="1986"/>
      <c r="O44" s="1986"/>
      <c r="P44" s="3637"/>
      <c r="Q44" s="1479" t="str">
        <f t="shared" si="11"/>
        <v>内部装修维护情况</v>
      </c>
      <c r="R44" s="1480" t="s">
        <v>8</v>
      </c>
      <c r="S44" s="1481">
        <f t="shared" si="12"/>
        <v>100</v>
      </c>
      <c r="T44" s="1480" t="s">
        <v>8</v>
      </c>
      <c r="U44" s="1481">
        <f t="shared" si="13"/>
        <v>100</v>
      </c>
      <c r="V44" s="1480" t="s">
        <v>8</v>
      </c>
      <c r="W44" s="1481">
        <f t="shared" si="14"/>
        <v>100</v>
      </c>
      <c r="X44" s="1474"/>
      <c r="Y44" s="3637"/>
      <c r="Z44" s="1482" t="str">
        <f t="shared" si="15"/>
        <v>内部装修维护情况</v>
      </c>
      <c r="AA44" s="1483">
        <f t="shared" si="3"/>
        <v>1</v>
      </c>
      <c r="AB44" s="1483">
        <f t="shared" si="4"/>
        <v>1</v>
      </c>
      <c r="AC44" s="1483">
        <f t="shared" si="5"/>
        <v>1</v>
      </c>
    </row>
    <row r="45" spans="1:29" s="1183"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7"/>
      <c r="M45" s="1988"/>
      <c r="N45" s="1988"/>
      <c r="O45" s="1988"/>
      <c r="P45" s="3637"/>
      <c r="Q45" s="1114">
        <f t="shared" si="11"/>
        <v>111</v>
      </c>
      <c r="R45" s="1475" t="s">
        <v>8</v>
      </c>
      <c r="S45" s="1476">
        <f t="shared" si="12"/>
        <v>100</v>
      </c>
      <c r="T45" s="1475" t="s">
        <v>8</v>
      </c>
      <c r="U45" s="1476">
        <f t="shared" si="13"/>
        <v>100</v>
      </c>
      <c r="V45" s="1475" t="s">
        <v>8</v>
      </c>
      <c r="W45" s="1476">
        <f t="shared" si="14"/>
        <v>100</v>
      </c>
      <c r="X45" s="1477"/>
      <c r="Y45" s="3637"/>
      <c r="Z45" s="1113">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4"/>
      <c r="M46" s="1986"/>
      <c r="N46" s="1986"/>
      <c r="O46" s="1986"/>
      <c r="P46" s="3637"/>
      <c r="Q46" s="1479">
        <f t="shared" si="11"/>
        <v>111</v>
      </c>
      <c r="R46" s="1480" t="s">
        <v>8</v>
      </c>
      <c r="S46" s="1481">
        <f t="shared" si="12"/>
        <v>100</v>
      </c>
      <c r="T46" s="1480" t="s">
        <v>8</v>
      </c>
      <c r="U46" s="1481">
        <f t="shared" si="13"/>
        <v>100</v>
      </c>
      <c r="V46" s="1480" t="s">
        <v>8</v>
      </c>
      <c r="W46" s="1481">
        <f t="shared" si="14"/>
        <v>100</v>
      </c>
      <c r="X46" s="1474"/>
      <c r="Y46" s="3637"/>
      <c r="Z46" s="1482">
        <f t="shared" si="15"/>
        <v>111</v>
      </c>
      <c r="AA46" s="1483">
        <f t="shared" si="3"/>
        <v>1</v>
      </c>
      <c r="AB46" s="1483">
        <f t="shared" si="4"/>
        <v>1</v>
      </c>
      <c r="AC46" s="1483">
        <f t="shared" si="5"/>
        <v>1</v>
      </c>
    </row>
    <row r="47" spans="1:29" ht="15.75" thickBot="1">
      <c r="A47" s="855"/>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4"/>
      <c r="M47" s="1986"/>
      <c r="N47" s="1986"/>
      <c r="O47" s="1986"/>
      <c r="P47" s="3719"/>
      <c r="Q47" s="1479">
        <f t="shared" si="11"/>
        <v>111</v>
      </c>
      <c r="R47" s="1480" t="s">
        <v>8</v>
      </c>
      <c r="S47" s="1481">
        <f t="shared" si="12"/>
        <v>100</v>
      </c>
      <c r="T47" s="1480" t="s">
        <v>8</v>
      </c>
      <c r="U47" s="1481">
        <f t="shared" si="13"/>
        <v>100</v>
      </c>
      <c r="V47" s="1480" t="s">
        <v>8</v>
      </c>
      <c r="W47" s="1481">
        <f t="shared" si="14"/>
        <v>100</v>
      </c>
      <c r="X47" s="1474"/>
      <c r="Y47" s="3719"/>
      <c r="Z47" s="1482">
        <f t="shared" si="15"/>
        <v>111</v>
      </c>
      <c r="AA47" s="1483">
        <f t="shared" si="3"/>
        <v>1</v>
      </c>
      <c r="AB47" s="1483">
        <f t="shared" si="4"/>
        <v>1</v>
      </c>
      <c r="AC47" s="1483">
        <f t="shared" si="5"/>
        <v>1</v>
      </c>
    </row>
    <row r="48" spans="1:29" ht="15">
      <c r="A48" s="584" t="s">
        <v>719</v>
      </c>
      <c r="B48" s="856"/>
      <c r="C48" s="2408" t="s">
        <v>1</v>
      </c>
      <c r="D48" s="2409"/>
      <c r="E48" s="2410"/>
      <c r="F48" s="2411"/>
      <c r="G48" s="2412"/>
      <c r="H48" s="2413"/>
      <c r="I48" s="2410"/>
      <c r="J48" s="2413"/>
      <c r="K48" s="1513"/>
      <c r="L48" s="1996"/>
      <c r="M48" s="1986"/>
      <c r="N48" s="1986"/>
      <c r="O48" s="1986"/>
      <c r="P48" s="3654" t="str">
        <f>A48</f>
        <v>成交单价（元/平方米）</v>
      </c>
      <c r="Q48" s="3632"/>
      <c r="R48" s="3718">
        <f>E48</f>
        <v>0</v>
      </c>
      <c r="S48" s="3718"/>
      <c r="T48" s="3718">
        <f>G48</f>
        <v>0</v>
      </c>
      <c r="U48" s="3718"/>
      <c r="V48" s="3718">
        <f>I48</f>
        <v>0</v>
      </c>
      <c r="W48" s="3718"/>
      <c r="X48" s="1469"/>
      <c r="Y48" s="1488"/>
      <c r="Z48" s="1469"/>
      <c r="AA48" s="1469"/>
      <c r="AB48" s="1469"/>
      <c r="AC48" s="1469"/>
    </row>
    <row r="49" spans="1:29" ht="15.75" thickBot="1">
      <c r="A49" s="592" t="s">
        <v>2659</v>
      </c>
      <c r="B49" s="857"/>
      <c r="C49" s="2414" t="e">
        <f>R50</f>
        <v>#DIV/0!</v>
      </c>
      <c r="D49" s="2948" t="s">
        <v>2881</v>
      </c>
      <c r="E49" s="2415" t="e">
        <f>R49</f>
        <v>#DIV/0!</v>
      </c>
      <c r="F49" s="2949"/>
      <c r="G49" s="2414" t="e">
        <f>T49</f>
        <v>#DIV/0!</v>
      </c>
      <c r="H49" s="2949"/>
      <c r="I49" s="2415" t="e">
        <f>V49</f>
        <v>#DIV/0!</v>
      </c>
      <c r="J49" s="2949"/>
      <c r="K49" s="2957">
        <f>F49+H49+J49</f>
        <v>0</v>
      </c>
      <c r="L49" s="1996"/>
      <c r="M49" s="1986"/>
      <c r="N49" s="1986"/>
      <c r="O49" s="1986"/>
      <c r="P49" s="3654" t="str">
        <f>A49</f>
        <v>比较价格（元/平方米）</v>
      </c>
      <c r="Q49" s="3632"/>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1469"/>
      <c r="Y49" s="1469"/>
      <c r="Z49" s="1469"/>
      <c r="AA49" s="1469"/>
      <c r="AB49" s="1469"/>
      <c r="AC49" s="1469"/>
    </row>
    <row r="50" spans="1:29" ht="15.75" thickBot="1">
      <c r="A50" s="596" t="s">
        <v>2814</v>
      </c>
      <c r="B50" s="597"/>
      <c r="C50" s="2416" t="e">
        <f>R50</f>
        <v>#DIV/0!</v>
      </c>
      <c r="D50" s="2416"/>
      <c r="E50" s="2416"/>
      <c r="F50" s="2416"/>
      <c r="G50" s="2416"/>
      <c r="H50" s="2416"/>
      <c r="I50" s="2416"/>
      <c r="J50" s="2416"/>
      <c r="K50" s="1514"/>
      <c r="L50" s="1996"/>
      <c r="M50" s="1986"/>
      <c r="N50" s="1986"/>
      <c r="O50" s="1986"/>
      <c r="P50" s="3744" t="str">
        <f>A50</f>
        <v>估价对象XX用房的比较价格（楼面单价，元/平方米）</v>
      </c>
      <c r="Q50" s="3654"/>
      <c r="R50" s="3717" t="e">
        <f>IF(F1="售价",ROUND(IF(D49="简单平均",AVERAGE(R49:V49),R49*F49+T49*H49+V49*J49),0),ROUND(IF(D49="简单平均",AVERAGE(R49:V49),R49*F49+T49*H49+V49*J49),1))</f>
        <v>#DIV/0!</v>
      </c>
      <c r="S50" s="3717"/>
      <c r="T50" s="3717"/>
      <c r="U50" s="3717"/>
      <c r="V50" s="3717"/>
      <c r="W50" s="3717"/>
      <c r="X50" s="1469"/>
      <c r="Y50" s="1469"/>
      <c r="Z50" s="1469"/>
      <c r="AA50" s="1469"/>
      <c r="AB50" s="1469"/>
      <c r="AC50" s="1469"/>
    </row>
    <row r="51" spans="1:29">
      <c r="A51" s="3146"/>
      <c r="B51" s="3146"/>
      <c r="C51" s="3146"/>
      <c r="D51" s="3146"/>
      <c r="E51" s="3146"/>
      <c r="F51" s="3146"/>
      <c r="G51" s="3148"/>
      <c r="H51" s="3146"/>
      <c r="I51" s="3146"/>
      <c r="J51" s="3146"/>
      <c r="K51" s="3149"/>
      <c r="L51" s="2001"/>
      <c r="M51" s="1997"/>
      <c r="N51" s="1997"/>
      <c r="O51" s="1997"/>
      <c r="P51" s="2058"/>
      <c r="Q51" s="1997"/>
      <c r="R51" s="1997"/>
      <c r="S51" s="1997"/>
      <c r="T51" s="1997"/>
      <c r="U51" s="1997"/>
      <c r="V51" s="1997"/>
      <c r="W51" s="1997"/>
      <c r="X51" s="1997"/>
      <c r="Y51" s="1997"/>
      <c r="Z51" s="1997"/>
      <c r="AA51" s="1997"/>
      <c r="AB51" s="1997"/>
      <c r="AC51" s="1997"/>
    </row>
    <row r="52" spans="1:29">
      <c r="A52" s="3146"/>
      <c r="B52" s="3146"/>
      <c r="C52" s="3146"/>
      <c r="D52" s="3146"/>
      <c r="E52" s="3146"/>
      <c r="F52" s="3146"/>
      <c r="G52" s="3146"/>
      <c r="H52" s="3146"/>
      <c r="I52" s="3146"/>
      <c r="J52" s="3146"/>
      <c r="K52" s="314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9"/>
      <c r="L54" s="2001"/>
      <c r="M54" s="1997"/>
      <c r="N54" s="1997"/>
      <c r="O54" s="1997"/>
      <c r="P54" s="2058"/>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0"/>
      <c r="L55" s="2004"/>
      <c r="M55" s="1998"/>
      <c r="N55" s="1998"/>
      <c r="O55" s="1998"/>
      <c r="P55" s="2059"/>
      <c r="Q55" s="1998"/>
      <c r="R55" s="1998"/>
      <c r="S55" s="1998"/>
      <c r="T55" s="1998"/>
      <c r="U55" s="1998"/>
      <c r="V55" s="1998"/>
      <c r="W55" s="1998"/>
      <c r="X55" s="1998"/>
      <c r="Y55" s="1998"/>
      <c r="Z55" s="1998"/>
      <c r="AA55" s="1998"/>
      <c r="AB55" s="1998"/>
      <c r="AC55" s="1998"/>
    </row>
    <row r="56" spans="1:29" s="1270"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1" t="s">
        <v>557</v>
      </c>
      <c r="B58" s="1469"/>
      <c r="C58" s="1490"/>
      <c r="D58" s="1490"/>
      <c r="E58" s="1490"/>
      <c r="F58" s="1492"/>
      <c r="G58" s="1492"/>
      <c r="H58" s="1490"/>
      <c r="I58" s="1490"/>
      <c r="J58" s="1490"/>
      <c r="K58" s="1493"/>
      <c r="L58" s="1489"/>
      <c r="M58" s="1490"/>
      <c r="N58" s="2008"/>
      <c r="O58" s="2008"/>
      <c r="P58" s="2060"/>
      <c r="Q58" s="2009"/>
      <c r="R58" s="1997"/>
      <c r="S58" s="1997"/>
      <c r="T58" s="1997"/>
      <c r="U58" s="1997"/>
      <c r="V58" s="1997"/>
      <c r="W58" s="1997"/>
      <c r="X58" s="1997"/>
      <c r="Y58" s="1997"/>
      <c r="Z58" s="1997"/>
      <c r="AA58" s="1997"/>
      <c r="AB58" s="1997"/>
      <c r="AC58" s="1997"/>
    </row>
    <row r="59" spans="1:29" s="1272" customFormat="1" ht="15">
      <c r="A59" s="620" t="s">
        <v>512</v>
      </c>
      <c r="B59" s="621"/>
      <c r="C59" s="2457" t="str">
        <f>YEAR(C7)&amp;"-"&amp;MONTH(C7)</f>
        <v>2022-3</v>
      </c>
      <c r="D59" s="2459">
        <f>EDATE(C59,-1)</f>
        <v>44593</v>
      </c>
      <c r="E59" s="2459">
        <f t="shared" ref="E59:O59" si="16">EDATE(D59,-1)</f>
        <v>44562</v>
      </c>
      <c r="F59" s="2459">
        <f t="shared" si="16"/>
        <v>44531</v>
      </c>
      <c r="G59" s="2459">
        <f t="shared" si="16"/>
        <v>44501</v>
      </c>
      <c r="H59" s="2459">
        <f t="shared" si="16"/>
        <v>44470</v>
      </c>
      <c r="I59" s="2459">
        <f t="shared" si="16"/>
        <v>44440</v>
      </c>
      <c r="J59" s="2459">
        <f t="shared" si="16"/>
        <v>44409</v>
      </c>
      <c r="K59" s="2459">
        <f t="shared" si="16"/>
        <v>44378</v>
      </c>
      <c r="L59" s="2459">
        <f t="shared" si="16"/>
        <v>44348</v>
      </c>
      <c r="M59" s="2459">
        <f t="shared" si="16"/>
        <v>44317</v>
      </c>
      <c r="N59" s="2459">
        <f t="shared" si="16"/>
        <v>44287</v>
      </c>
      <c r="O59" s="2459">
        <f t="shared" si="16"/>
        <v>44256</v>
      </c>
      <c r="P59" s="2061"/>
      <c r="Q59" s="2012"/>
      <c r="R59" s="2012"/>
      <c r="S59" s="2012"/>
      <c r="T59" s="2012"/>
      <c r="U59" s="2012"/>
      <c r="V59" s="2012"/>
      <c r="W59" s="2012"/>
      <c r="X59" s="2012"/>
      <c r="Y59" s="2012"/>
      <c r="Z59" s="2012"/>
      <c r="AA59" s="2012"/>
      <c r="AB59" s="2012"/>
      <c r="AC59" s="2012"/>
    </row>
    <row r="60" spans="1:29" s="1183" customFormat="1" ht="15">
      <c r="A60" s="622"/>
      <c r="B60" s="623"/>
      <c r="C60" s="624">
        <v>100</v>
      </c>
      <c r="D60" s="625"/>
      <c r="E60" s="625"/>
      <c r="F60" s="625"/>
      <c r="G60" s="625"/>
      <c r="H60" s="625"/>
      <c r="I60" s="625"/>
      <c r="J60" s="625"/>
      <c r="K60" s="625"/>
      <c r="L60" s="625"/>
      <c r="M60" s="626"/>
      <c r="N60" s="625"/>
      <c r="O60" s="626"/>
      <c r="P60" s="2062"/>
      <c r="Q60" s="1875"/>
      <c r="R60" s="1875"/>
      <c r="S60" s="1875"/>
      <c r="T60" s="1875"/>
      <c r="U60" s="1875"/>
      <c r="V60" s="1875"/>
      <c r="W60" s="1875"/>
      <c r="X60" s="1875"/>
      <c r="Y60" s="1875"/>
      <c r="Z60" s="1875"/>
      <c r="AA60" s="1875"/>
      <c r="AB60" s="1875"/>
      <c r="AC60" s="1875"/>
    </row>
    <row r="61" spans="1:29" s="1183" customFormat="1" ht="15.75" thickBot="1">
      <c r="A61" s="628" t="s">
        <v>558</v>
      </c>
      <c r="B61" s="629"/>
      <c r="C61" s="630"/>
      <c r="D61" s="631"/>
      <c r="E61" s="631"/>
      <c r="F61" s="631"/>
      <c r="G61" s="631"/>
      <c r="H61" s="631"/>
      <c r="I61" s="631"/>
      <c r="J61" s="631"/>
      <c r="K61" s="631"/>
      <c r="L61" s="631"/>
      <c r="M61" s="632"/>
      <c r="N61" s="631"/>
      <c r="O61" s="632"/>
      <c r="P61" s="2062"/>
      <c r="Q61" s="2009"/>
      <c r="R61" s="1875"/>
      <c r="S61" s="1875"/>
      <c r="T61" s="1875"/>
      <c r="U61" s="1875"/>
      <c r="V61" s="1875"/>
      <c r="W61" s="1875"/>
      <c r="X61" s="1875"/>
      <c r="Y61" s="1875"/>
      <c r="Z61" s="1875"/>
      <c r="AA61" s="1875"/>
      <c r="AB61" s="1875"/>
      <c r="AC61" s="1875"/>
    </row>
    <row r="62" spans="1:29" s="1183" customFormat="1" ht="15">
      <c r="A62" s="634" t="s">
        <v>514</v>
      </c>
      <c r="B62" s="623"/>
      <c r="C62" s="635" t="s">
        <v>559</v>
      </c>
      <c r="D62" s="636"/>
      <c r="E62" s="636"/>
      <c r="F62" s="636"/>
      <c r="G62" s="636"/>
      <c r="H62" s="636"/>
      <c r="I62" s="636"/>
      <c r="J62" s="636"/>
      <c r="K62" s="636"/>
      <c r="L62" s="637"/>
      <c r="M62" s="638"/>
      <c r="N62" s="2013"/>
      <c r="O62" s="2013"/>
      <c r="P62" s="2063"/>
      <c r="Q62" s="2009"/>
      <c r="R62" s="1875"/>
      <c r="S62" s="1875"/>
      <c r="T62" s="1875"/>
      <c r="U62" s="1875"/>
      <c r="V62" s="1875"/>
      <c r="W62" s="1875"/>
      <c r="X62" s="1875"/>
      <c r="Y62" s="1875"/>
      <c r="Z62" s="1875"/>
      <c r="AA62" s="1875"/>
      <c r="AB62" s="1875"/>
      <c r="AC62" s="1875"/>
    </row>
    <row r="63" spans="1:29" s="1183" customFormat="1" ht="15.75" thickBot="1">
      <c r="A63" s="634"/>
      <c r="B63" s="623"/>
      <c r="C63" s="858">
        <v>100</v>
      </c>
      <c r="D63" s="625"/>
      <c r="E63" s="625"/>
      <c r="F63" s="625"/>
      <c r="G63" s="625"/>
      <c r="H63" s="625"/>
      <c r="I63" s="625"/>
      <c r="J63" s="625"/>
      <c r="K63" s="625"/>
      <c r="L63" s="625"/>
      <c r="M63" s="627"/>
      <c r="N63" s="2013"/>
      <c r="O63" s="2013"/>
      <c r="P63" s="2062"/>
      <c r="Q63" s="2009"/>
      <c r="R63" s="1875"/>
      <c r="S63" s="1875"/>
      <c r="T63" s="1875"/>
      <c r="U63" s="1875"/>
      <c r="V63" s="1875"/>
      <c r="W63" s="1875"/>
      <c r="X63" s="1875"/>
      <c r="Y63" s="1875"/>
      <c r="Z63" s="1875"/>
      <c r="AA63" s="1875"/>
      <c r="AB63" s="1875"/>
      <c r="AC63" s="1875"/>
    </row>
    <row r="64" spans="1:29">
      <c r="A64" s="639" t="s">
        <v>560</v>
      </c>
      <c r="B64" s="640" t="s">
        <v>517</v>
      </c>
      <c r="C64" s="679">
        <f>C9</f>
        <v>0</v>
      </c>
      <c r="D64" s="575"/>
      <c r="E64" s="575"/>
      <c r="F64" s="575"/>
      <c r="G64" s="575"/>
      <c r="H64" s="575"/>
      <c r="I64" s="575"/>
      <c r="J64" s="575"/>
      <c r="K64" s="641"/>
      <c r="L64" s="642"/>
      <c r="M64" s="643"/>
      <c r="N64" s="2015"/>
      <c r="O64" s="2015"/>
      <c r="P64" s="2064"/>
      <c r="Q64" s="2009"/>
      <c r="R64" s="1997"/>
      <c r="S64" s="1997"/>
      <c r="T64" s="1997"/>
      <c r="U64" s="1997"/>
      <c r="V64" s="1997"/>
      <c r="W64" s="1997"/>
      <c r="X64" s="1997"/>
      <c r="Y64" s="1997"/>
      <c r="Z64" s="1997"/>
      <c r="AA64" s="1997"/>
      <c r="AB64" s="1997"/>
      <c r="AC64" s="1997"/>
    </row>
    <row r="65" spans="1:29" ht="15.75" thickBot="1">
      <c r="A65" s="644"/>
      <c r="B65" s="645"/>
      <c r="C65" s="646"/>
      <c r="D65" s="646"/>
      <c r="E65" s="646"/>
      <c r="F65" s="646"/>
      <c r="G65" s="646"/>
      <c r="H65" s="646"/>
      <c r="I65" s="646"/>
      <c r="J65" s="646"/>
      <c r="K65" s="646"/>
      <c r="L65" s="646"/>
      <c r="M65" s="647"/>
      <c r="N65" s="2017"/>
      <c r="O65" s="2017"/>
      <c r="P65" s="2064"/>
      <c r="Q65" s="2009"/>
      <c r="R65" s="1997"/>
      <c r="S65" s="1997"/>
      <c r="T65" s="1997"/>
      <c r="U65" s="1997"/>
      <c r="V65" s="1997"/>
      <c r="W65" s="1997"/>
      <c r="X65" s="1997"/>
      <c r="Y65" s="1997"/>
      <c r="Z65" s="1997"/>
      <c r="AA65" s="1997"/>
      <c r="AB65" s="1997"/>
      <c r="AC65" s="1997"/>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5"/>
      <c r="O66" s="2015"/>
      <c r="P66" s="2064"/>
      <c r="Q66" s="2009"/>
      <c r="R66" s="1997"/>
      <c r="S66" s="1997"/>
      <c r="T66" s="1997"/>
      <c r="U66" s="1997"/>
      <c r="V66" s="1997"/>
      <c r="W66" s="1997"/>
      <c r="X66" s="1997"/>
      <c r="Y66" s="1997"/>
      <c r="Z66" s="1997"/>
      <c r="AA66" s="1997"/>
      <c r="AB66" s="1997"/>
      <c r="AC66" s="1997"/>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7"/>
      <c r="O67" s="2017"/>
      <c r="P67" s="2064"/>
      <c r="Q67" s="2009"/>
      <c r="R67" s="1997"/>
      <c r="S67" s="1997"/>
      <c r="T67" s="1997"/>
      <c r="U67" s="1997"/>
      <c r="V67" s="1997"/>
      <c r="W67" s="1997"/>
      <c r="X67" s="1997"/>
      <c r="Y67" s="1997"/>
      <c r="Z67" s="1997"/>
      <c r="AA67" s="1997"/>
      <c r="AB67" s="1997"/>
      <c r="AC67" s="1997"/>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4"/>
      <c r="B69" s="658"/>
      <c r="C69" s="518"/>
      <c r="D69" s="518"/>
      <c r="E69" s="518"/>
      <c r="F69" s="518"/>
      <c r="G69" s="518"/>
      <c r="H69" s="518"/>
      <c r="I69" s="518"/>
      <c r="J69" s="518"/>
      <c r="K69" s="659"/>
      <c r="L69" s="660"/>
      <c r="M69" s="661"/>
      <c r="N69" s="2015"/>
      <c r="O69" s="2015"/>
      <c r="P69" s="2064"/>
      <c r="Q69" s="2009"/>
      <c r="R69" s="1997"/>
      <c r="S69" s="1997"/>
      <c r="T69" s="1997"/>
      <c r="U69" s="1997"/>
      <c r="V69" s="1997"/>
      <c r="W69" s="1997"/>
      <c r="X69" s="1997"/>
      <c r="Y69" s="1997"/>
      <c r="Z69" s="1997"/>
      <c r="AA69" s="1997"/>
      <c r="AB69" s="1997"/>
      <c r="AC69" s="1997"/>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7"/>
      <c r="O70" s="2017"/>
      <c r="P70" s="2064"/>
      <c r="Q70" s="2009"/>
      <c r="R70" s="1997"/>
      <c r="S70" s="1997"/>
      <c r="T70" s="1997"/>
      <c r="U70" s="1997"/>
      <c r="V70" s="1997"/>
      <c r="W70" s="1997"/>
      <c r="X70" s="1997"/>
      <c r="Y70" s="1997"/>
      <c r="Z70" s="1997"/>
      <c r="AA70" s="1997"/>
      <c r="AB70" s="1997"/>
      <c r="AC70" s="1997"/>
    </row>
    <row r="71" spans="1:29" s="1265" customFormat="1" ht="15.75" thickTop="1">
      <c r="A71" s="662"/>
      <c r="B71" s="648">
        <f>B12</f>
        <v>111</v>
      </c>
      <c r="C71" s="663"/>
      <c r="D71" s="663"/>
      <c r="E71" s="663"/>
      <c r="F71" s="663"/>
      <c r="G71" s="663"/>
      <c r="H71" s="664"/>
      <c r="I71" s="664"/>
      <c r="J71" s="664"/>
      <c r="K71" s="664"/>
      <c r="L71" s="665"/>
      <c r="M71" s="666"/>
      <c r="N71" s="2018"/>
      <c r="O71" s="2018"/>
      <c r="P71" s="2065"/>
      <c r="Q71" s="2020"/>
      <c r="R71" s="2021"/>
      <c r="S71" s="2021"/>
      <c r="T71" s="2021"/>
      <c r="U71" s="2021"/>
      <c r="V71" s="2021"/>
      <c r="W71" s="2021"/>
      <c r="X71" s="2021"/>
      <c r="Y71" s="2021"/>
      <c r="Z71" s="2021"/>
      <c r="AA71" s="2021"/>
      <c r="AB71" s="2021"/>
      <c r="AC71" s="2021"/>
    </row>
    <row r="72" spans="1:29" s="1265" customFormat="1" ht="15.75" thickBot="1">
      <c r="A72" s="662"/>
      <c r="B72" s="653"/>
      <c r="C72" s="667"/>
      <c r="D72" s="646"/>
      <c r="E72" s="646"/>
      <c r="F72" s="646"/>
      <c r="G72" s="646"/>
      <c r="H72" s="646"/>
      <c r="I72" s="646"/>
      <c r="J72" s="646"/>
      <c r="K72" s="646"/>
      <c r="L72" s="646"/>
      <c r="M72" s="647"/>
      <c r="N72" s="2017"/>
      <c r="O72" s="2017"/>
      <c r="P72" s="2065"/>
      <c r="Q72" s="2020"/>
      <c r="R72" s="2021"/>
      <c r="S72" s="2021"/>
      <c r="T72" s="2021"/>
      <c r="U72" s="2021"/>
      <c r="V72" s="2021"/>
      <c r="W72" s="2021"/>
      <c r="X72" s="2021"/>
      <c r="Y72" s="2021"/>
      <c r="Z72" s="2021"/>
      <c r="AA72" s="2021"/>
      <c r="AB72" s="2021"/>
      <c r="AC72" s="2021"/>
    </row>
    <row r="73" spans="1:29" s="1265" customFormat="1" ht="15.75" thickTop="1">
      <c r="A73" s="662"/>
      <c r="B73" s="648">
        <f>B13</f>
        <v>111</v>
      </c>
      <c r="C73" s="663"/>
      <c r="D73" s="663"/>
      <c r="E73" s="663"/>
      <c r="F73" s="663"/>
      <c r="G73" s="663"/>
      <c r="H73" s="664"/>
      <c r="I73" s="664"/>
      <c r="J73" s="664"/>
      <c r="K73" s="664"/>
      <c r="L73" s="665"/>
      <c r="M73" s="666"/>
      <c r="N73" s="2018"/>
      <c r="O73" s="2018"/>
      <c r="P73" s="2066"/>
      <c r="Q73" s="2023"/>
      <c r="R73" s="2021"/>
      <c r="S73" s="2021"/>
      <c r="T73" s="2021"/>
      <c r="U73" s="2021"/>
      <c r="V73" s="2021"/>
      <c r="W73" s="2021"/>
      <c r="X73" s="2021"/>
      <c r="Y73" s="2021"/>
      <c r="Z73" s="2021"/>
      <c r="AA73" s="2021"/>
      <c r="AB73" s="2021"/>
      <c r="AC73" s="2021"/>
    </row>
    <row r="74" spans="1:29" s="1265" customFormat="1" ht="15.75" thickBot="1">
      <c r="A74" s="662"/>
      <c r="B74" s="653"/>
      <c r="C74" s="667"/>
      <c r="D74" s="667"/>
      <c r="E74" s="667"/>
      <c r="F74" s="667"/>
      <c r="G74" s="667"/>
      <c r="H74" s="668"/>
      <c r="I74" s="668"/>
      <c r="J74" s="668"/>
      <c r="K74" s="668"/>
      <c r="L74" s="668"/>
      <c r="M74" s="669"/>
      <c r="N74" s="2018"/>
      <c r="O74" s="2018"/>
      <c r="P74" s="2065"/>
      <c r="Q74" s="2020"/>
      <c r="R74" s="2021"/>
      <c r="S74" s="2021"/>
      <c r="T74" s="2021"/>
      <c r="U74" s="2021"/>
      <c r="V74" s="2021"/>
      <c r="W74" s="2021"/>
      <c r="X74" s="2021"/>
      <c r="Y74" s="2021"/>
      <c r="Z74" s="2021"/>
      <c r="AA74" s="2021"/>
      <c r="AB74" s="2021"/>
      <c r="AC74" s="2021"/>
    </row>
    <row r="75" spans="1:29" s="1265" customFormat="1" ht="15.75" thickTop="1">
      <c r="A75" s="662"/>
      <c r="B75" s="656">
        <f>B14</f>
        <v>111</v>
      </c>
      <c r="C75" s="636"/>
      <c r="D75" s="636"/>
      <c r="E75" s="636"/>
      <c r="F75" s="636"/>
      <c r="G75" s="636"/>
      <c r="H75" s="670"/>
      <c r="I75" s="670"/>
      <c r="J75" s="670"/>
      <c r="K75" s="670"/>
      <c r="L75" s="671"/>
      <c r="M75" s="672"/>
      <c r="N75" s="2018"/>
      <c r="O75" s="2018"/>
      <c r="P75" s="2067"/>
      <c r="Q75" s="2020"/>
      <c r="R75" s="2021"/>
      <c r="S75" s="2021"/>
      <c r="T75" s="2021"/>
      <c r="U75" s="2021"/>
      <c r="V75" s="2021"/>
      <c r="W75" s="2021"/>
      <c r="X75" s="2021"/>
      <c r="Y75" s="2021"/>
      <c r="Z75" s="2021"/>
      <c r="AA75" s="2021"/>
      <c r="AB75" s="2021"/>
      <c r="AC75" s="2021"/>
    </row>
    <row r="76" spans="1:29" s="1265" customFormat="1" ht="15.75" thickBot="1">
      <c r="A76" s="673"/>
      <c r="B76" s="674"/>
      <c r="C76" s="675"/>
      <c r="D76" s="675"/>
      <c r="E76" s="675"/>
      <c r="F76" s="675"/>
      <c r="G76" s="675"/>
      <c r="H76" s="676"/>
      <c r="I76" s="676"/>
      <c r="J76" s="676"/>
      <c r="K76" s="676"/>
      <c r="L76" s="676"/>
      <c r="M76" s="677"/>
      <c r="N76" s="2018"/>
      <c r="O76" s="2018"/>
      <c r="P76" s="2065"/>
      <c r="Q76" s="2020"/>
      <c r="R76" s="2021"/>
      <c r="S76" s="2021"/>
      <c r="T76" s="2021"/>
      <c r="U76" s="2021"/>
      <c r="V76" s="2021"/>
      <c r="W76" s="2021"/>
      <c r="X76" s="2021"/>
      <c r="Y76" s="2021"/>
      <c r="Z76" s="2021"/>
      <c r="AA76" s="2021"/>
      <c r="AB76" s="2021"/>
      <c r="AC76" s="2021"/>
    </row>
    <row r="77" spans="1:29">
      <c r="A77" s="639" t="s">
        <v>522</v>
      </c>
      <c r="B77" s="640" t="s">
        <v>568</v>
      </c>
      <c r="C77" s="678" t="s">
        <v>562</v>
      </c>
      <c r="D77" s="678" t="s">
        <v>563</v>
      </c>
      <c r="E77" s="678" t="s">
        <v>564</v>
      </c>
      <c r="F77" s="678" t="s">
        <v>565</v>
      </c>
      <c r="G77" s="678" t="s">
        <v>566</v>
      </c>
      <c r="H77" s="679"/>
      <c r="I77" s="679"/>
      <c r="J77" s="679"/>
      <c r="K77" s="680"/>
      <c r="L77" s="681"/>
      <c r="M77" s="682"/>
      <c r="N77" s="2015"/>
      <c r="O77" s="2015"/>
      <c r="P77" s="2068"/>
      <c r="Q77" s="2009"/>
      <c r="R77" s="1997"/>
      <c r="S77" s="1997"/>
      <c r="T77" s="1997"/>
      <c r="U77" s="1997"/>
      <c r="V77" s="1997"/>
      <c r="W77" s="1997"/>
      <c r="X77" s="1997"/>
      <c r="Y77" s="1997"/>
      <c r="Z77" s="1997"/>
      <c r="AA77" s="1997"/>
      <c r="AB77" s="1997"/>
      <c r="AC77" s="1997"/>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7"/>
      <c r="O78" s="2017"/>
      <c r="P78" s="2064"/>
      <c r="Q78" s="2009"/>
      <c r="R78" s="1997"/>
      <c r="S78" s="1997"/>
      <c r="T78" s="1997"/>
      <c r="U78" s="1997"/>
      <c r="V78" s="1997"/>
      <c r="W78" s="1997"/>
      <c r="X78" s="1997"/>
      <c r="Y78" s="1997"/>
      <c r="Z78" s="1997"/>
      <c r="AA78" s="1997"/>
      <c r="AB78" s="1997"/>
      <c r="AC78" s="1997"/>
    </row>
    <row r="79" spans="1:29" ht="15.75" thickTop="1">
      <c r="A79" s="644"/>
      <c r="B79" s="648" t="s">
        <v>569</v>
      </c>
      <c r="C79" s="683" t="s">
        <v>562</v>
      </c>
      <c r="D79" s="683" t="s">
        <v>563</v>
      </c>
      <c r="E79" s="683" t="s">
        <v>564</v>
      </c>
      <c r="F79" s="683" t="s">
        <v>565</v>
      </c>
      <c r="G79" s="683" t="s">
        <v>566</v>
      </c>
      <c r="H79" s="649"/>
      <c r="I79" s="649"/>
      <c r="J79" s="649"/>
      <c r="K79" s="650"/>
      <c r="L79" s="651"/>
      <c r="M79" s="652"/>
      <c r="N79" s="2015"/>
      <c r="O79" s="2015"/>
      <c r="P79" s="2064"/>
      <c r="Q79" s="2009"/>
      <c r="R79" s="1997"/>
      <c r="S79" s="1997"/>
      <c r="T79" s="1997"/>
      <c r="U79" s="1997"/>
      <c r="V79" s="1997"/>
      <c r="W79" s="1997"/>
      <c r="X79" s="1997"/>
      <c r="Y79" s="1997"/>
      <c r="Z79" s="1997"/>
      <c r="AA79" s="1997"/>
      <c r="AB79" s="1997"/>
      <c r="AC79" s="1997"/>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7"/>
      <c r="O80" s="2017"/>
      <c r="P80" s="2064"/>
      <c r="Q80" s="2009"/>
      <c r="R80" s="1997"/>
      <c r="S80" s="1997"/>
      <c r="T80" s="1997"/>
      <c r="U80" s="1997"/>
      <c r="V80" s="1997"/>
      <c r="W80" s="1997"/>
      <c r="X80" s="1997"/>
      <c r="Y80" s="1997"/>
      <c r="Z80" s="1997"/>
      <c r="AA80" s="1997"/>
      <c r="AB80" s="1997"/>
      <c r="AC80" s="1997"/>
    </row>
    <row r="81" spans="1:29" ht="15.75" thickTop="1">
      <c r="A81" s="644"/>
      <c r="B81" s="1781" t="s">
        <v>2457</v>
      </c>
      <c r="C81" s="683" t="s">
        <v>562</v>
      </c>
      <c r="D81" s="683" t="s">
        <v>563</v>
      </c>
      <c r="E81" s="683" t="s">
        <v>564</v>
      </c>
      <c r="F81" s="683" t="s">
        <v>565</v>
      </c>
      <c r="G81" s="683" t="s">
        <v>566</v>
      </c>
      <c r="H81" s="649"/>
      <c r="I81" s="649"/>
      <c r="J81" s="649"/>
      <c r="K81" s="650"/>
      <c r="L81" s="651"/>
      <c r="M81" s="652"/>
      <c r="N81" s="2015"/>
      <c r="O81" s="2015"/>
      <c r="P81" s="2064"/>
      <c r="Q81" s="2009"/>
      <c r="R81" s="1997"/>
      <c r="S81" s="1997"/>
      <c r="T81" s="1997"/>
      <c r="U81" s="1997"/>
      <c r="V81" s="1997"/>
      <c r="W81" s="1997"/>
      <c r="X81" s="1997"/>
      <c r="Y81" s="1997"/>
      <c r="Z81" s="1997"/>
      <c r="AA81" s="1997"/>
      <c r="AB81" s="1997"/>
      <c r="AC81" s="1997"/>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7"/>
      <c r="O82" s="2017"/>
      <c r="P82" s="2064"/>
      <c r="Q82" s="2009"/>
      <c r="R82" s="1997"/>
      <c r="S82" s="1997"/>
      <c r="T82" s="1997"/>
      <c r="U82" s="1997"/>
      <c r="V82" s="1997"/>
      <c r="W82" s="1997"/>
      <c r="X82" s="1997"/>
      <c r="Y82" s="1997"/>
      <c r="Z82" s="1997"/>
      <c r="AA82" s="1997"/>
      <c r="AB82" s="1997"/>
      <c r="AC82" s="1997"/>
    </row>
    <row r="83" spans="1:29" ht="15.75" thickTop="1">
      <c r="A83" s="644"/>
      <c r="B83" s="2379" t="s">
        <v>2458</v>
      </c>
      <c r="C83" s="2380" t="s">
        <v>2459</v>
      </c>
      <c r="D83" s="2380" t="s">
        <v>2460</v>
      </c>
      <c r="E83" s="2380" t="s">
        <v>2461</v>
      </c>
      <c r="F83" s="2380" t="s">
        <v>2462</v>
      </c>
      <c r="G83" s="2380" t="s">
        <v>2463</v>
      </c>
      <c r="H83" s="649"/>
      <c r="I83" s="649"/>
      <c r="J83" s="649"/>
      <c r="K83" s="649"/>
      <c r="L83" s="649"/>
      <c r="M83" s="2383"/>
      <c r="N83" s="2017"/>
      <c r="O83" s="2017"/>
      <c r="P83" s="2064"/>
      <c r="Q83" s="2009"/>
      <c r="R83" s="1997"/>
      <c r="S83" s="1997"/>
      <c r="T83" s="1997"/>
      <c r="U83" s="1997"/>
      <c r="V83" s="1997"/>
      <c r="W83" s="1997"/>
      <c r="X83" s="1997"/>
      <c r="Y83" s="1997"/>
      <c r="Z83" s="1997"/>
      <c r="AA83" s="1997"/>
      <c r="AB83" s="1997"/>
      <c r="AC83" s="1997"/>
    </row>
    <row r="84" spans="1:29" ht="15.75" thickBot="1">
      <c r="A84" s="644"/>
      <c r="B84" s="656"/>
      <c r="C84" s="654">
        <v>100</v>
      </c>
      <c r="D84" s="654">
        <f>C84-$K21</f>
        <v>100</v>
      </c>
      <c r="E84" s="654">
        <f>D84-$K21</f>
        <v>100</v>
      </c>
      <c r="F84" s="654">
        <f>E84-$K21</f>
        <v>100</v>
      </c>
      <c r="G84" s="654">
        <f>F84-$K21</f>
        <v>100</v>
      </c>
      <c r="H84" s="904"/>
      <c r="I84" s="904"/>
      <c r="J84" s="904"/>
      <c r="K84" s="904"/>
      <c r="L84" s="904"/>
      <c r="M84" s="536"/>
      <c r="N84" s="2017"/>
      <c r="O84" s="2017"/>
      <c r="P84" s="2064"/>
      <c r="Q84" s="2009"/>
      <c r="R84" s="1997"/>
      <c r="S84" s="1997"/>
      <c r="T84" s="1997"/>
      <c r="U84" s="1997"/>
      <c r="V84" s="1997"/>
      <c r="W84" s="1997"/>
      <c r="X84" s="1997"/>
      <c r="Y84" s="1997"/>
      <c r="Z84" s="1997"/>
      <c r="AA84" s="1997"/>
      <c r="AB84" s="1997"/>
      <c r="AC84" s="1997"/>
    </row>
    <row r="85" spans="1:29" ht="15.75" thickTop="1">
      <c r="A85" s="644"/>
      <c r="B85" s="648" t="s">
        <v>767</v>
      </c>
      <c r="C85" s="683" t="s">
        <v>562</v>
      </c>
      <c r="D85" s="683" t="s">
        <v>563</v>
      </c>
      <c r="E85" s="683" t="s">
        <v>564</v>
      </c>
      <c r="F85" s="683" t="s">
        <v>565</v>
      </c>
      <c r="G85" s="683" t="s">
        <v>566</v>
      </c>
      <c r="H85" s="649"/>
      <c r="I85" s="649"/>
      <c r="J85" s="649"/>
      <c r="K85" s="650"/>
      <c r="L85" s="651"/>
      <c r="M85" s="652"/>
      <c r="N85" s="2015"/>
      <c r="O85" s="2015"/>
      <c r="P85" s="2064"/>
      <c r="Q85" s="2009"/>
      <c r="R85" s="1997"/>
      <c r="S85" s="1997"/>
      <c r="T85" s="1997"/>
      <c r="U85" s="1997"/>
      <c r="V85" s="1997"/>
      <c r="W85" s="1997"/>
      <c r="X85" s="1997"/>
      <c r="Y85" s="1997"/>
      <c r="Z85" s="1997"/>
      <c r="AA85" s="1997"/>
      <c r="AB85" s="1997"/>
      <c r="AC85" s="1997"/>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7"/>
      <c r="O86" s="2017"/>
      <c r="P86" s="2064"/>
      <c r="Q86" s="2009"/>
      <c r="R86" s="1997"/>
      <c r="S86" s="1997"/>
      <c r="T86" s="1997"/>
      <c r="U86" s="1997"/>
      <c r="V86" s="1997"/>
      <c r="W86" s="1997"/>
      <c r="X86" s="1997"/>
      <c r="Y86" s="1997"/>
      <c r="Z86" s="1997"/>
      <c r="AA86" s="1997"/>
      <c r="AB86" s="1997"/>
      <c r="AC86" s="1997"/>
    </row>
    <row r="87" spans="1:29" s="1183" customFormat="1" ht="27.75" thickTop="1">
      <c r="A87" s="684"/>
      <c r="B87" s="648" t="s">
        <v>768</v>
      </c>
      <c r="C87" s="663"/>
      <c r="D87" s="663"/>
      <c r="E87" s="663"/>
      <c r="F87" s="663"/>
      <c r="G87" s="663"/>
      <c r="H87" s="663"/>
      <c r="I87" s="663"/>
      <c r="J87" s="663"/>
      <c r="K87" s="663"/>
      <c r="L87" s="859"/>
      <c r="M87" s="860"/>
      <c r="N87" s="2013"/>
      <c r="O87" s="2013"/>
      <c r="P87" s="2064"/>
      <c r="Q87" s="2009"/>
      <c r="R87" s="1875"/>
      <c r="S87" s="1875"/>
      <c r="T87" s="1875"/>
      <c r="U87" s="1875"/>
      <c r="V87" s="1875"/>
      <c r="W87" s="1875"/>
      <c r="X87" s="1875"/>
      <c r="Y87" s="1875"/>
      <c r="Z87" s="1875"/>
      <c r="AA87" s="1875"/>
      <c r="AB87" s="1875"/>
      <c r="AC87" s="1875"/>
    </row>
    <row r="88" spans="1:29" s="1183"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7"/>
      <c r="O88" s="2017"/>
      <c r="P88" s="2064"/>
      <c r="Q88" s="2009"/>
      <c r="R88" s="1875"/>
      <c r="S88" s="1875"/>
      <c r="T88" s="1875"/>
      <c r="U88" s="1875"/>
      <c r="V88" s="1875"/>
      <c r="W88" s="1875"/>
      <c r="X88" s="1875"/>
      <c r="Y88" s="1875"/>
      <c r="Z88" s="1875"/>
      <c r="AA88" s="1875"/>
      <c r="AB88" s="1875"/>
      <c r="AC88" s="1875"/>
    </row>
    <row r="89" spans="1:29" s="1183" customFormat="1" ht="15.75" thickTop="1">
      <c r="A89" s="684"/>
      <c r="B89" s="648" t="str">
        <f>B27</f>
        <v>楼层</v>
      </c>
      <c r="C89" s="663"/>
      <c r="D89" s="663"/>
      <c r="E89" s="663"/>
      <c r="F89" s="861"/>
      <c r="G89" s="663"/>
      <c r="H89" s="663"/>
      <c r="I89" s="663"/>
      <c r="J89" s="663"/>
      <c r="K89" s="663"/>
      <c r="L89" s="663"/>
      <c r="M89" s="860"/>
      <c r="N89" s="2013"/>
      <c r="O89" s="2013"/>
      <c r="P89" s="2064"/>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7"/>
      <c r="O90" s="2017"/>
      <c r="P90" s="2064"/>
      <c r="Q90" s="2009"/>
      <c r="R90" s="1875"/>
      <c r="S90" s="1875"/>
      <c r="T90" s="1875"/>
      <c r="U90" s="1875"/>
      <c r="V90" s="1875"/>
      <c r="W90" s="1875"/>
      <c r="X90" s="1875"/>
      <c r="Y90" s="1875"/>
      <c r="Z90" s="1875"/>
      <c r="AA90" s="1875"/>
      <c r="AB90" s="1875"/>
      <c r="AC90" s="1875"/>
    </row>
    <row r="91" spans="1:29" s="1265" customFormat="1" ht="15.75" thickTop="1">
      <c r="A91" s="662"/>
      <c r="B91" s="648" t="str">
        <f>B28</f>
        <v>朝向</v>
      </c>
      <c r="C91" s="663"/>
      <c r="D91" s="663"/>
      <c r="E91" s="663"/>
      <c r="F91" s="663"/>
      <c r="G91" s="663"/>
      <c r="H91" s="664"/>
      <c r="I91" s="664"/>
      <c r="J91" s="664"/>
      <c r="K91" s="664"/>
      <c r="L91" s="665"/>
      <c r="M91" s="666"/>
      <c r="N91" s="2018"/>
      <c r="O91" s="2018"/>
      <c r="P91" s="2065"/>
      <c r="Q91" s="2020"/>
      <c r="R91" s="2021"/>
      <c r="S91" s="2021"/>
      <c r="T91" s="2021"/>
      <c r="U91" s="2021"/>
      <c r="V91" s="2021"/>
      <c r="W91" s="2021"/>
      <c r="X91" s="2021"/>
      <c r="Y91" s="2021"/>
      <c r="Z91" s="2021"/>
      <c r="AA91" s="2021"/>
      <c r="AB91" s="2021"/>
      <c r="AC91" s="2021"/>
    </row>
    <row r="92" spans="1:29" s="1265"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4"/>
      <c r="B93" s="648">
        <f>B29</f>
        <v>111</v>
      </c>
      <c r="C93" s="663"/>
      <c r="D93" s="663"/>
      <c r="E93" s="663"/>
      <c r="F93" s="663"/>
      <c r="G93" s="663"/>
      <c r="H93" s="663"/>
      <c r="I93" s="663"/>
      <c r="J93" s="663"/>
      <c r="K93" s="663"/>
      <c r="L93" s="859"/>
      <c r="M93" s="860"/>
      <c r="N93" s="2015"/>
      <c r="O93" s="2015"/>
      <c r="P93" s="2064"/>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46"/>
      <c r="H94" s="646"/>
      <c r="I94" s="646"/>
      <c r="J94" s="646"/>
      <c r="K94" s="646"/>
      <c r="L94" s="646"/>
      <c r="M94" s="647"/>
      <c r="N94" s="2017"/>
      <c r="O94" s="2017"/>
      <c r="P94" s="2064"/>
      <c r="Q94" s="2009"/>
      <c r="R94" s="1997"/>
      <c r="S94" s="1997"/>
      <c r="T94" s="1997"/>
      <c r="U94" s="1997"/>
      <c r="V94" s="1997"/>
      <c r="W94" s="1997"/>
      <c r="X94" s="1997"/>
      <c r="Y94" s="1997"/>
      <c r="Z94" s="1997"/>
      <c r="AA94" s="1997"/>
      <c r="AB94" s="1997"/>
      <c r="AC94" s="1997"/>
    </row>
    <row r="95" spans="1:29" ht="15.75" thickTop="1">
      <c r="A95" s="644"/>
      <c r="B95" s="648">
        <f>B30</f>
        <v>111</v>
      </c>
      <c r="C95" s="663"/>
      <c r="D95" s="663"/>
      <c r="E95" s="663"/>
      <c r="F95" s="663"/>
      <c r="G95" s="693"/>
      <c r="H95" s="693"/>
      <c r="I95" s="693"/>
      <c r="J95" s="693"/>
      <c r="K95" s="694"/>
      <c r="L95" s="695"/>
      <c r="M95" s="696"/>
      <c r="N95" s="2015"/>
      <c r="O95" s="2015"/>
      <c r="P95" s="2064"/>
      <c r="Q95" s="2009"/>
      <c r="R95" s="1997"/>
      <c r="S95" s="1997"/>
      <c r="T95" s="1997"/>
      <c r="U95" s="1997"/>
      <c r="V95" s="1997"/>
      <c r="W95" s="1997"/>
      <c r="X95" s="1997"/>
      <c r="Y95" s="1997"/>
      <c r="Z95" s="1997"/>
      <c r="AA95" s="1997"/>
      <c r="AB95" s="1997"/>
      <c r="AC95" s="1997"/>
    </row>
    <row r="96" spans="1:29" ht="15.75" thickBot="1">
      <c r="A96" s="644"/>
      <c r="B96" s="653"/>
      <c r="C96" s="667"/>
      <c r="D96" s="667"/>
      <c r="E96" s="667"/>
      <c r="F96" s="667"/>
      <c r="G96" s="646"/>
      <c r="H96" s="646"/>
      <c r="I96" s="646"/>
      <c r="J96" s="646"/>
      <c r="K96" s="646"/>
      <c r="L96" s="646"/>
      <c r="M96" s="647"/>
      <c r="N96" s="2017"/>
      <c r="O96" s="2017"/>
      <c r="P96" s="2064"/>
      <c r="Q96" s="2009"/>
      <c r="R96" s="1997"/>
      <c r="S96" s="1997"/>
      <c r="T96" s="1997"/>
      <c r="U96" s="1997"/>
      <c r="V96" s="1997"/>
      <c r="W96" s="1997"/>
      <c r="X96" s="1997"/>
      <c r="Y96" s="1997"/>
      <c r="Z96" s="1997"/>
      <c r="AA96" s="1997"/>
      <c r="AB96" s="1997"/>
      <c r="AC96" s="1997"/>
    </row>
    <row r="97" spans="1:29" ht="15.75" thickTop="1">
      <c r="A97" s="644"/>
      <c r="B97" s="648">
        <f>B31</f>
        <v>111</v>
      </c>
      <c r="C97" s="663"/>
      <c r="D97" s="663"/>
      <c r="E97" s="663"/>
      <c r="F97" s="663"/>
      <c r="G97" s="693"/>
      <c r="H97" s="693"/>
      <c r="I97" s="693"/>
      <c r="J97" s="693"/>
      <c r="K97" s="694"/>
      <c r="L97" s="695"/>
      <c r="M97" s="696"/>
      <c r="N97" s="2015"/>
      <c r="O97" s="2015"/>
      <c r="P97" s="2064"/>
      <c r="Q97" s="2009"/>
      <c r="R97" s="1997"/>
      <c r="S97" s="1997"/>
      <c r="T97" s="1997"/>
      <c r="U97" s="1997"/>
      <c r="V97" s="1997"/>
      <c r="W97" s="1997"/>
      <c r="X97" s="1997"/>
      <c r="Y97" s="1997"/>
      <c r="Z97" s="1997"/>
      <c r="AA97" s="1997"/>
      <c r="AB97" s="1997"/>
      <c r="AC97" s="1997"/>
    </row>
    <row r="98" spans="1:29" ht="15.75" thickBot="1">
      <c r="A98" s="644"/>
      <c r="B98" s="653"/>
      <c r="C98" s="667"/>
      <c r="D98" s="646"/>
      <c r="E98" s="646"/>
      <c r="F98" s="646"/>
      <c r="G98" s="646"/>
      <c r="H98" s="646"/>
      <c r="I98" s="646"/>
      <c r="J98" s="646"/>
      <c r="K98" s="646"/>
      <c r="L98" s="646"/>
      <c r="M98" s="647"/>
      <c r="N98" s="2017"/>
      <c r="O98" s="2017"/>
      <c r="P98" s="2064"/>
      <c r="Q98" s="2009"/>
      <c r="R98" s="1997"/>
      <c r="S98" s="1997"/>
      <c r="T98" s="1997"/>
      <c r="U98" s="1997"/>
      <c r="V98" s="1997"/>
      <c r="W98" s="1997"/>
      <c r="X98" s="1997"/>
      <c r="Y98" s="1997"/>
      <c r="Z98" s="1997"/>
      <c r="AA98" s="1997"/>
      <c r="AB98" s="1997"/>
      <c r="AC98" s="1997"/>
    </row>
    <row r="99" spans="1:29" ht="15.75" thickTop="1">
      <c r="A99" s="644"/>
      <c r="B99" s="656">
        <f>B32</f>
        <v>111</v>
      </c>
      <c r="C99" s="636"/>
      <c r="D99" s="636"/>
      <c r="E99" s="636"/>
      <c r="F99" s="636"/>
      <c r="G99" s="697"/>
      <c r="H99" s="697"/>
      <c r="I99" s="697"/>
      <c r="J99" s="697"/>
      <c r="K99" s="698"/>
      <c r="L99" s="699"/>
      <c r="M99" s="700"/>
      <c r="N99" s="2015"/>
      <c r="O99" s="2015"/>
      <c r="P99" s="2064"/>
      <c r="Q99" s="2009"/>
      <c r="R99" s="1997"/>
      <c r="S99" s="1997"/>
      <c r="T99" s="1997"/>
      <c r="U99" s="1997"/>
      <c r="V99" s="1997"/>
      <c r="W99" s="1997"/>
      <c r="X99" s="1997"/>
      <c r="Y99" s="1997"/>
      <c r="Z99" s="1997"/>
      <c r="AA99" s="1997"/>
      <c r="AB99" s="1997"/>
      <c r="AC99" s="1997"/>
    </row>
    <row r="100" spans="1:29" ht="15.75" thickBot="1">
      <c r="A100" s="862"/>
      <c r="B100" s="674"/>
      <c r="C100" s="675"/>
      <c r="D100" s="675"/>
      <c r="E100" s="675"/>
      <c r="F100" s="675"/>
      <c r="G100" s="701"/>
      <c r="H100" s="701"/>
      <c r="I100" s="701"/>
      <c r="J100" s="701"/>
      <c r="K100" s="701"/>
      <c r="L100" s="701"/>
      <c r="M100" s="702"/>
      <c r="N100" s="2017"/>
      <c r="O100" s="2017"/>
      <c r="P100" s="2064"/>
      <c r="Q100" s="2009"/>
      <c r="R100" s="1997"/>
      <c r="S100" s="1997"/>
      <c r="T100" s="1997"/>
      <c r="U100" s="1997"/>
      <c r="V100" s="1997"/>
      <c r="W100" s="1997"/>
      <c r="X100" s="1997"/>
      <c r="Y100" s="1997"/>
      <c r="Z100" s="1997"/>
      <c r="AA100" s="1997"/>
      <c r="AB100" s="1997"/>
      <c r="AC100" s="1997"/>
    </row>
    <row r="101" spans="1:29">
      <c r="A101" s="639" t="s">
        <v>534</v>
      </c>
      <c r="B101" s="640" t="s">
        <v>730</v>
      </c>
      <c r="C101" s="575"/>
      <c r="D101" s="575"/>
      <c r="E101" s="575"/>
      <c r="F101" s="575"/>
      <c r="G101" s="575"/>
      <c r="H101" s="575"/>
      <c r="I101" s="575"/>
      <c r="J101" s="575"/>
      <c r="K101" s="641"/>
      <c r="L101" s="642"/>
      <c r="M101" s="643"/>
      <c r="N101" s="2015"/>
      <c r="O101" s="2015"/>
      <c r="P101" s="2064"/>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5" customFormat="1">
      <c r="A104" s="703"/>
      <c r="B104" s="704"/>
      <c r="C104" s="705"/>
      <c r="D104" s="705"/>
      <c r="E104" s="705"/>
      <c r="F104" s="705"/>
      <c r="G104" s="705"/>
      <c r="H104" s="705"/>
      <c r="I104" s="705"/>
      <c r="J104" s="706"/>
      <c r="K104" s="706"/>
      <c r="L104" s="707"/>
      <c r="M104" s="708"/>
      <c r="N104" s="2018"/>
      <c r="O104" s="2018"/>
      <c r="P104" s="2065"/>
      <c r="Q104" s="2020"/>
      <c r="R104" s="2021"/>
      <c r="S104" s="2021"/>
      <c r="T104" s="2021"/>
      <c r="U104" s="2021"/>
      <c r="V104" s="2021"/>
      <c r="W104" s="2021"/>
      <c r="X104" s="2021"/>
      <c r="Y104" s="2021"/>
      <c r="Z104" s="2021"/>
      <c r="AA104" s="2021"/>
      <c r="AB104" s="2021"/>
      <c r="AC104" s="2021"/>
    </row>
    <row r="105" spans="1:29" s="1265" customFormat="1" ht="15.75" thickBot="1">
      <c r="A105" s="662"/>
      <c r="B105" s="653"/>
      <c r="C105" s="667"/>
      <c r="D105" s="646"/>
      <c r="E105" s="646"/>
      <c r="F105" s="646"/>
      <c r="G105" s="646"/>
      <c r="H105" s="646"/>
      <c r="I105" s="646"/>
      <c r="J105" s="646"/>
      <c r="K105" s="646"/>
      <c r="L105" s="646"/>
      <c r="M105" s="647"/>
      <c r="N105" s="2017"/>
      <c r="O105" s="2017"/>
      <c r="P105" s="2065"/>
      <c r="Q105" s="2020"/>
      <c r="R105" s="2021"/>
      <c r="S105" s="2021"/>
      <c r="T105" s="2021"/>
      <c r="U105" s="2021"/>
      <c r="V105" s="2021"/>
      <c r="W105" s="2021"/>
      <c r="X105" s="2021"/>
      <c r="Y105" s="2021"/>
      <c r="Z105" s="2021"/>
      <c r="AA105" s="2021"/>
      <c r="AB105" s="2021"/>
      <c r="AC105" s="2021"/>
    </row>
    <row r="106" spans="1:29" ht="15" thickTop="1">
      <c r="A106" s="710"/>
      <c r="B106" s="648" t="s">
        <v>732</v>
      </c>
      <c r="C106" s="663"/>
      <c r="D106" s="663"/>
      <c r="E106" s="693"/>
      <c r="F106" s="693"/>
      <c r="G106" s="693"/>
      <c r="H106" s="693"/>
      <c r="I106" s="693"/>
      <c r="J106" s="693"/>
      <c r="K106" s="694"/>
      <c r="L106" s="695"/>
      <c r="M106" s="696"/>
      <c r="N106" s="2015"/>
      <c r="O106" s="2015"/>
      <c r="P106" s="2064"/>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10"/>
      <c r="B108" s="648" t="s">
        <v>734</v>
      </c>
      <c r="C108" s="663"/>
      <c r="D108" s="663"/>
      <c r="E108" s="663"/>
      <c r="F108" s="693"/>
      <c r="G108" s="693"/>
      <c r="H108" s="693"/>
      <c r="I108" s="693"/>
      <c r="J108" s="693"/>
      <c r="K108" s="694"/>
      <c r="L108" s="695"/>
      <c r="M108" s="696"/>
      <c r="N108" s="2015"/>
      <c r="O108" s="2015"/>
      <c r="P108" s="2064"/>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5"/>
      <c r="O110" s="2015"/>
      <c r="P110" s="2064"/>
      <c r="Q110" s="2009"/>
      <c r="R110" s="1997"/>
      <c r="S110" s="1997"/>
      <c r="T110" s="1997"/>
      <c r="U110" s="1997"/>
      <c r="V110" s="1997"/>
      <c r="W110" s="1997"/>
      <c r="X110" s="1997"/>
      <c r="Y110" s="1997"/>
      <c r="Z110" s="1997"/>
      <c r="AA110" s="1997"/>
      <c r="AB110" s="1997"/>
      <c r="AC110" s="1997"/>
    </row>
    <row r="111" spans="1:29">
      <c r="A111" s="710"/>
      <c r="B111" s="656"/>
      <c r="C111" s="863">
        <v>0.5</v>
      </c>
      <c r="D111" s="863">
        <v>0.6</v>
      </c>
      <c r="E111" s="863">
        <v>0.7</v>
      </c>
      <c r="F111" s="863">
        <v>0.8</v>
      </c>
      <c r="G111" s="863">
        <v>0.9</v>
      </c>
      <c r="H111" s="863">
        <v>1.0001</v>
      </c>
      <c r="I111" s="874"/>
      <c r="J111" s="874"/>
      <c r="K111" s="875"/>
      <c r="L111" s="876"/>
      <c r="M111" s="877"/>
      <c r="N111" s="2015"/>
      <c r="O111" s="2015"/>
      <c r="P111" s="2064"/>
      <c r="Q111" s="2009"/>
      <c r="R111" s="1997"/>
      <c r="S111" s="1997"/>
      <c r="T111" s="1997"/>
      <c r="U111" s="1997"/>
      <c r="V111" s="1997"/>
      <c r="W111" s="1997"/>
      <c r="X111" s="1997"/>
      <c r="Y111" s="1997"/>
      <c r="Z111" s="1997"/>
      <c r="AA111" s="1997"/>
      <c r="AB111" s="1997"/>
      <c r="AC111" s="1997"/>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7"/>
      <c r="O112" s="2017"/>
      <c r="P112" s="2064"/>
      <c r="Q112" s="2009"/>
      <c r="R112" s="1997"/>
      <c r="S112" s="1997"/>
      <c r="T112" s="1997"/>
      <c r="U112" s="1997"/>
      <c r="V112" s="1997"/>
      <c r="W112" s="1997"/>
      <c r="X112" s="1997"/>
      <c r="Y112" s="1997"/>
      <c r="Z112" s="1997"/>
      <c r="AA112" s="1997"/>
      <c r="AB112" s="1997"/>
      <c r="AC112" s="1997"/>
    </row>
    <row r="113" spans="1:29" s="1265" customFormat="1" ht="15" thickTop="1">
      <c r="A113" s="703"/>
      <c r="B113" s="648" t="s">
        <v>769</v>
      </c>
      <c r="C113" s="663"/>
      <c r="D113" s="663"/>
      <c r="E113" s="663"/>
      <c r="F113" s="663"/>
      <c r="G113" s="663"/>
      <c r="H113" s="693"/>
      <c r="I113" s="693"/>
      <c r="J113" s="693"/>
      <c r="K113" s="694"/>
      <c r="L113" s="695"/>
      <c r="M113" s="696"/>
      <c r="N113" s="2018"/>
      <c r="O113" s="2018"/>
      <c r="P113" s="2065"/>
      <c r="Q113" s="2020"/>
      <c r="R113" s="2021"/>
      <c r="S113" s="2021"/>
      <c r="T113" s="2021"/>
      <c r="U113" s="2021"/>
      <c r="V113" s="2021"/>
      <c r="W113" s="2021"/>
      <c r="X113" s="2021"/>
      <c r="Y113" s="2021"/>
      <c r="Z113" s="2021"/>
      <c r="AA113" s="2021"/>
      <c r="AB113" s="2021"/>
      <c r="AC113" s="2021"/>
    </row>
    <row r="114" spans="1:29" s="1265"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10"/>
      <c r="B115" s="648" t="s">
        <v>736</v>
      </c>
      <c r="C115" s="663"/>
      <c r="D115" s="663"/>
      <c r="E115" s="693"/>
      <c r="F115" s="693"/>
      <c r="G115" s="693"/>
      <c r="H115" s="693"/>
      <c r="I115" s="693"/>
      <c r="J115" s="693"/>
      <c r="K115" s="694"/>
      <c r="L115" s="695"/>
      <c r="M115" s="696"/>
      <c r="N115" s="2015"/>
      <c r="O115" s="2015"/>
      <c r="P115" s="2064"/>
      <c r="Q115" s="2009"/>
      <c r="R115" s="1997"/>
      <c r="S115" s="1997"/>
      <c r="T115" s="1997"/>
      <c r="U115" s="1997"/>
      <c r="V115" s="1997"/>
      <c r="W115" s="1997"/>
      <c r="X115" s="1997"/>
      <c r="Y115" s="1997"/>
      <c r="Z115" s="1997"/>
      <c r="AA115" s="1997"/>
      <c r="AB115" s="1997"/>
      <c r="AC115" s="1997"/>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10"/>
      <c r="B117" s="1781" t="s">
        <v>2456</v>
      </c>
      <c r="C117" s="663"/>
      <c r="D117" s="663"/>
      <c r="E117" s="663"/>
      <c r="F117" s="663"/>
      <c r="G117" s="663"/>
      <c r="H117" s="693"/>
      <c r="I117" s="693"/>
      <c r="J117" s="693"/>
      <c r="K117" s="694"/>
      <c r="L117" s="695"/>
      <c r="M117" s="696"/>
      <c r="N117" s="2015"/>
      <c r="O117" s="2015"/>
      <c r="P117" s="2064"/>
      <c r="Q117" s="2009"/>
      <c r="R117" s="1997"/>
      <c r="S117" s="1997"/>
      <c r="T117" s="1997"/>
      <c r="U117" s="1997"/>
      <c r="V117" s="1997"/>
      <c r="W117" s="1997"/>
      <c r="X117" s="1997"/>
      <c r="Y117" s="1997"/>
      <c r="Z117" s="1997"/>
      <c r="AA117" s="1997"/>
      <c r="AB117" s="1997"/>
      <c r="AC117" s="1997"/>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7"/>
      <c r="O118" s="2017"/>
      <c r="P118" s="2064"/>
      <c r="Q118" s="2009"/>
      <c r="R118" s="1997"/>
      <c r="S118" s="1997"/>
      <c r="T118" s="1997"/>
      <c r="U118" s="1997"/>
      <c r="V118" s="1997"/>
      <c r="W118" s="1997"/>
      <c r="X118" s="1997"/>
      <c r="Y118" s="1997"/>
      <c r="Z118" s="1997"/>
      <c r="AA118" s="1997"/>
      <c r="AB118" s="1997"/>
      <c r="AC118" s="1997"/>
    </row>
    <row r="119" spans="1:29" ht="15" thickTop="1">
      <c r="A119" s="710"/>
      <c r="B119" s="886" t="s">
        <v>770</v>
      </c>
      <c r="C119" s="693"/>
      <c r="D119" s="693"/>
      <c r="E119" s="693"/>
      <c r="F119" s="693"/>
      <c r="G119" s="693"/>
      <c r="H119" s="693"/>
      <c r="I119" s="693"/>
      <c r="J119" s="693"/>
      <c r="K119" s="693"/>
      <c r="L119" s="887"/>
      <c r="M119" s="888"/>
      <c r="N119" s="2017"/>
      <c r="O119" s="2017"/>
      <c r="P119" s="2069"/>
      <c r="Q119" s="2057"/>
      <c r="R119" s="1997"/>
      <c r="S119" s="1997"/>
      <c r="T119" s="1997"/>
      <c r="U119" s="1997"/>
      <c r="V119" s="1997"/>
      <c r="W119" s="1997"/>
      <c r="X119" s="1997"/>
      <c r="Y119" s="1997"/>
      <c r="Z119" s="1997"/>
      <c r="AA119" s="1997"/>
      <c r="AB119" s="1997"/>
      <c r="AC119" s="1997"/>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7"/>
      <c r="O120" s="2017"/>
      <c r="P120" s="2064"/>
      <c r="Q120" s="2009"/>
      <c r="R120" s="1997"/>
      <c r="S120" s="1997"/>
      <c r="T120" s="1997"/>
      <c r="U120" s="1997"/>
      <c r="V120" s="1997"/>
      <c r="W120" s="1997"/>
      <c r="X120" s="1997"/>
      <c r="Y120" s="1997"/>
      <c r="Z120" s="1997"/>
      <c r="AA120" s="1997"/>
      <c r="AB120" s="1997"/>
      <c r="AC120" s="1997"/>
    </row>
    <row r="121" spans="1:29" s="1265" customFormat="1" ht="15" thickTop="1">
      <c r="A121" s="703"/>
      <c r="B121" s="648" t="s">
        <v>758</v>
      </c>
      <c r="C121" s="663"/>
      <c r="D121" s="663"/>
      <c r="E121" s="663"/>
      <c r="F121" s="693"/>
      <c r="G121" s="664"/>
      <c r="H121" s="664"/>
      <c r="I121" s="664"/>
      <c r="J121" s="664"/>
      <c r="K121" s="664"/>
      <c r="L121" s="665"/>
      <c r="M121" s="666"/>
      <c r="N121" s="2018"/>
      <c r="O121" s="2018"/>
      <c r="P121" s="2065"/>
      <c r="Q121" s="2020"/>
      <c r="R121" s="2021"/>
      <c r="S121" s="2021"/>
      <c r="T121" s="2021"/>
      <c r="U121" s="2021"/>
      <c r="V121" s="2021"/>
      <c r="W121" s="2021"/>
      <c r="X121" s="2021"/>
      <c r="Y121" s="2021"/>
      <c r="Z121" s="2021"/>
      <c r="AA121" s="2021"/>
      <c r="AB121" s="2021"/>
      <c r="AC121" s="2021"/>
    </row>
    <row r="122" spans="1:29" s="1265" customFormat="1" ht="15.75" thickBot="1">
      <c r="A122" s="662"/>
      <c r="B122" s="645"/>
      <c r="C122" s="667"/>
      <c r="D122" s="667"/>
      <c r="E122" s="667"/>
      <c r="F122" s="667"/>
      <c r="G122" s="667"/>
      <c r="H122" s="667"/>
      <c r="I122" s="667"/>
      <c r="J122" s="667"/>
      <c r="K122" s="667"/>
      <c r="L122" s="667"/>
      <c r="M122" s="667"/>
      <c r="N122" s="2018"/>
      <c r="O122" s="2018"/>
      <c r="P122" s="2065"/>
      <c r="Q122" s="2020"/>
      <c r="R122" s="2021"/>
      <c r="S122" s="2021"/>
      <c r="T122" s="2021"/>
      <c r="U122" s="2021"/>
      <c r="V122" s="2021"/>
      <c r="W122" s="2021"/>
      <c r="X122" s="2021"/>
      <c r="Y122" s="2021"/>
      <c r="Z122" s="2021"/>
      <c r="AA122" s="2021"/>
      <c r="AB122" s="2021"/>
      <c r="AC122" s="2021"/>
    </row>
    <row r="123" spans="1:29" ht="15" thickTop="1">
      <c r="A123" s="710"/>
      <c r="B123" s="648" t="s">
        <v>738</v>
      </c>
      <c r="C123" s="663"/>
      <c r="D123" s="663"/>
      <c r="E123" s="663"/>
      <c r="F123" s="693"/>
      <c r="G123" s="693"/>
      <c r="H123" s="693"/>
      <c r="I123" s="693"/>
      <c r="J123" s="693"/>
      <c r="K123" s="694"/>
      <c r="L123" s="695"/>
      <c r="M123" s="696"/>
      <c r="N123" s="2015"/>
      <c r="O123" s="2015"/>
      <c r="P123" s="2064"/>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5"/>
      <c r="O125" s="2015"/>
      <c r="P125" s="2065"/>
      <c r="Q125" s="2009"/>
      <c r="R125" s="1997"/>
      <c r="S125" s="1997"/>
      <c r="T125" s="1997"/>
      <c r="U125" s="1997"/>
      <c r="V125" s="1997"/>
      <c r="W125" s="1997"/>
      <c r="X125" s="1997"/>
      <c r="Y125" s="1997"/>
      <c r="Z125" s="1997"/>
      <c r="AA125" s="1997"/>
      <c r="AB125" s="1997"/>
      <c r="AC125" s="1997"/>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7"/>
      <c r="O126" s="2017"/>
      <c r="P126" s="2064"/>
      <c r="Q126" s="2009"/>
      <c r="R126" s="1997"/>
      <c r="S126" s="1997"/>
      <c r="T126" s="1997"/>
      <c r="U126" s="1997"/>
      <c r="V126" s="1997"/>
      <c r="W126" s="1997"/>
      <c r="X126" s="1997"/>
      <c r="Y126" s="1997"/>
      <c r="Z126" s="1997"/>
      <c r="AA126" s="1997"/>
      <c r="AB126" s="1997"/>
      <c r="AC126" s="1997"/>
    </row>
    <row r="127" spans="1:29" s="1265" customFormat="1" ht="15" thickTop="1">
      <c r="A127" s="703"/>
      <c r="B127" s="648">
        <f>B45</f>
        <v>111</v>
      </c>
      <c r="C127" s="663"/>
      <c r="D127" s="663"/>
      <c r="E127" s="663"/>
      <c r="F127" s="663"/>
      <c r="G127" s="663"/>
      <c r="H127" s="664"/>
      <c r="I127" s="664"/>
      <c r="J127" s="664"/>
      <c r="K127" s="664"/>
      <c r="L127" s="665"/>
      <c r="M127" s="666"/>
      <c r="N127" s="2018"/>
      <c r="O127" s="2018"/>
      <c r="P127" s="2065"/>
      <c r="Q127" s="2020"/>
      <c r="R127" s="2021"/>
      <c r="S127" s="2021"/>
      <c r="T127" s="2021"/>
      <c r="U127" s="2021"/>
      <c r="V127" s="2021"/>
      <c r="W127" s="2021"/>
      <c r="X127" s="2021"/>
      <c r="Y127" s="2021"/>
      <c r="Z127" s="2021"/>
      <c r="AA127" s="2021"/>
      <c r="AB127" s="2021"/>
      <c r="AC127" s="2021"/>
    </row>
    <row r="128" spans="1:29" s="1265" customFormat="1" ht="15.75" thickBot="1">
      <c r="A128" s="662"/>
      <c r="B128" s="653"/>
      <c r="C128" s="667"/>
      <c r="D128" s="646"/>
      <c r="E128" s="646"/>
      <c r="F128" s="646"/>
      <c r="G128" s="667"/>
      <c r="H128" s="668"/>
      <c r="I128" s="668"/>
      <c r="J128" s="668"/>
      <c r="K128" s="668"/>
      <c r="L128" s="668"/>
      <c r="M128" s="669"/>
      <c r="N128" s="2018"/>
      <c r="O128" s="2018"/>
      <c r="P128" s="2065"/>
      <c r="Q128" s="2020"/>
      <c r="R128" s="2021"/>
      <c r="S128" s="2021"/>
      <c r="T128" s="2021"/>
      <c r="U128" s="2021"/>
      <c r="V128" s="2021"/>
      <c r="W128" s="2021"/>
      <c r="X128" s="2021"/>
      <c r="Y128" s="2021"/>
      <c r="Z128" s="2021"/>
      <c r="AA128" s="2021"/>
      <c r="AB128" s="2021"/>
      <c r="AC128" s="2021"/>
    </row>
    <row r="129" spans="1:29" ht="15" thickTop="1">
      <c r="A129" s="710"/>
      <c r="B129" s="648">
        <f>B46</f>
        <v>111</v>
      </c>
      <c r="C129" s="663"/>
      <c r="D129" s="663"/>
      <c r="E129" s="663"/>
      <c r="F129" s="663"/>
      <c r="G129" s="693"/>
      <c r="H129" s="693"/>
      <c r="I129" s="693"/>
      <c r="J129" s="693"/>
      <c r="K129" s="694"/>
      <c r="L129" s="695"/>
      <c r="M129" s="696"/>
      <c r="N129" s="2015"/>
      <c r="O129" s="2015"/>
      <c r="P129" s="2064"/>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64"/>
      <c r="Q130" s="2009"/>
      <c r="R130" s="1997"/>
      <c r="S130" s="1997"/>
      <c r="T130" s="1997"/>
      <c r="U130" s="1997"/>
      <c r="V130" s="1997"/>
      <c r="W130" s="1997"/>
      <c r="X130" s="1997"/>
      <c r="Y130" s="1997"/>
      <c r="Z130" s="1997"/>
      <c r="AA130" s="1997"/>
      <c r="AB130" s="1997"/>
      <c r="AC130" s="1997"/>
    </row>
    <row r="131" spans="1:29" ht="15" thickTop="1">
      <c r="A131" s="710"/>
      <c r="B131" s="656">
        <f>B47</f>
        <v>111</v>
      </c>
      <c r="C131" s="636"/>
      <c r="D131" s="636"/>
      <c r="E131" s="636"/>
      <c r="F131" s="636"/>
      <c r="G131" s="697"/>
      <c r="H131" s="697"/>
      <c r="I131" s="697"/>
      <c r="J131" s="697"/>
      <c r="K131" s="636"/>
      <c r="L131" s="637"/>
      <c r="M131" s="700"/>
      <c r="N131" s="2015"/>
      <c r="O131" s="2015"/>
      <c r="P131" s="2064"/>
      <c r="Q131" s="2009"/>
      <c r="R131" s="1997"/>
      <c r="S131" s="1997"/>
      <c r="T131" s="1997"/>
      <c r="U131" s="1997"/>
      <c r="V131" s="1997"/>
      <c r="W131" s="1997"/>
      <c r="X131" s="1997"/>
      <c r="Y131" s="1997"/>
      <c r="Z131" s="1997"/>
      <c r="AA131" s="1997"/>
      <c r="AB131" s="1997"/>
      <c r="AC131" s="1997"/>
    </row>
    <row r="132" spans="1:29" ht="15.75" thickBot="1">
      <c r="A132" s="862"/>
      <c r="B132" s="674"/>
      <c r="C132" s="675"/>
      <c r="D132" s="675"/>
      <c r="E132" s="675"/>
      <c r="F132" s="675"/>
      <c r="G132" s="701"/>
      <c r="H132" s="701"/>
      <c r="I132" s="701"/>
      <c r="J132" s="701"/>
      <c r="K132" s="701"/>
      <c r="L132" s="701"/>
      <c r="M132" s="702"/>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771</v>
      </c>
      <c r="C1" s="481" t="s">
        <v>703</v>
      </c>
      <c r="D1" s="821"/>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1914"/>
    </row>
    <row r="2" spans="1:29" s="1262" customFormat="1" ht="28.5" customHeight="1">
      <c r="A2" s="417" t="s">
        <v>461</v>
      </c>
      <c r="B2" s="822"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4"/>
    </row>
    <row r="3" spans="1:29" s="1262" customFormat="1" ht="28.5" customHeight="1" thickBot="1">
      <c r="A3" s="486" t="s">
        <v>502</v>
      </c>
      <c r="B3" s="487" t="e">
        <f>C43</f>
        <v>#DIV/0!</v>
      </c>
      <c r="C3" s="824" t="s">
        <v>705</v>
      </c>
      <c r="D3" s="823">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504</v>
      </c>
      <c r="B4" s="490"/>
      <c r="C4" s="3638" t="s">
        <v>505</v>
      </c>
      <c r="D4" s="3639"/>
      <c r="E4" s="3667" t="s">
        <v>506</v>
      </c>
      <c r="F4" s="3668"/>
      <c r="G4" s="3638" t="s">
        <v>507</v>
      </c>
      <c r="H4" s="3639"/>
      <c r="I4" s="3638" t="s">
        <v>508</v>
      </c>
      <c r="J4" s="3639"/>
      <c r="K4" s="491" t="s">
        <v>509</v>
      </c>
      <c r="L4" s="1985"/>
      <c r="M4" s="1986"/>
      <c r="N4" s="1986"/>
      <c r="O4" s="1986"/>
      <c r="P4" s="3640" t="s">
        <v>510</v>
      </c>
      <c r="Q4" s="3641"/>
      <c r="R4" s="3626" t="s">
        <v>506</v>
      </c>
      <c r="S4" s="3627"/>
      <c r="T4" s="3626" t="s">
        <v>507</v>
      </c>
      <c r="U4" s="3627"/>
      <c r="V4" s="3646" t="s">
        <v>508</v>
      </c>
      <c r="W4" s="3646"/>
      <c r="X4" s="1474"/>
      <c r="Y4" s="3626" t="s">
        <v>510</v>
      </c>
      <c r="Z4" s="3627"/>
      <c r="AA4" s="3621" t="s">
        <v>506</v>
      </c>
      <c r="AB4" s="3622" t="s">
        <v>507</v>
      </c>
      <c r="AC4" s="3621" t="s">
        <v>508</v>
      </c>
    </row>
    <row r="5" spans="1:29" ht="15">
      <c r="A5" s="492"/>
      <c r="B5" s="493"/>
      <c r="C5" s="3649" t="s">
        <v>2808</v>
      </c>
      <c r="D5" s="3650"/>
      <c r="E5" s="3669" t="s">
        <v>2809</v>
      </c>
      <c r="F5" s="3670"/>
      <c r="G5" s="3649" t="s">
        <v>2810</v>
      </c>
      <c r="H5" s="3650"/>
      <c r="I5" s="3649" t="s">
        <v>2811</v>
      </c>
      <c r="J5" s="3650"/>
      <c r="K5" s="491"/>
      <c r="L5" s="1985"/>
      <c r="M5" s="1986"/>
      <c r="N5" s="1986"/>
      <c r="O5" s="1986"/>
      <c r="P5" s="3642"/>
      <c r="Q5" s="3643"/>
      <c r="R5" s="3628"/>
      <c r="S5" s="3629"/>
      <c r="T5" s="3628"/>
      <c r="U5" s="3629"/>
      <c r="V5" s="3646"/>
      <c r="W5" s="3646"/>
      <c r="X5" s="1474"/>
      <c r="Y5" s="3628"/>
      <c r="Z5" s="3629"/>
      <c r="AA5" s="3622"/>
      <c r="AB5" s="3622"/>
      <c r="AC5" s="3622"/>
    </row>
    <row r="6" spans="1:29" ht="15.75" thickBot="1">
      <c r="A6" s="494"/>
      <c r="B6" s="495"/>
      <c r="C6" s="3647" t="s">
        <v>2812</v>
      </c>
      <c r="D6" s="3648"/>
      <c r="E6" s="3671" t="s">
        <v>2812</v>
      </c>
      <c r="F6" s="3672"/>
      <c r="G6" s="3647" t="s">
        <v>2812</v>
      </c>
      <c r="H6" s="3648"/>
      <c r="I6" s="3647" t="s">
        <v>2812</v>
      </c>
      <c r="J6" s="3648"/>
      <c r="K6" s="491" t="s">
        <v>511</v>
      </c>
      <c r="L6" s="1985"/>
      <c r="M6" s="1986"/>
      <c r="N6" s="1986"/>
      <c r="O6" s="1986"/>
      <c r="P6" s="3644"/>
      <c r="Q6" s="3645"/>
      <c r="R6" s="3628"/>
      <c r="S6" s="3629"/>
      <c r="T6" s="3630"/>
      <c r="U6" s="3631"/>
      <c r="V6" s="3646"/>
      <c r="W6" s="3646"/>
      <c r="X6" s="1474"/>
      <c r="Y6" s="3630"/>
      <c r="Z6" s="3631"/>
      <c r="AA6" s="3623"/>
      <c r="AB6" s="3623"/>
      <c r="AC6" s="3623"/>
    </row>
    <row r="7" spans="1:29" s="1183" customFormat="1" ht="15.75" thickBot="1">
      <c r="A7" s="2567"/>
      <c r="B7" s="2574" t="s">
        <v>512</v>
      </c>
      <c r="C7" s="496">
        <f>'数据-取费表'!B2</f>
        <v>44649</v>
      </c>
      <c r="D7" s="497">
        <v>100</v>
      </c>
      <c r="E7" s="498"/>
      <c r="F7" s="499">
        <f>SUMIF(52:52,YEAR(E7)&amp;"-"&amp;MONTH(E7),53:53)</f>
        <v>0</v>
      </c>
      <c r="G7" s="498"/>
      <c r="H7" s="497">
        <f>SUMIF(52:52,YEAR(G7)&amp;"-"&amp;MONTH(G7),53:53)</f>
        <v>0</v>
      </c>
      <c r="I7" s="498"/>
      <c r="J7" s="497">
        <f>SUMIF(52:52,YEAR(I7)&amp;"-"&amp;MONTH(I7),53:53)</f>
        <v>0</v>
      </c>
      <c r="K7" s="501"/>
      <c r="L7" s="1987"/>
      <c r="M7" s="1988"/>
      <c r="N7" s="1988"/>
      <c r="O7" s="1988"/>
      <c r="P7" s="3624" t="s">
        <v>513</v>
      </c>
      <c r="Q7" s="3633"/>
      <c r="R7" s="1475" t="s">
        <v>8</v>
      </c>
      <c r="S7" s="1476">
        <f t="shared" ref="S7:S15" si="0">F7</f>
        <v>0</v>
      </c>
      <c r="T7" s="1475" t="s">
        <v>8</v>
      </c>
      <c r="U7" s="1476">
        <f t="shared" ref="U7:U15" si="1">H7</f>
        <v>0</v>
      </c>
      <c r="V7" s="1475" t="s">
        <v>8</v>
      </c>
      <c r="W7" s="1476">
        <f t="shared" ref="W7:W15" si="2">J7</f>
        <v>0</v>
      </c>
      <c r="X7" s="1477"/>
      <c r="Y7" s="3624" t="s">
        <v>513</v>
      </c>
      <c r="Z7" s="3625"/>
      <c r="AA7" s="1478" t="e">
        <f>D7/F7</f>
        <v>#DIV/0!</v>
      </c>
      <c r="AB7" s="1478" t="e">
        <f>D7/H7</f>
        <v>#DIV/0!</v>
      </c>
      <c r="AC7" s="1478" t="e">
        <f>D7/J7</f>
        <v>#DIV/0!</v>
      </c>
    </row>
    <row r="8" spans="1:29" s="1183"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7"/>
      <c r="M8" s="1988"/>
      <c r="N8" s="1988"/>
      <c r="O8" s="1988"/>
      <c r="P8" s="3624" t="s">
        <v>516</v>
      </c>
      <c r="Q8" s="3625"/>
      <c r="R8" s="1475" t="s">
        <v>8</v>
      </c>
      <c r="S8" s="1476">
        <f t="shared" si="0"/>
        <v>0</v>
      </c>
      <c r="T8" s="1475" t="s">
        <v>8</v>
      </c>
      <c r="U8" s="1476">
        <f t="shared" si="1"/>
        <v>0</v>
      </c>
      <c r="V8" s="1475" t="s">
        <v>8</v>
      </c>
      <c r="W8" s="1476">
        <f t="shared" si="2"/>
        <v>0</v>
      </c>
      <c r="X8" s="1477"/>
      <c r="Y8" s="3624" t="s">
        <v>516</v>
      </c>
      <c r="Z8" s="3625"/>
      <c r="AA8" s="1478" t="e">
        <f t="shared" ref="AA8:AA40" si="3">D8/F8</f>
        <v>#DIV/0!</v>
      </c>
      <c r="AB8" s="1478" t="e">
        <f t="shared" ref="AB8:AB40" si="4">D8/H8</f>
        <v>#DIV/0!</v>
      </c>
      <c r="AC8" s="1478" t="e">
        <f t="shared" ref="AC8:AC40" si="5">D8/J8</f>
        <v>#DIV/0!</v>
      </c>
    </row>
    <row r="9" spans="1:29" s="1183" customFormat="1" ht="15">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87"/>
      <c r="M9" s="1988"/>
      <c r="N9" s="1988"/>
      <c r="O9" s="1989"/>
      <c r="P9" s="3632" t="s">
        <v>518</v>
      </c>
      <c r="Q9" s="1114" t="str">
        <f t="shared" ref="Q9:Q15" si="6">B9</f>
        <v>用途</v>
      </c>
      <c r="R9" s="1475" t="s">
        <v>8</v>
      </c>
      <c r="S9" s="1476">
        <f t="shared" si="0"/>
        <v>100</v>
      </c>
      <c r="T9" s="1475" t="s">
        <v>8</v>
      </c>
      <c r="U9" s="1476">
        <f t="shared" si="1"/>
        <v>100</v>
      </c>
      <c r="V9" s="1475" t="s">
        <v>8</v>
      </c>
      <c r="W9" s="1476">
        <f t="shared" si="2"/>
        <v>100</v>
      </c>
      <c r="X9" s="1477"/>
      <c r="Y9" s="3583"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0"/>
      <c r="M10" s="2029"/>
      <c r="N10" s="2029"/>
      <c r="O10" s="1991"/>
      <c r="P10" s="3632"/>
      <c r="Q10" s="1114" t="str">
        <f t="shared" si="6"/>
        <v>土地使用年限（年）</v>
      </c>
      <c r="R10" s="1475" t="s">
        <v>8</v>
      </c>
      <c r="S10" s="1476">
        <f t="shared" si="0"/>
        <v>100</v>
      </c>
      <c r="T10" s="1475" t="s">
        <v>8</v>
      </c>
      <c r="U10" s="1476">
        <f t="shared" si="1"/>
        <v>100</v>
      </c>
      <c r="V10" s="1475" t="s">
        <v>8</v>
      </c>
      <c r="W10" s="1476">
        <f t="shared" si="2"/>
        <v>100</v>
      </c>
      <c r="X10" s="1477"/>
      <c r="Y10" s="3583"/>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2"/>
      <c r="M11" s="1986"/>
      <c r="N11" s="1986"/>
      <c r="O11" s="1993"/>
      <c r="P11" s="3632"/>
      <c r="Q11" s="1114" t="str">
        <f t="shared" si="6"/>
        <v>容积率</v>
      </c>
      <c r="R11" s="1475" t="s">
        <v>8</v>
      </c>
      <c r="S11" s="1476" t="e">
        <f t="shared" si="0"/>
        <v>#N/A</v>
      </c>
      <c r="T11" s="1475" t="s">
        <v>8</v>
      </c>
      <c r="U11" s="1476" t="e">
        <f t="shared" si="1"/>
        <v>#N/A</v>
      </c>
      <c r="V11" s="1475" t="s">
        <v>8</v>
      </c>
      <c r="W11" s="1476" t="e">
        <f t="shared" si="2"/>
        <v>#N/A</v>
      </c>
      <c r="X11" s="1477"/>
      <c r="Y11" s="3583"/>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89"/>
      <c r="H12" s="253">
        <f>SUMIF(64:64,G12,65:65)-SUMIF(64:64,C12,65:65)+100</f>
        <v>100</v>
      </c>
      <c r="I12" s="851"/>
      <c r="J12" s="253">
        <f>SUMIF(64:64,I12,65:65)-SUMIF(64:64,C12,65:65)+100</f>
        <v>100</v>
      </c>
      <c r="K12" s="558"/>
      <c r="L12" s="1987"/>
      <c r="M12" s="1988"/>
      <c r="N12" s="1988"/>
      <c r="O12" s="1989"/>
      <c r="P12" s="3632"/>
      <c r="Q12" s="1114">
        <f t="shared" si="6"/>
        <v>111</v>
      </c>
      <c r="R12" s="1475" t="s">
        <v>8</v>
      </c>
      <c r="S12" s="1476">
        <f t="shared" si="0"/>
        <v>100</v>
      </c>
      <c r="T12" s="1475" t="s">
        <v>8</v>
      </c>
      <c r="U12" s="1476">
        <f t="shared" si="1"/>
        <v>100</v>
      </c>
      <c r="V12" s="1475" t="s">
        <v>8</v>
      </c>
      <c r="W12" s="1476">
        <f t="shared" si="2"/>
        <v>100</v>
      </c>
      <c r="X12" s="1477"/>
      <c r="Y12" s="3583"/>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89"/>
      <c r="H13" s="517">
        <f>SUMIF(66:66,G13,67:67)-SUMIF(66:66,C13,67:67)+100</f>
        <v>100</v>
      </c>
      <c r="I13" s="851"/>
      <c r="J13" s="517">
        <f>SUMIF(66:66,I13,67:67)-SUMIF(66:66,C13,67:67)+100</f>
        <v>100</v>
      </c>
      <c r="K13" s="558"/>
      <c r="L13" s="1994"/>
      <c r="M13" s="1986"/>
      <c r="N13" s="1986"/>
      <c r="O13" s="1993"/>
      <c r="P13" s="3632"/>
      <c r="Q13" s="1114">
        <f t="shared" si="6"/>
        <v>111</v>
      </c>
      <c r="R13" s="1475" t="s">
        <v>8</v>
      </c>
      <c r="S13" s="1476">
        <f t="shared" si="0"/>
        <v>100</v>
      </c>
      <c r="T13" s="1475" t="s">
        <v>8</v>
      </c>
      <c r="U13" s="1476">
        <f t="shared" si="1"/>
        <v>100</v>
      </c>
      <c r="V13" s="1475" t="s">
        <v>8</v>
      </c>
      <c r="W13" s="1476">
        <f t="shared" si="2"/>
        <v>100</v>
      </c>
      <c r="X13" s="1477"/>
      <c r="Y13" s="3583"/>
      <c r="Z13" s="1113">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89"/>
      <c r="H14" s="523">
        <f>SUMIF(68:68,G14,69:69)-SUMIF(68:68,C14,69:69)+100</f>
        <v>100</v>
      </c>
      <c r="I14" s="851"/>
      <c r="J14" s="523">
        <f>SUMIF(68:68,I14,69:69)-SUMIF(68:68,C14,69:69)+100</f>
        <v>100</v>
      </c>
      <c r="K14" s="558"/>
      <c r="L14" s="1994"/>
      <c r="M14" s="1986"/>
      <c r="N14" s="1986"/>
      <c r="O14" s="1993"/>
      <c r="P14" s="3632"/>
      <c r="Q14" s="1114">
        <f t="shared" si="6"/>
        <v>111</v>
      </c>
      <c r="R14" s="1475" t="s">
        <v>8</v>
      </c>
      <c r="S14" s="1476">
        <f t="shared" si="0"/>
        <v>100</v>
      </c>
      <c r="T14" s="1475" t="s">
        <v>8</v>
      </c>
      <c r="U14" s="1476">
        <f t="shared" si="1"/>
        <v>100</v>
      </c>
      <c r="V14" s="1475" t="s">
        <v>8</v>
      </c>
      <c r="W14" s="1476">
        <f t="shared" si="2"/>
        <v>100</v>
      </c>
      <c r="X14" s="1477"/>
      <c r="Y14" s="3583"/>
      <c r="Z14" s="1113">
        <f t="shared" si="7"/>
        <v>111</v>
      </c>
      <c r="AA14" s="1478">
        <f t="shared" si="3"/>
        <v>1</v>
      </c>
      <c r="AB14" s="1478">
        <f t="shared" si="4"/>
        <v>1</v>
      </c>
      <c r="AC14" s="1478">
        <f t="shared" si="5"/>
        <v>1</v>
      </c>
    </row>
    <row r="15" spans="1:29" ht="57">
      <c r="A15" s="2565" t="s">
        <v>2653</v>
      </c>
      <c r="B15" s="164" t="s">
        <v>772</v>
      </c>
      <c r="C15" s="890"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7"/>
      <c r="L15" s="1994"/>
      <c r="M15" s="1986"/>
      <c r="N15" s="1986"/>
      <c r="O15" s="1993"/>
      <c r="P15" s="3634" t="s">
        <v>523</v>
      </c>
      <c r="Q15" s="1479" t="str">
        <f t="shared" si="6"/>
        <v>产业集聚程度</v>
      </c>
      <c r="R15" s="1480" t="s">
        <v>8</v>
      </c>
      <c r="S15" s="1481">
        <f t="shared" si="0"/>
        <v>100</v>
      </c>
      <c r="T15" s="1480" t="s">
        <v>8</v>
      </c>
      <c r="U15" s="1481">
        <f t="shared" si="1"/>
        <v>100</v>
      </c>
      <c r="V15" s="1480" t="s">
        <v>8</v>
      </c>
      <c r="W15" s="1481">
        <f t="shared" si="2"/>
        <v>100</v>
      </c>
      <c r="X15" s="1474"/>
      <c r="Y15" s="3634"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35"/>
      <c r="Q16" s="1479"/>
      <c r="R16" s="1480"/>
      <c r="S16" s="1481"/>
      <c r="T16" s="1480"/>
      <c r="U16" s="1481"/>
      <c r="V16" s="1480"/>
      <c r="W16" s="1481"/>
      <c r="X16" s="1474"/>
      <c r="Y16" s="3635"/>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7"/>
      <c r="L17" s="1994"/>
      <c r="M17" s="1986"/>
      <c r="N17" s="1986"/>
      <c r="O17" s="1993"/>
      <c r="P17" s="3635"/>
      <c r="Q17" s="1479" t="str">
        <f>B17</f>
        <v>交通便捷度</v>
      </c>
      <c r="R17" s="1480" t="s">
        <v>8</v>
      </c>
      <c r="S17" s="1481">
        <f>F17</f>
        <v>100</v>
      </c>
      <c r="T17" s="1480" t="s">
        <v>8</v>
      </c>
      <c r="U17" s="1481">
        <f>H17</f>
        <v>100</v>
      </c>
      <c r="V17" s="1480" t="s">
        <v>8</v>
      </c>
      <c r="W17" s="1481">
        <f>J17</f>
        <v>100</v>
      </c>
      <c r="X17" s="1474"/>
      <c r="Y17" s="3635"/>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35"/>
      <c r="Q18" s="1479"/>
      <c r="R18" s="1480"/>
      <c r="S18" s="1481"/>
      <c r="T18" s="1480"/>
      <c r="U18" s="1481"/>
      <c r="V18" s="1480"/>
      <c r="W18" s="1481"/>
      <c r="X18" s="1474"/>
      <c r="Y18" s="3635"/>
      <c r="Z18" s="1482"/>
      <c r="AA18" s="1483">
        <v>1</v>
      </c>
      <c r="AB18" s="1483">
        <v>1</v>
      </c>
      <c r="AC18" s="1483">
        <v>1</v>
      </c>
    </row>
    <row r="19" spans="1:29" ht="42.75">
      <c r="A19" s="509"/>
      <c r="B19" s="2385"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7"/>
      <c r="L19" s="1994"/>
      <c r="M19" s="1986"/>
      <c r="N19" s="1986"/>
      <c r="O19" s="1993"/>
      <c r="P19" s="3635"/>
      <c r="Q19" s="1479" t="str">
        <f>B19</f>
        <v>公共配套设施</v>
      </c>
      <c r="R19" s="1480" t="s">
        <v>8</v>
      </c>
      <c r="S19" s="1481">
        <f>F19</f>
        <v>100</v>
      </c>
      <c r="T19" s="1480" t="s">
        <v>8</v>
      </c>
      <c r="U19" s="1481">
        <f>H19</f>
        <v>100</v>
      </c>
      <c r="V19" s="1480" t="s">
        <v>8</v>
      </c>
      <c r="W19" s="1481">
        <f>J19</f>
        <v>100</v>
      </c>
      <c r="X19" s="1474"/>
      <c r="Y19" s="3635"/>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8"/>
      <c r="L20" s="1994"/>
      <c r="M20" s="1986"/>
      <c r="N20" s="1986"/>
      <c r="O20" s="1993"/>
      <c r="P20" s="3635"/>
      <c r="Q20" s="1479"/>
      <c r="R20" s="1480"/>
      <c r="S20" s="1481"/>
      <c r="T20" s="1480"/>
      <c r="U20" s="1481"/>
      <c r="V20" s="1480"/>
      <c r="W20" s="1481"/>
      <c r="X20" s="1474"/>
      <c r="Y20" s="3635"/>
      <c r="Z20" s="1482"/>
      <c r="AA20" s="1483">
        <v>1</v>
      </c>
      <c r="AB20" s="1483">
        <v>1</v>
      </c>
      <c r="AC20" s="1483">
        <v>1</v>
      </c>
    </row>
    <row r="21" spans="1:29" ht="28.5">
      <c r="A21" s="509"/>
      <c r="B21" s="2373"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7"/>
      <c r="L21" s="1994"/>
      <c r="M21" s="1986"/>
      <c r="N21" s="1986"/>
      <c r="O21" s="1993"/>
      <c r="P21" s="3635"/>
      <c r="Q21" s="2367" t="str">
        <f>B21</f>
        <v>基础设施水平</v>
      </c>
      <c r="R21" s="1480" t="s">
        <v>8</v>
      </c>
      <c r="S21" s="1481">
        <f>F21</f>
        <v>100</v>
      </c>
      <c r="T21" s="1480" t="s">
        <v>8</v>
      </c>
      <c r="U21" s="1481">
        <f>H21</f>
        <v>100</v>
      </c>
      <c r="V21" s="1480" t="s">
        <v>8</v>
      </c>
      <c r="W21" s="1481">
        <f>J21</f>
        <v>100</v>
      </c>
      <c r="X21" s="2369"/>
      <c r="Y21" s="3635"/>
      <c r="Z21" s="2368"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4"/>
      <c r="L22" s="1994"/>
      <c r="M22" s="1986"/>
      <c r="N22" s="1986"/>
      <c r="O22" s="1993"/>
      <c r="P22" s="3635"/>
      <c r="Q22" s="2367"/>
      <c r="R22" s="1480"/>
      <c r="S22" s="1481"/>
      <c r="T22" s="1480"/>
      <c r="U22" s="1481"/>
      <c r="V22" s="1480"/>
      <c r="W22" s="1481"/>
      <c r="X22" s="2369"/>
      <c r="Y22" s="3635"/>
      <c r="Z22" s="2368"/>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7"/>
      <c r="L23" s="1994"/>
      <c r="M23" s="1986"/>
      <c r="N23" s="1986"/>
      <c r="O23" s="1993"/>
      <c r="P23" s="3635"/>
      <c r="Q23" s="1479" t="str">
        <f>B23</f>
        <v>环境质量</v>
      </c>
      <c r="R23" s="1480" t="s">
        <v>8</v>
      </c>
      <c r="S23" s="1481">
        <f>F23</f>
        <v>100</v>
      </c>
      <c r="T23" s="1480" t="s">
        <v>8</v>
      </c>
      <c r="U23" s="1481">
        <f>H23</f>
        <v>100</v>
      </c>
      <c r="V23" s="1480" t="s">
        <v>8</v>
      </c>
      <c r="W23" s="1481">
        <f>J23</f>
        <v>100</v>
      </c>
      <c r="X23" s="1474"/>
      <c r="Y23" s="3635"/>
      <c r="Z23" s="1482" t="str">
        <f>Q23</f>
        <v>环境质量</v>
      </c>
      <c r="AA23" s="1483">
        <f t="shared" si="3"/>
        <v>1</v>
      </c>
      <c r="AB23" s="1483">
        <f t="shared" si="4"/>
        <v>1</v>
      </c>
      <c r="AC23" s="1483">
        <f t="shared" si="5"/>
        <v>1</v>
      </c>
    </row>
    <row r="24" spans="1:29" ht="15">
      <c r="A24" s="509"/>
      <c r="B24" s="891"/>
      <c r="C24" s="553"/>
      <c r="D24" s="532"/>
      <c r="E24" s="533"/>
      <c r="F24" s="534"/>
      <c r="G24" s="535"/>
      <c r="H24" s="532"/>
      <c r="I24" s="533"/>
      <c r="J24" s="532"/>
      <c r="K24" s="868"/>
      <c r="L24" s="1994"/>
      <c r="M24" s="1986"/>
      <c r="N24" s="1986"/>
      <c r="O24" s="1993"/>
      <c r="P24" s="3635"/>
      <c r="Q24" s="1479"/>
      <c r="R24" s="1480"/>
      <c r="S24" s="1481"/>
      <c r="T24" s="1480"/>
      <c r="U24" s="1481"/>
      <c r="V24" s="1480"/>
      <c r="W24" s="1481"/>
      <c r="X24" s="1474"/>
      <c r="Y24" s="3635"/>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4"/>
      <c r="M25" s="1986"/>
      <c r="N25" s="1986"/>
      <c r="O25" s="1993"/>
      <c r="P25" s="3635"/>
      <c r="Q25" s="1479">
        <f>B25</f>
        <v>111</v>
      </c>
      <c r="R25" s="1480" t="s">
        <v>8</v>
      </c>
      <c r="S25" s="1481">
        <f>F25</f>
        <v>100</v>
      </c>
      <c r="T25" s="1480" t="s">
        <v>8</v>
      </c>
      <c r="U25" s="1481">
        <f>H25</f>
        <v>100</v>
      </c>
      <c r="V25" s="1480" t="s">
        <v>8</v>
      </c>
      <c r="W25" s="1481">
        <f>J25</f>
        <v>100</v>
      </c>
      <c r="X25" s="1474"/>
      <c r="Y25" s="3635"/>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4"/>
      <c r="M26" s="1986"/>
      <c r="N26" s="1986"/>
      <c r="O26" s="1993"/>
      <c r="P26" s="3635"/>
      <c r="Q26" s="1479">
        <f t="shared" ref="Q26:Q40" si="11">B26</f>
        <v>111</v>
      </c>
      <c r="R26" s="1480" t="s">
        <v>8</v>
      </c>
      <c r="S26" s="1481">
        <f>F26</f>
        <v>100</v>
      </c>
      <c r="T26" s="1480" t="s">
        <v>8</v>
      </c>
      <c r="U26" s="1481">
        <f>H26</f>
        <v>100</v>
      </c>
      <c r="V26" s="1480" t="s">
        <v>8</v>
      </c>
      <c r="W26" s="1481">
        <f>J26</f>
        <v>100</v>
      </c>
      <c r="X26" s="1474"/>
      <c r="Y26" s="3635"/>
      <c r="Z26" s="1482">
        <f>Q26</f>
        <v>111</v>
      </c>
      <c r="AA26" s="1483">
        <f t="shared" si="3"/>
        <v>1</v>
      </c>
      <c r="AB26" s="1483">
        <f t="shared" si="4"/>
        <v>1</v>
      </c>
      <c r="AC26" s="1483">
        <f t="shared" si="5"/>
        <v>1</v>
      </c>
    </row>
    <row r="27" spans="1:29" s="1183"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7"/>
      <c r="M27" s="1988"/>
      <c r="N27" s="1988"/>
      <c r="O27" s="1989"/>
      <c r="P27" s="3635"/>
      <c r="Q27" s="1114">
        <f t="shared" si="11"/>
        <v>111</v>
      </c>
      <c r="R27" s="1475" t="s">
        <v>8</v>
      </c>
      <c r="S27" s="1476">
        <f>F27</f>
        <v>100</v>
      </c>
      <c r="T27" s="1475" t="s">
        <v>8</v>
      </c>
      <c r="U27" s="1476">
        <f>H27</f>
        <v>100</v>
      </c>
      <c r="V27" s="1475" t="s">
        <v>8</v>
      </c>
      <c r="W27" s="1476">
        <f>J27</f>
        <v>100</v>
      </c>
      <c r="X27" s="1477"/>
      <c r="Y27" s="3635"/>
      <c r="Z27" s="1113">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4"/>
      <c r="M28" s="1986"/>
      <c r="N28" s="1986"/>
      <c r="O28" s="1993"/>
      <c r="P28" s="3635"/>
      <c r="Q28" s="1479">
        <f t="shared" si="11"/>
        <v>111</v>
      </c>
      <c r="R28" s="1480" t="s">
        <v>8</v>
      </c>
      <c r="S28" s="1481">
        <f t="shared" ref="S28:S40" si="12">F28</f>
        <v>100</v>
      </c>
      <c r="T28" s="1480" t="s">
        <v>8</v>
      </c>
      <c r="U28" s="1481">
        <f t="shared" ref="U28:U40" si="13">H28</f>
        <v>100</v>
      </c>
      <c r="V28" s="1480" t="s">
        <v>8</v>
      </c>
      <c r="W28" s="1481">
        <f t="shared" ref="W28:W40" si="14">J28</f>
        <v>100</v>
      </c>
      <c r="X28" s="1474"/>
      <c r="Y28" s="3635"/>
      <c r="Z28" s="1482">
        <f t="shared" ref="Z28:Z40" si="15">Q28</f>
        <v>111</v>
      </c>
      <c r="AA28" s="1483">
        <f t="shared" si="3"/>
        <v>1</v>
      </c>
      <c r="AB28" s="1483">
        <f t="shared" si="4"/>
        <v>1</v>
      </c>
      <c r="AC28" s="1483">
        <f t="shared" si="5"/>
        <v>1</v>
      </c>
    </row>
    <row r="29" spans="1:29" ht="15">
      <c r="A29" s="2562" t="s">
        <v>2654</v>
      </c>
      <c r="B29" s="170" t="s">
        <v>763</v>
      </c>
      <c r="C29" s="885"/>
      <c r="D29" s="574">
        <v>100</v>
      </c>
      <c r="E29" s="885"/>
      <c r="F29" s="552">
        <f>SUMIF(88:88,E29,89:89)-SUMIF(88:88,C29,89:89)+100</f>
        <v>100</v>
      </c>
      <c r="G29" s="885"/>
      <c r="H29" s="517">
        <f>SUMIF(88:88,G29,89:89)-SUMIF(88:88,C29,89:89)+100</f>
        <v>100</v>
      </c>
      <c r="I29" s="885"/>
      <c r="J29" s="574">
        <f>SUMIF(88:88,I29,89:89)-SUMIF(88:88,C29,89:89)+100</f>
        <v>100</v>
      </c>
      <c r="K29" s="561"/>
      <c r="L29" s="1994"/>
      <c r="M29" s="1986"/>
      <c r="N29" s="1986"/>
      <c r="O29" s="1993"/>
      <c r="P29" s="3636" t="s">
        <v>533</v>
      </c>
      <c r="Q29" s="1479" t="str">
        <f t="shared" si="11"/>
        <v>建筑类型</v>
      </c>
      <c r="R29" s="1480" t="s">
        <v>8</v>
      </c>
      <c r="S29" s="1481">
        <f t="shared" si="12"/>
        <v>100</v>
      </c>
      <c r="T29" s="1480" t="s">
        <v>8</v>
      </c>
      <c r="U29" s="1481">
        <f t="shared" si="13"/>
        <v>100</v>
      </c>
      <c r="V29" s="1480" t="s">
        <v>8</v>
      </c>
      <c r="W29" s="1481">
        <f t="shared" si="14"/>
        <v>100</v>
      </c>
      <c r="X29" s="1474"/>
      <c r="Y29" s="3637" t="s">
        <v>533</v>
      </c>
      <c r="Z29" s="1482" t="str">
        <f t="shared" si="15"/>
        <v>建筑类型</v>
      </c>
      <c r="AA29" s="1483">
        <f t="shared" si="3"/>
        <v>1</v>
      </c>
      <c r="AB29" s="1483">
        <f t="shared" si="4"/>
        <v>1</v>
      </c>
      <c r="AC29" s="1483">
        <f t="shared" si="5"/>
        <v>1</v>
      </c>
    </row>
    <row r="30" spans="1:29" s="1265"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2"/>
      <c r="M30" s="2022"/>
      <c r="N30" s="2022"/>
      <c r="O30" s="1995"/>
      <c r="P30" s="3637"/>
      <c r="Q30" s="1508" t="str">
        <f t="shared" si="11"/>
        <v>项目建筑规模</v>
      </c>
      <c r="R30" s="1484" t="s">
        <v>8</v>
      </c>
      <c r="S30" s="1485" t="e">
        <f t="shared" si="12"/>
        <v>#N/A</v>
      </c>
      <c r="T30" s="1484" t="s">
        <v>8</v>
      </c>
      <c r="U30" s="1485" t="e">
        <f t="shared" si="13"/>
        <v>#N/A</v>
      </c>
      <c r="V30" s="1484" t="s">
        <v>8</v>
      </c>
      <c r="W30" s="1485" t="e">
        <f t="shared" si="14"/>
        <v>#N/A</v>
      </c>
      <c r="X30" s="1486"/>
      <c r="Y30" s="3637"/>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4"/>
      <c r="M31" s="1986"/>
      <c r="N31" s="1986"/>
      <c r="O31" s="1993"/>
      <c r="P31" s="3637"/>
      <c r="Q31" s="1479" t="str">
        <f t="shared" si="11"/>
        <v>建筑结构</v>
      </c>
      <c r="R31" s="1480" t="s">
        <v>8</v>
      </c>
      <c r="S31" s="1481">
        <f t="shared" si="12"/>
        <v>100</v>
      </c>
      <c r="T31" s="1480" t="s">
        <v>8</v>
      </c>
      <c r="U31" s="1481">
        <f t="shared" si="13"/>
        <v>100</v>
      </c>
      <c r="V31" s="1480" t="s">
        <v>8</v>
      </c>
      <c r="W31" s="1481">
        <f t="shared" si="14"/>
        <v>100</v>
      </c>
      <c r="X31" s="1474"/>
      <c r="Y31" s="3637"/>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4"/>
      <c r="M32" s="1986"/>
      <c r="N32" s="1986"/>
      <c r="O32" s="1993"/>
      <c r="P32" s="3637"/>
      <c r="Q32" s="1479" t="str">
        <f t="shared" si="11"/>
        <v>公共部分装修</v>
      </c>
      <c r="R32" s="1480" t="s">
        <v>8</v>
      </c>
      <c r="S32" s="1481">
        <f t="shared" si="12"/>
        <v>100</v>
      </c>
      <c r="T32" s="1480" t="s">
        <v>8</v>
      </c>
      <c r="U32" s="1481">
        <f t="shared" si="13"/>
        <v>100</v>
      </c>
      <c r="V32" s="1480" t="s">
        <v>8</v>
      </c>
      <c r="W32" s="1481">
        <f t="shared" si="14"/>
        <v>100</v>
      </c>
      <c r="X32" s="1474"/>
      <c r="Y32" s="3637"/>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4"/>
      <c r="M33" s="1986"/>
      <c r="N33" s="1986"/>
      <c r="O33" s="1993"/>
      <c r="P33" s="3637"/>
      <c r="Q33" s="1479" t="str">
        <f t="shared" si="11"/>
        <v>成新度</v>
      </c>
      <c r="R33" s="1480" t="s">
        <v>8</v>
      </c>
      <c r="S33" s="1481" t="e">
        <f t="shared" si="12"/>
        <v>#N/A</v>
      </c>
      <c r="T33" s="1480" t="s">
        <v>8</v>
      </c>
      <c r="U33" s="1481" t="e">
        <f t="shared" si="13"/>
        <v>#N/A</v>
      </c>
      <c r="V33" s="1480" t="s">
        <v>8</v>
      </c>
      <c r="W33" s="1481" t="e">
        <f t="shared" si="14"/>
        <v>#N/A</v>
      </c>
      <c r="X33" s="1474"/>
      <c r="Y33" s="3637"/>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7"/>
      <c r="M34" s="1988"/>
      <c r="N34" s="1988"/>
      <c r="O34" s="1989"/>
      <c r="P34" s="3637"/>
      <c r="Q34" s="1114" t="str">
        <f t="shared" si="11"/>
        <v>物业管理</v>
      </c>
      <c r="R34" s="1475" t="s">
        <v>8</v>
      </c>
      <c r="S34" s="1476">
        <f t="shared" si="12"/>
        <v>100</v>
      </c>
      <c r="T34" s="1475" t="s">
        <v>8</v>
      </c>
      <c r="U34" s="1476">
        <f t="shared" si="13"/>
        <v>100</v>
      </c>
      <c r="V34" s="1475" t="s">
        <v>8</v>
      </c>
      <c r="W34" s="1476">
        <f t="shared" si="14"/>
        <v>100</v>
      </c>
      <c r="X34" s="1477"/>
      <c r="Y34" s="3637"/>
      <c r="Z34" s="1113" t="str">
        <f t="shared" si="15"/>
        <v>物业管理</v>
      </c>
      <c r="AA34" s="1478">
        <f t="shared" si="3"/>
        <v>1</v>
      </c>
      <c r="AB34" s="1478">
        <f t="shared" si="4"/>
        <v>1</v>
      </c>
      <c r="AC34" s="1478">
        <f t="shared" si="5"/>
        <v>1</v>
      </c>
    </row>
    <row r="35" spans="1:29" ht="15">
      <c r="A35" s="571"/>
      <c r="B35" s="1780"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4"/>
      <c r="M35" s="1986"/>
      <c r="N35" s="1986"/>
      <c r="O35" s="1993"/>
      <c r="P35" s="3637" t="s">
        <v>533</v>
      </c>
      <c r="Q35" s="1479" t="str">
        <f t="shared" si="11"/>
        <v>市政基础设施</v>
      </c>
      <c r="R35" s="1480" t="s">
        <v>8</v>
      </c>
      <c r="S35" s="1481">
        <f t="shared" si="12"/>
        <v>100</v>
      </c>
      <c r="T35" s="1480" t="s">
        <v>8</v>
      </c>
      <c r="U35" s="1481">
        <f t="shared" si="13"/>
        <v>100</v>
      </c>
      <c r="V35" s="1480" t="s">
        <v>8</v>
      </c>
      <c r="W35" s="1481">
        <f t="shared" si="14"/>
        <v>100</v>
      </c>
      <c r="X35" s="1474"/>
      <c r="Y35" s="3637"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4"/>
      <c r="M36" s="1986"/>
      <c r="N36" s="1986"/>
      <c r="O36" s="1993"/>
      <c r="P36" s="3637"/>
      <c r="Q36" s="1479" t="str">
        <f t="shared" si="11"/>
        <v>内部装修</v>
      </c>
      <c r="R36" s="1480" t="s">
        <v>8</v>
      </c>
      <c r="S36" s="1481">
        <f t="shared" si="12"/>
        <v>100</v>
      </c>
      <c r="T36" s="1480" t="s">
        <v>8</v>
      </c>
      <c r="U36" s="1481">
        <f t="shared" si="13"/>
        <v>100</v>
      </c>
      <c r="V36" s="1480" t="s">
        <v>8</v>
      </c>
      <c r="W36" s="1481">
        <f t="shared" si="14"/>
        <v>100</v>
      </c>
      <c r="X36" s="1474"/>
      <c r="Y36" s="3637"/>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4"/>
      <c r="M37" s="1986"/>
      <c r="N37" s="1986"/>
      <c r="O37" s="1993"/>
      <c r="P37" s="3637"/>
      <c r="Q37" s="1479" t="str">
        <f t="shared" si="11"/>
        <v>内部装修状况</v>
      </c>
      <c r="R37" s="1480" t="s">
        <v>8</v>
      </c>
      <c r="S37" s="1481">
        <f t="shared" si="12"/>
        <v>100</v>
      </c>
      <c r="T37" s="1480" t="s">
        <v>8</v>
      </c>
      <c r="U37" s="1481">
        <f t="shared" si="13"/>
        <v>100</v>
      </c>
      <c r="V37" s="1480" t="s">
        <v>8</v>
      </c>
      <c r="W37" s="1481">
        <f t="shared" si="14"/>
        <v>100</v>
      </c>
      <c r="X37" s="1474"/>
      <c r="Y37" s="3637"/>
      <c r="Z37" s="1482" t="str">
        <f t="shared" si="15"/>
        <v>内部装修状况</v>
      </c>
      <c r="AA37" s="1483">
        <f t="shared" si="3"/>
        <v>1</v>
      </c>
      <c r="AB37" s="1483">
        <f t="shared" si="4"/>
        <v>1</v>
      </c>
      <c r="AC37" s="1483">
        <f t="shared" si="5"/>
        <v>1</v>
      </c>
    </row>
    <row r="38" spans="1:29" s="1265"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2"/>
      <c r="M38" s="2022"/>
      <c r="N38" s="2022"/>
      <c r="O38" s="1995"/>
      <c r="P38" s="3637"/>
      <c r="Q38" s="1508">
        <f t="shared" si="11"/>
        <v>111</v>
      </c>
      <c r="R38" s="1484" t="s">
        <v>8</v>
      </c>
      <c r="S38" s="1485">
        <f t="shared" si="12"/>
        <v>100</v>
      </c>
      <c r="T38" s="1484" t="s">
        <v>8</v>
      </c>
      <c r="U38" s="1485">
        <f t="shared" si="13"/>
        <v>100</v>
      </c>
      <c r="V38" s="1484" t="s">
        <v>8</v>
      </c>
      <c r="W38" s="1485">
        <f t="shared" si="14"/>
        <v>100</v>
      </c>
      <c r="X38" s="1486"/>
      <c r="Y38" s="3637"/>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4"/>
      <c r="M39" s="1986"/>
      <c r="N39" s="1986"/>
      <c r="O39" s="1993"/>
      <c r="P39" s="3637"/>
      <c r="Q39" s="1479">
        <f t="shared" si="11"/>
        <v>111</v>
      </c>
      <c r="R39" s="1480" t="s">
        <v>8</v>
      </c>
      <c r="S39" s="1481">
        <f t="shared" si="12"/>
        <v>100</v>
      </c>
      <c r="T39" s="1480" t="s">
        <v>8</v>
      </c>
      <c r="U39" s="1481">
        <f t="shared" si="13"/>
        <v>100</v>
      </c>
      <c r="V39" s="1480" t="s">
        <v>8</v>
      </c>
      <c r="W39" s="1481">
        <f t="shared" si="14"/>
        <v>100</v>
      </c>
      <c r="X39" s="1474"/>
      <c r="Y39" s="3637"/>
      <c r="Z39" s="1482">
        <f t="shared" si="15"/>
        <v>111</v>
      </c>
      <c r="AA39" s="1483">
        <f t="shared" si="3"/>
        <v>1</v>
      </c>
      <c r="AB39" s="1483">
        <f t="shared" si="4"/>
        <v>1</v>
      </c>
      <c r="AC39" s="1483">
        <f t="shared" si="5"/>
        <v>1</v>
      </c>
    </row>
    <row r="40" spans="1:29" ht="15.75" thickBot="1">
      <c r="A40" s="855"/>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4"/>
      <c r="M40" s="1986"/>
      <c r="N40" s="1986"/>
      <c r="O40" s="1993"/>
      <c r="P40" s="3719"/>
      <c r="Q40" s="1479">
        <f t="shared" si="11"/>
        <v>111</v>
      </c>
      <c r="R40" s="1480" t="s">
        <v>8</v>
      </c>
      <c r="S40" s="1481">
        <f t="shared" si="12"/>
        <v>100</v>
      </c>
      <c r="T40" s="1480" t="s">
        <v>8</v>
      </c>
      <c r="U40" s="1481">
        <f t="shared" si="13"/>
        <v>100</v>
      </c>
      <c r="V40" s="1480" t="s">
        <v>8</v>
      </c>
      <c r="W40" s="1481">
        <f t="shared" si="14"/>
        <v>100</v>
      </c>
      <c r="X40" s="1474"/>
      <c r="Y40" s="3719"/>
      <c r="Z40" s="1482">
        <f t="shared" si="15"/>
        <v>111</v>
      </c>
      <c r="AA40" s="1483">
        <f t="shared" si="3"/>
        <v>1</v>
      </c>
      <c r="AB40" s="1483">
        <f t="shared" si="4"/>
        <v>1</v>
      </c>
      <c r="AC40" s="1483">
        <f t="shared" si="5"/>
        <v>1</v>
      </c>
    </row>
    <row r="41" spans="1:29" ht="15">
      <c r="A41" s="584" t="s">
        <v>719</v>
      </c>
      <c r="B41" s="856"/>
      <c r="C41" s="2408" t="s">
        <v>1</v>
      </c>
      <c r="D41" s="2409"/>
      <c r="E41" s="2410"/>
      <c r="F41" s="2411"/>
      <c r="G41" s="2412"/>
      <c r="H41" s="2413"/>
      <c r="I41" s="2410"/>
      <c r="J41" s="2413"/>
      <c r="K41" s="1513"/>
      <c r="L41" s="1996"/>
      <c r="M41" s="1997"/>
      <c r="N41" s="1986"/>
      <c r="O41" s="1997"/>
      <c r="P41" s="3632" t="str">
        <f>A41</f>
        <v>成交单价（元/平方米）</v>
      </c>
      <c r="Q41" s="3632"/>
      <c r="R41" s="3718">
        <f>E41</f>
        <v>0</v>
      </c>
      <c r="S41" s="3718"/>
      <c r="T41" s="3718">
        <f>G41</f>
        <v>0</v>
      </c>
      <c r="U41" s="3718"/>
      <c r="V41" s="3718">
        <f>I41</f>
        <v>0</v>
      </c>
      <c r="W41" s="3718"/>
      <c r="X41" s="1469"/>
      <c r="Y41" s="1488"/>
      <c r="Z41" s="1469"/>
      <c r="AA41" s="1469"/>
      <c r="AB41" s="1469"/>
      <c r="AC41" s="1469"/>
    </row>
    <row r="42" spans="1:29" ht="15.75" thickBot="1">
      <c r="A42" s="592" t="s">
        <v>2659</v>
      </c>
      <c r="B42" s="857"/>
      <c r="C42" s="2414" t="e">
        <f>R43</f>
        <v>#DIV/0!</v>
      </c>
      <c r="D42" s="2948" t="s">
        <v>2881</v>
      </c>
      <c r="E42" s="2415" t="e">
        <f>R42</f>
        <v>#DIV/0!</v>
      </c>
      <c r="F42" s="2949"/>
      <c r="G42" s="2414" t="e">
        <f>T42</f>
        <v>#DIV/0!</v>
      </c>
      <c r="H42" s="2949"/>
      <c r="I42" s="2415" t="e">
        <f>V42</f>
        <v>#DIV/0!</v>
      </c>
      <c r="J42" s="2949"/>
      <c r="K42" s="2957">
        <f>F42+H42+J42</f>
        <v>0</v>
      </c>
      <c r="L42" s="1996"/>
      <c r="M42" s="1997"/>
      <c r="N42" s="1986"/>
      <c r="O42" s="1997"/>
      <c r="P42" s="3632" t="str">
        <f>A42</f>
        <v>比较价格（元/平方米）</v>
      </c>
      <c r="Q42" s="3632"/>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1469"/>
      <c r="Y42" s="1469"/>
      <c r="Z42" s="1469"/>
      <c r="AA42" s="1469"/>
      <c r="AB42" s="1469"/>
      <c r="AC42" s="1469"/>
    </row>
    <row r="43" spans="1:29" ht="15.75" thickBot="1">
      <c r="A43" s="596" t="s">
        <v>2814</v>
      </c>
      <c r="B43" s="597"/>
      <c r="C43" s="2416" t="e">
        <f>R43</f>
        <v>#DIV/0!</v>
      </c>
      <c r="D43" s="2416"/>
      <c r="E43" s="2416"/>
      <c r="F43" s="2416"/>
      <c r="G43" s="2416"/>
      <c r="H43" s="2416"/>
      <c r="I43" s="2416"/>
      <c r="J43" s="2416"/>
      <c r="K43" s="1514"/>
      <c r="L43" s="1996"/>
      <c r="M43" s="1997"/>
      <c r="N43" s="1997"/>
      <c r="O43" s="1997"/>
      <c r="P43" s="3653" t="str">
        <f>A43</f>
        <v>估价对象XX用房的比较价格（楼面单价，元/平方米）</v>
      </c>
      <c r="Q43" s="3654"/>
      <c r="R43" s="3717" t="e">
        <f>IF(F1="售价",ROUND(IF(D42="简单平均",AVERAGE(R42:V42),R42*F42+T42*H42+V42*J42),0),ROUND(IF(D42="简单平均",AVERAGE(R42:V42),R42*F42+T42*H42+V42*J42),1))</f>
        <v>#DIV/0!</v>
      </c>
      <c r="S43" s="3717"/>
      <c r="T43" s="3717"/>
      <c r="U43" s="3717"/>
      <c r="V43" s="3717"/>
      <c r="W43" s="3717"/>
      <c r="X43" s="1469"/>
      <c r="Y43" s="1469"/>
      <c r="Z43" s="1469"/>
      <c r="AA43" s="1469"/>
      <c r="AB43" s="1469"/>
      <c r="AC43" s="1469"/>
    </row>
    <row r="44" spans="1:29">
      <c r="A44" s="3146"/>
      <c r="B44" s="3146"/>
      <c r="C44" s="3146"/>
      <c r="D44" s="3146"/>
      <c r="E44" s="3146"/>
      <c r="F44" s="3146"/>
      <c r="G44" s="3148"/>
      <c r="H44" s="3146"/>
      <c r="I44" s="3146"/>
      <c r="J44" s="3146"/>
      <c r="K44" s="3149"/>
      <c r="L44" s="2001"/>
      <c r="M44" s="1997"/>
      <c r="N44" s="1997"/>
      <c r="O44" s="1997"/>
      <c r="P44" s="1997"/>
      <c r="Q44" s="1997"/>
      <c r="R44" s="1997"/>
      <c r="S44" s="1997"/>
      <c r="T44" s="1997"/>
      <c r="U44" s="1997"/>
      <c r="V44" s="1997"/>
      <c r="W44" s="1997"/>
      <c r="X44" s="1997"/>
      <c r="Y44" s="1997"/>
      <c r="Z44" s="1997"/>
      <c r="AA44" s="1997"/>
      <c r="AB44" s="1997"/>
      <c r="AC44" s="1997"/>
    </row>
    <row r="45" spans="1:29">
      <c r="A45" s="3146"/>
      <c r="B45" s="3146"/>
      <c r="C45" s="3146"/>
      <c r="D45" s="3146"/>
      <c r="E45" s="3146"/>
      <c r="F45" s="3146"/>
      <c r="G45" s="3146"/>
      <c r="H45" s="3146"/>
      <c r="I45" s="3146"/>
      <c r="J45" s="3146"/>
      <c r="K45" s="314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46"/>
      <c r="B46" s="3146"/>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46"/>
      <c r="B47" s="3146"/>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9"/>
      <c r="L47" s="2001"/>
      <c r="M47" s="1997"/>
      <c r="N47" s="1997"/>
      <c r="O47" s="1997"/>
      <c r="P47" s="1997"/>
      <c r="Q47" s="1997"/>
      <c r="R47" s="1997"/>
      <c r="S47" s="1997"/>
      <c r="T47" s="1997"/>
      <c r="U47" s="1997"/>
      <c r="V47" s="1997"/>
      <c r="W47" s="1997"/>
      <c r="X47" s="1997"/>
      <c r="Y47" s="1997"/>
      <c r="Z47" s="1997"/>
      <c r="AA47" s="1997"/>
      <c r="AB47" s="1997"/>
      <c r="AC47" s="1997"/>
    </row>
    <row r="48" spans="1:29" s="1270" customFormat="1" ht="13.5" customHeight="1">
      <c r="A48" s="3147"/>
      <c r="B48" s="3147"/>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0"/>
      <c r="L48" s="2004"/>
      <c r="M48" s="1998"/>
      <c r="N48" s="1998"/>
      <c r="O48" s="1998"/>
      <c r="P48" s="1998"/>
      <c r="Q48" s="1998"/>
      <c r="R48" s="1998"/>
      <c r="S48" s="1998"/>
      <c r="T48" s="1998"/>
      <c r="U48" s="1998"/>
      <c r="V48" s="1998"/>
      <c r="W48" s="1998"/>
      <c r="X48" s="1998"/>
      <c r="Y48" s="1998"/>
      <c r="Z48" s="1998"/>
      <c r="AA48" s="1998"/>
      <c r="AB48" s="1998"/>
      <c r="AC48" s="1998"/>
    </row>
    <row r="49" spans="1:29" s="1270"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1" t="s">
        <v>557</v>
      </c>
      <c r="B51" s="1469"/>
      <c r="C51" s="1490"/>
      <c r="D51" s="1490"/>
      <c r="E51" s="1490"/>
      <c r="F51" s="1492"/>
      <c r="G51" s="1492"/>
      <c r="H51" s="1490"/>
      <c r="I51" s="1490"/>
      <c r="J51" s="1490"/>
      <c r="K51" s="1493"/>
      <c r="L51" s="1489"/>
      <c r="M51" s="1490"/>
      <c r="N51" s="2008"/>
      <c r="O51" s="2008"/>
      <c r="P51" s="2008"/>
      <c r="Q51" s="2009"/>
      <c r="R51" s="1997"/>
      <c r="S51" s="1997"/>
      <c r="T51" s="1997"/>
      <c r="U51" s="1997"/>
      <c r="V51" s="1997"/>
      <c r="W51" s="1997"/>
      <c r="X51" s="1997"/>
      <c r="Y51" s="1997"/>
      <c r="Z51" s="1997"/>
      <c r="AA51" s="1997"/>
      <c r="AB51" s="1997"/>
      <c r="AC51" s="1997"/>
    </row>
    <row r="52" spans="1:29" s="1272" customFormat="1" ht="15">
      <c r="A52" s="620" t="s">
        <v>512</v>
      </c>
      <c r="B52" s="621"/>
      <c r="C52" s="2457" t="str">
        <f>YEAR(C7)&amp;"-"&amp;MONTH(C7)</f>
        <v>2022-3</v>
      </c>
      <c r="D52" s="2459">
        <f>EDATE(C52,-1)</f>
        <v>44593</v>
      </c>
      <c r="E52" s="2459">
        <f t="shared" ref="E52:O52" si="16">EDATE(D52,-1)</f>
        <v>44562</v>
      </c>
      <c r="F52" s="2459">
        <f t="shared" si="16"/>
        <v>44531</v>
      </c>
      <c r="G52" s="2459">
        <f t="shared" si="16"/>
        <v>44501</v>
      </c>
      <c r="H52" s="2459">
        <f t="shared" si="16"/>
        <v>44470</v>
      </c>
      <c r="I52" s="2459">
        <f t="shared" si="16"/>
        <v>44440</v>
      </c>
      <c r="J52" s="2459">
        <f t="shared" si="16"/>
        <v>44409</v>
      </c>
      <c r="K52" s="2459">
        <f t="shared" si="16"/>
        <v>44378</v>
      </c>
      <c r="L52" s="2459">
        <f t="shared" si="16"/>
        <v>44348</v>
      </c>
      <c r="M52" s="2459">
        <f t="shared" si="16"/>
        <v>44317</v>
      </c>
      <c r="N52" s="2459">
        <f t="shared" si="16"/>
        <v>44287</v>
      </c>
      <c r="O52" s="2459">
        <f t="shared" si="16"/>
        <v>44256</v>
      </c>
      <c r="P52" s="2011"/>
      <c r="Q52" s="2012"/>
      <c r="R52" s="2012"/>
      <c r="S52" s="2012"/>
      <c r="T52" s="2012"/>
      <c r="U52" s="2012"/>
      <c r="V52" s="2012"/>
      <c r="W52" s="2012"/>
      <c r="X52" s="2012"/>
      <c r="Y52" s="2012"/>
      <c r="Z52" s="2012"/>
      <c r="AA52" s="2012"/>
      <c r="AB52" s="2012"/>
      <c r="AC52" s="2012"/>
    </row>
    <row r="53" spans="1:29" s="1183" customFormat="1" ht="15">
      <c r="A53" s="622"/>
      <c r="B53" s="623"/>
      <c r="C53" s="624">
        <v>100</v>
      </c>
      <c r="D53" s="625"/>
      <c r="E53" s="625"/>
      <c r="F53" s="625"/>
      <c r="G53" s="625"/>
      <c r="H53" s="625"/>
      <c r="I53" s="625"/>
      <c r="J53" s="625"/>
      <c r="K53" s="625"/>
      <c r="L53" s="625"/>
      <c r="M53" s="626"/>
      <c r="N53" s="625"/>
      <c r="O53" s="627"/>
      <c r="P53" s="2009"/>
      <c r="Q53" s="1875"/>
      <c r="R53" s="1875"/>
      <c r="S53" s="1875"/>
      <c r="T53" s="1875"/>
      <c r="U53" s="1875"/>
      <c r="V53" s="1875"/>
      <c r="W53" s="1875"/>
      <c r="X53" s="1875"/>
      <c r="Y53" s="1875"/>
      <c r="Z53" s="1875"/>
      <c r="AA53" s="1875"/>
      <c r="AB53" s="1875"/>
      <c r="AC53" s="1875"/>
    </row>
    <row r="54" spans="1:29" s="1183" customFormat="1" ht="15.75" thickBot="1">
      <c r="A54" s="628" t="s">
        <v>558</v>
      </c>
      <c r="B54" s="629"/>
      <c r="C54" s="630"/>
      <c r="D54" s="631"/>
      <c r="E54" s="631"/>
      <c r="F54" s="631"/>
      <c r="G54" s="631"/>
      <c r="H54" s="631"/>
      <c r="I54" s="631"/>
      <c r="J54" s="631"/>
      <c r="K54" s="631"/>
      <c r="L54" s="631"/>
      <c r="M54" s="632"/>
      <c r="N54" s="631"/>
      <c r="O54" s="633"/>
      <c r="P54" s="2009"/>
      <c r="Q54" s="2009"/>
      <c r="R54" s="1875"/>
      <c r="S54" s="1875"/>
      <c r="T54" s="1875"/>
      <c r="U54" s="1875"/>
      <c r="V54" s="1875"/>
      <c r="W54" s="1875"/>
      <c r="X54" s="1875"/>
      <c r="Y54" s="1875"/>
      <c r="Z54" s="1875"/>
      <c r="AA54" s="1875"/>
      <c r="AB54" s="1875"/>
      <c r="AC54" s="1875"/>
    </row>
    <row r="55" spans="1:29" s="1183" customFormat="1" ht="15">
      <c r="A55" s="634" t="s">
        <v>514</v>
      </c>
      <c r="B55" s="623"/>
      <c r="C55" s="635" t="s">
        <v>559</v>
      </c>
      <c r="D55" s="636"/>
      <c r="E55" s="636"/>
      <c r="F55" s="636"/>
      <c r="G55" s="636"/>
      <c r="H55" s="636"/>
      <c r="I55" s="636"/>
      <c r="J55" s="636"/>
      <c r="K55" s="636"/>
      <c r="L55" s="637"/>
      <c r="M55" s="638"/>
      <c r="N55" s="2013"/>
      <c r="O55" s="2013"/>
      <c r="P55" s="2014"/>
      <c r="Q55" s="2009"/>
      <c r="R55" s="1875"/>
      <c r="S55" s="1875"/>
      <c r="T55" s="1875"/>
      <c r="U55" s="1875"/>
      <c r="V55" s="1875"/>
      <c r="W55" s="1875"/>
      <c r="X55" s="1875"/>
      <c r="Y55" s="1875"/>
      <c r="Z55" s="1875"/>
      <c r="AA55" s="1875"/>
      <c r="AB55" s="1875"/>
      <c r="AC55" s="1875"/>
    </row>
    <row r="56" spans="1:29" s="1183" customFormat="1" ht="15.75" thickBot="1">
      <c r="A56" s="634"/>
      <c r="B56" s="623"/>
      <c r="C56" s="624">
        <v>100</v>
      </c>
      <c r="D56" s="625"/>
      <c r="E56" s="625"/>
      <c r="F56" s="625"/>
      <c r="G56" s="625"/>
      <c r="H56" s="625"/>
      <c r="I56" s="625"/>
      <c r="J56" s="625"/>
      <c r="K56" s="625"/>
      <c r="L56" s="625"/>
      <c r="M56" s="627"/>
      <c r="N56" s="2013"/>
      <c r="O56" s="2013"/>
      <c r="P56" s="2009"/>
      <c r="Q56" s="2009"/>
      <c r="R56" s="1875"/>
      <c r="S56" s="1875"/>
      <c r="T56" s="1875"/>
      <c r="U56" s="1875"/>
      <c r="V56" s="1875"/>
      <c r="W56" s="1875"/>
      <c r="X56" s="1875"/>
      <c r="Y56" s="1875"/>
      <c r="Z56" s="1875"/>
      <c r="AA56" s="1875"/>
      <c r="AB56" s="1875"/>
      <c r="AC56" s="1875"/>
    </row>
    <row r="57" spans="1:29">
      <c r="A57" s="639" t="s">
        <v>560</v>
      </c>
      <c r="B57" s="640" t="s">
        <v>517</v>
      </c>
      <c r="C57" s="679">
        <f>C9</f>
        <v>0</v>
      </c>
      <c r="D57" s="575"/>
      <c r="E57" s="575"/>
      <c r="F57" s="575"/>
      <c r="G57" s="575"/>
      <c r="H57" s="575"/>
      <c r="I57" s="575"/>
      <c r="J57" s="575"/>
      <c r="K57" s="641"/>
      <c r="L57" s="642"/>
      <c r="M57" s="643"/>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46"/>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5"/>
      <c r="O59" s="2015"/>
      <c r="P59" s="2016"/>
      <c r="Q59" s="2009"/>
      <c r="R59" s="1997"/>
      <c r="S59" s="1997"/>
      <c r="T59" s="1997"/>
      <c r="U59" s="1997"/>
      <c r="V59" s="1997"/>
      <c r="W59" s="1997"/>
      <c r="X59" s="1997"/>
      <c r="Y59" s="1997"/>
      <c r="Z59" s="1997"/>
      <c r="AA59" s="1997"/>
      <c r="AB59" s="1997"/>
      <c r="AC59" s="1997"/>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7"/>
      <c r="O60" s="2017"/>
      <c r="P60" s="2016"/>
      <c r="Q60" s="2009"/>
      <c r="R60" s="1997"/>
      <c r="S60" s="1997"/>
      <c r="T60" s="1997"/>
      <c r="U60" s="1997"/>
      <c r="V60" s="1997"/>
      <c r="W60" s="1997"/>
      <c r="X60" s="1997"/>
      <c r="Y60" s="1997"/>
      <c r="Z60" s="1997"/>
      <c r="AA60" s="1997"/>
      <c r="AB60" s="1997"/>
      <c r="AC60" s="1997"/>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4"/>
      <c r="B62" s="658"/>
      <c r="C62" s="518"/>
      <c r="D62" s="518"/>
      <c r="E62" s="518"/>
      <c r="F62" s="518"/>
      <c r="G62" s="518"/>
      <c r="H62" s="518"/>
      <c r="I62" s="518"/>
      <c r="J62" s="518"/>
      <c r="K62" s="659"/>
      <c r="L62" s="660"/>
      <c r="M62" s="661"/>
      <c r="N62" s="2015"/>
      <c r="O62" s="2015"/>
      <c r="P62" s="2016"/>
      <c r="Q62" s="2009"/>
      <c r="R62" s="1997"/>
      <c r="S62" s="1997"/>
      <c r="T62" s="1997"/>
      <c r="U62" s="1997"/>
      <c r="V62" s="1997"/>
      <c r="W62" s="1997"/>
      <c r="X62" s="1997"/>
      <c r="Y62" s="1997"/>
      <c r="Z62" s="1997"/>
      <c r="AA62" s="1997"/>
      <c r="AB62" s="1997"/>
      <c r="AC62" s="1997"/>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7"/>
      <c r="O63" s="2017"/>
      <c r="P63" s="2016"/>
      <c r="Q63" s="2009"/>
      <c r="R63" s="1997"/>
      <c r="S63" s="1997"/>
      <c r="T63" s="1997"/>
      <c r="U63" s="1997"/>
      <c r="V63" s="1997"/>
      <c r="W63" s="1997"/>
      <c r="X63" s="1997"/>
      <c r="Y63" s="1997"/>
      <c r="Z63" s="1997"/>
      <c r="AA63" s="1997"/>
      <c r="AB63" s="1997"/>
      <c r="AC63" s="1997"/>
    </row>
    <row r="64" spans="1:29" s="1265" customFormat="1" ht="15.75" thickTop="1">
      <c r="A64" s="662"/>
      <c r="B64" s="648">
        <f>B12</f>
        <v>111</v>
      </c>
      <c r="C64" s="663"/>
      <c r="D64" s="663"/>
      <c r="E64" s="663"/>
      <c r="F64" s="663"/>
      <c r="G64" s="663"/>
      <c r="H64" s="664"/>
      <c r="I64" s="664"/>
      <c r="J64" s="664"/>
      <c r="K64" s="664"/>
      <c r="L64" s="665"/>
      <c r="M64" s="666"/>
      <c r="N64" s="2018"/>
      <c r="O64" s="2018"/>
      <c r="P64" s="2019"/>
      <c r="Q64" s="2020"/>
      <c r="R64" s="2021"/>
      <c r="S64" s="2021"/>
      <c r="T64" s="2021"/>
      <c r="U64" s="2021"/>
      <c r="V64" s="2021"/>
      <c r="W64" s="2021"/>
      <c r="X64" s="2021"/>
      <c r="Y64" s="2021"/>
      <c r="Z64" s="2021"/>
      <c r="AA64" s="2021"/>
      <c r="AB64" s="2021"/>
      <c r="AC64" s="2021"/>
    </row>
    <row r="65" spans="1:29" s="1265" customFormat="1" ht="15.75" thickBot="1">
      <c r="A65" s="662"/>
      <c r="B65" s="653"/>
      <c r="C65" s="667"/>
      <c r="D65" s="646"/>
      <c r="E65" s="646"/>
      <c r="F65" s="646"/>
      <c r="G65" s="646"/>
      <c r="H65" s="646"/>
      <c r="I65" s="646"/>
      <c r="J65" s="646"/>
      <c r="K65" s="646"/>
      <c r="L65" s="646"/>
      <c r="M65" s="647"/>
      <c r="N65" s="2017"/>
      <c r="O65" s="2017"/>
      <c r="P65" s="2019"/>
      <c r="Q65" s="2020"/>
      <c r="R65" s="2021"/>
      <c r="S65" s="2021"/>
      <c r="T65" s="2021"/>
      <c r="U65" s="2021"/>
      <c r="V65" s="2021"/>
      <c r="W65" s="2021"/>
      <c r="X65" s="2021"/>
      <c r="Y65" s="2021"/>
      <c r="Z65" s="2021"/>
      <c r="AA65" s="2021"/>
      <c r="AB65" s="2021"/>
      <c r="AC65" s="2021"/>
    </row>
    <row r="66" spans="1:29" s="1265" customFormat="1" ht="15.75" thickTop="1">
      <c r="A66" s="662"/>
      <c r="B66" s="648">
        <f>B13</f>
        <v>111</v>
      </c>
      <c r="C66" s="663"/>
      <c r="D66" s="663"/>
      <c r="E66" s="663"/>
      <c r="F66" s="663"/>
      <c r="G66" s="663"/>
      <c r="H66" s="664"/>
      <c r="I66" s="664"/>
      <c r="J66" s="664"/>
      <c r="K66" s="664"/>
      <c r="L66" s="665"/>
      <c r="M66" s="666"/>
      <c r="N66" s="2018"/>
      <c r="O66" s="2018"/>
      <c r="P66" s="2022"/>
      <c r="Q66" s="2023"/>
      <c r="R66" s="2021"/>
      <c r="S66" s="2021"/>
      <c r="T66" s="2021"/>
      <c r="U66" s="2021"/>
      <c r="V66" s="2021"/>
      <c r="W66" s="2021"/>
      <c r="X66" s="2021"/>
      <c r="Y66" s="2021"/>
      <c r="Z66" s="2021"/>
      <c r="AA66" s="2021"/>
      <c r="AB66" s="2021"/>
      <c r="AC66" s="2021"/>
    </row>
    <row r="67" spans="1:29" s="1265" customFormat="1" ht="15.75" thickBot="1">
      <c r="A67" s="662"/>
      <c r="B67" s="653"/>
      <c r="C67" s="667"/>
      <c r="D67" s="646"/>
      <c r="E67" s="646"/>
      <c r="F67" s="646"/>
      <c r="G67" s="667"/>
      <c r="H67" s="668"/>
      <c r="I67" s="668"/>
      <c r="J67" s="668"/>
      <c r="K67" s="668"/>
      <c r="L67" s="668"/>
      <c r="M67" s="669"/>
      <c r="N67" s="2018"/>
      <c r="O67" s="2018"/>
      <c r="P67" s="2019"/>
      <c r="Q67" s="2020"/>
      <c r="R67" s="2021"/>
      <c r="S67" s="2021"/>
      <c r="T67" s="2021"/>
      <c r="U67" s="2021"/>
      <c r="V67" s="2021"/>
      <c r="W67" s="2021"/>
      <c r="X67" s="2021"/>
      <c r="Y67" s="2021"/>
      <c r="Z67" s="2021"/>
      <c r="AA67" s="2021"/>
      <c r="AB67" s="2021"/>
      <c r="AC67" s="2021"/>
    </row>
    <row r="68" spans="1:29" s="1265" customFormat="1" ht="15.75" thickTop="1">
      <c r="A68" s="662"/>
      <c r="B68" s="656">
        <f>B14</f>
        <v>111</v>
      </c>
      <c r="C68" s="636"/>
      <c r="D68" s="636"/>
      <c r="E68" s="636"/>
      <c r="F68" s="636"/>
      <c r="G68" s="636"/>
      <c r="H68" s="670"/>
      <c r="I68" s="670"/>
      <c r="J68" s="670"/>
      <c r="K68" s="670"/>
      <c r="L68" s="671"/>
      <c r="M68" s="672"/>
      <c r="N68" s="2018"/>
      <c r="O68" s="2018"/>
      <c r="P68" s="2024"/>
      <c r="Q68" s="2020"/>
      <c r="R68" s="2021"/>
      <c r="S68" s="2021"/>
      <c r="T68" s="2021"/>
      <c r="U68" s="2021"/>
      <c r="V68" s="2021"/>
      <c r="W68" s="2021"/>
      <c r="X68" s="2021"/>
      <c r="Y68" s="2021"/>
      <c r="Z68" s="2021"/>
      <c r="AA68" s="2021"/>
      <c r="AB68" s="2021"/>
      <c r="AC68" s="2021"/>
    </row>
    <row r="69" spans="1:29" s="1265" customFormat="1" ht="15.75" thickBot="1">
      <c r="A69" s="673"/>
      <c r="B69" s="674"/>
      <c r="C69" s="675"/>
      <c r="D69" s="675"/>
      <c r="E69" s="675"/>
      <c r="F69" s="675"/>
      <c r="G69" s="675"/>
      <c r="H69" s="676"/>
      <c r="I69" s="676"/>
      <c r="J69" s="676"/>
      <c r="K69" s="676"/>
      <c r="L69" s="676"/>
      <c r="M69" s="677"/>
      <c r="N69" s="2018"/>
      <c r="O69" s="2018"/>
      <c r="P69" s="2019"/>
      <c r="Q69" s="2020"/>
      <c r="R69" s="2021"/>
      <c r="S69" s="2021"/>
      <c r="T69" s="2021"/>
      <c r="U69" s="2021"/>
      <c r="V69" s="2021"/>
      <c r="W69" s="2021"/>
      <c r="X69" s="2021"/>
      <c r="Y69" s="2021"/>
      <c r="Z69" s="2021"/>
      <c r="AA69" s="2021"/>
      <c r="AB69" s="2021"/>
      <c r="AC69" s="2021"/>
    </row>
    <row r="70" spans="1:29">
      <c r="A70" s="639" t="s">
        <v>522</v>
      </c>
      <c r="B70" s="640" t="s">
        <v>568</v>
      </c>
      <c r="C70" s="678" t="s">
        <v>562</v>
      </c>
      <c r="D70" s="678" t="s">
        <v>563</v>
      </c>
      <c r="E70" s="678" t="s">
        <v>564</v>
      </c>
      <c r="F70" s="678" t="s">
        <v>565</v>
      </c>
      <c r="G70" s="678" t="s">
        <v>566</v>
      </c>
      <c r="H70" s="679"/>
      <c r="I70" s="679"/>
      <c r="J70" s="679"/>
      <c r="K70" s="680"/>
      <c r="L70" s="681"/>
      <c r="M70" s="682"/>
      <c r="N70" s="2015"/>
      <c r="O70" s="2015"/>
      <c r="P70" s="2025"/>
      <c r="Q70" s="2009"/>
      <c r="R70" s="1997"/>
      <c r="S70" s="1997"/>
      <c r="T70" s="1997"/>
      <c r="U70" s="1997"/>
      <c r="V70" s="1997"/>
      <c r="W70" s="1997"/>
      <c r="X70" s="1997"/>
      <c r="Y70" s="1997"/>
      <c r="Z70" s="1997"/>
      <c r="AA70" s="1997"/>
      <c r="AB70" s="1997"/>
      <c r="AC70" s="1997"/>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7"/>
      <c r="O71" s="2017"/>
      <c r="P71" s="2016"/>
      <c r="Q71" s="2009"/>
      <c r="R71" s="1997"/>
      <c r="S71" s="1997"/>
      <c r="T71" s="1997"/>
      <c r="U71" s="1997"/>
      <c r="V71" s="1997"/>
      <c r="W71" s="1997"/>
      <c r="X71" s="1997"/>
      <c r="Y71" s="1997"/>
      <c r="Z71" s="1997"/>
      <c r="AA71" s="1997"/>
      <c r="AB71" s="1997"/>
      <c r="AC71" s="1997"/>
    </row>
    <row r="72" spans="1:29" ht="15.75" thickTop="1">
      <c r="A72" s="644"/>
      <c r="B72" s="648" t="s">
        <v>569</v>
      </c>
      <c r="C72" s="683" t="s">
        <v>562</v>
      </c>
      <c r="D72" s="683" t="s">
        <v>563</v>
      </c>
      <c r="E72" s="683" t="s">
        <v>564</v>
      </c>
      <c r="F72" s="683" t="s">
        <v>565</v>
      </c>
      <c r="G72" s="683" t="s">
        <v>566</v>
      </c>
      <c r="H72" s="649"/>
      <c r="I72" s="649"/>
      <c r="J72" s="649"/>
      <c r="K72" s="650"/>
      <c r="L72" s="651"/>
      <c r="M72" s="652"/>
      <c r="N72" s="2015"/>
      <c r="O72" s="2015"/>
      <c r="P72" s="2016"/>
      <c r="Q72" s="2009"/>
      <c r="R72" s="1997"/>
      <c r="S72" s="1997"/>
      <c r="T72" s="1997"/>
      <c r="U72" s="1997"/>
      <c r="V72" s="1997"/>
      <c r="W72" s="1997"/>
      <c r="X72" s="1997"/>
      <c r="Y72" s="1997"/>
      <c r="Z72" s="1997"/>
      <c r="AA72" s="1997"/>
      <c r="AB72" s="1997"/>
      <c r="AC72" s="1997"/>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7"/>
      <c r="O73" s="2017"/>
      <c r="P73" s="2016"/>
      <c r="Q73" s="2009"/>
      <c r="R73" s="1997"/>
      <c r="S73" s="1997"/>
      <c r="T73" s="1997"/>
      <c r="U73" s="1997"/>
      <c r="V73" s="1997"/>
      <c r="W73" s="1997"/>
      <c r="X73" s="1997"/>
      <c r="Y73" s="1997"/>
      <c r="Z73" s="1997"/>
      <c r="AA73" s="1997"/>
      <c r="AB73" s="1997"/>
      <c r="AC73" s="1997"/>
    </row>
    <row r="74" spans="1:29" ht="15.75" thickTop="1">
      <c r="A74" s="644"/>
      <c r="B74" s="1781" t="s">
        <v>2457</v>
      </c>
      <c r="C74" s="683" t="s">
        <v>562</v>
      </c>
      <c r="D74" s="683" t="s">
        <v>563</v>
      </c>
      <c r="E74" s="683" t="s">
        <v>564</v>
      </c>
      <c r="F74" s="683" t="s">
        <v>565</v>
      </c>
      <c r="G74" s="683" t="s">
        <v>566</v>
      </c>
      <c r="H74" s="649"/>
      <c r="I74" s="649"/>
      <c r="J74" s="649"/>
      <c r="K74" s="650"/>
      <c r="L74" s="651"/>
      <c r="M74" s="652"/>
      <c r="N74" s="2015"/>
      <c r="O74" s="2015"/>
      <c r="P74" s="2016"/>
      <c r="Q74" s="2009"/>
      <c r="R74" s="1997"/>
      <c r="S74" s="1997"/>
      <c r="T74" s="1997"/>
      <c r="U74" s="1997"/>
      <c r="V74" s="1997"/>
      <c r="W74" s="1997"/>
      <c r="X74" s="1997"/>
      <c r="Y74" s="1997"/>
      <c r="Z74" s="1997"/>
      <c r="AA74" s="1997"/>
      <c r="AB74" s="1997"/>
      <c r="AC74" s="1997"/>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7"/>
      <c r="O75" s="2017"/>
      <c r="P75" s="2016"/>
      <c r="Q75" s="2009"/>
      <c r="R75" s="1997"/>
      <c r="S75" s="1997"/>
      <c r="T75" s="1997"/>
      <c r="U75" s="1997"/>
      <c r="V75" s="1997"/>
      <c r="W75" s="1997"/>
      <c r="X75" s="1997"/>
      <c r="Y75" s="1997"/>
      <c r="Z75" s="1997"/>
      <c r="AA75" s="1997"/>
      <c r="AB75" s="1997"/>
      <c r="AC75" s="1997"/>
    </row>
    <row r="76" spans="1:29" ht="15.75" thickTop="1">
      <c r="A76" s="644"/>
      <c r="B76" s="2379" t="s">
        <v>2458</v>
      </c>
      <c r="C76" s="2380" t="s">
        <v>2459</v>
      </c>
      <c r="D76" s="2380" t="s">
        <v>2460</v>
      </c>
      <c r="E76" s="2380" t="s">
        <v>2461</v>
      </c>
      <c r="F76" s="2380" t="s">
        <v>2462</v>
      </c>
      <c r="G76" s="2380" t="s">
        <v>2463</v>
      </c>
      <c r="H76" s="904"/>
      <c r="I76" s="904"/>
      <c r="J76" s="904"/>
      <c r="K76" s="904"/>
      <c r="L76" s="904"/>
      <c r="M76" s="536"/>
      <c r="N76" s="2017"/>
      <c r="O76" s="2017"/>
      <c r="P76" s="2016"/>
      <c r="Q76" s="2009"/>
      <c r="R76" s="1997"/>
      <c r="S76" s="1997"/>
      <c r="T76" s="1997"/>
      <c r="U76" s="1997"/>
      <c r="V76" s="1997"/>
      <c r="W76" s="1997"/>
      <c r="X76" s="1997"/>
      <c r="Y76" s="1997"/>
      <c r="Z76" s="1997"/>
      <c r="AA76" s="1997"/>
      <c r="AB76" s="1997"/>
      <c r="AC76" s="1997"/>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767</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s="1183" customFormat="1" ht="15.75" thickTop="1">
      <c r="A80" s="684"/>
      <c r="B80" s="648">
        <f>B25</f>
        <v>111</v>
      </c>
      <c r="C80" s="663"/>
      <c r="D80" s="663"/>
      <c r="E80" s="663"/>
      <c r="F80" s="663"/>
      <c r="G80" s="663"/>
      <c r="H80" s="663"/>
      <c r="I80" s="663"/>
      <c r="J80" s="663"/>
      <c r="K80" s="663"/>
      <c r="L80" s="859"/>
      <c r="M80" s="860"/>
      <c r="N80" s="2013"/>
      <c r="O80" s="2013"/>
      <c r="P80" s="2016"/>
      <c r="Q80" s="2009"/>
      <c r="R80" s="1875"/>
      <c r="S80" s="1875"/>
      <c r="T80" s="1875"/>
      <c r="U80" s="1875"/>
      <c r="V80" s="1875"/>
      <c r="W80" s="1875"/>
      <c r="X80" s="1875"/>
      <c r="Y80" s="1875"/>
      <c r="Z80" s="1875"/>
      <c r="AA80" s="1875"/>
      <c r="AB80" s="1875"/>
      <c r="AC80" s="1875"/>
    </row>
    <row r="81" spans="1:29" s="1183" customFormat="1" ht="15.75" thickBot="1">
      <c r="A81" s="684"/>
      <c r="B81" s="653"/>
      <c r="C81" s="667"/>
      <c r="D81" s="646"/>
      <c r="E81" s="646"/>
      <c r="F81" s="646"/>
      <c r="G81" s="646"/>
      <c r="H81" s="646"/>
      <c r="I81" s="646"/>
      <c r="J81" s="646"/>
      <c r="K81" s="646"/>
      <c r="L81" s="646"/>
      <c r="M81" s="647"/>
      <c r="N81" s="2017"/>
      <c r="O81" s="2017"/>
      <c r="P81" s="2016"/>
      <c r="Q81" s="2009"/>
      <c r="R81" s="1875"/>
      <c r="S81" s="1875"/>
      <c r="T81" s="1875"/>
      <c r="U81" s="1875"/>
      <c r="V81" s="1875"/>
      <c r="W81" s="1875"/>
      <c r="X81" s="1875"/>
      <c r="Y81" s="1875"/>
      <c r="Z81" s="1875"/>
      <c r="AA81" s="1875"/>
      <c r="AB81" s="1875"/>
      <c r="AC81" s="1875"/>
    </row>
    <row r="82" spans="1:29" s="1183" customFormat="1" ht="15.75" thickTop="1">
      <c r="A82" s="684"/>
      <c r="B82" s="648">
        <f>B26</f>
        <v>111</v>
      </c>
      <c r="C82" s="663"/>
      <c r="D82" s="663"/>
      <c r="E82" s="663"/>
      <c r="F82" s="663"/>
      <c r="G82" s="663"/>
      <c r="H82" s="663"/>
      <c r="I82" s="663"/>
      <c r="J82" s="663"/>
      <c r="K82" s="663"/>
      <c r="L82" s="859"/>
      <c r="M82" s="860"/>
      <c r="N82" s="2013"/>
      <c r="O82" s="2013"/>
      <c r="P82" s="2016"/>
      <c r="Q82" s="2009"/>
      <c r="R82" s="1875"/>
      <c r="S82" s="1875"/>
      <c r="T82" s="1875"/>
      <c r="U82" s="1875"/>
      <c r="V82" s="1875"/>
      <c r="W82" s="1875"/>
      <c r="X82" s="1875"/>
      <c r="Y82" s="1875"/>
      <c r="Z82" s="1875"/>
      <c r="AA82" s="1875"/>
      <c r="AB82" s="1875"/>
      <c r="AC82" s="1875"/>
    </row>
    <row r="83" spans="1:29" s="1183" customFormat="1" ht="15.75" thickBot="1">
      <c r="A83" s="684"/>
      <c r="B83" s="653"/>
      <c r="C83" s="667"/>
      <c r="D83" s="646"/>
      <c r="E83" s="646"/>
      <c r="F83" s="646"/>
      <c r="G83" s="646"/>
      <c r="H83" s="646"/>
      <c r="I83" s="646"/>
      <c r="J83" s="646"/>
      <c r="K83" s="646"/>
      <c r="L83" s="646"/>
      <c r="M83" s="647"/>
      <c r="N83" s="2017"/>
      <c r="O83" s="2017"/>
      <c r="P83" s="2016"/>
      <c r="Q83" s="2009"/>
      <c r="R83" s="1875"/>
      <c r="S83" s="1875"/>
      <c r="T83" s="1875"/>
      <c r="U83" s="1875"/>
      <c r="V83" s="1875"/>
      <c r="W83" s="1875"/>
      <c r="X83" s="1875"/>
      <c r="Y83" s="1875"/>
      <c r="Z83" s="1875"/>
      <c r="AA83" s="1875"/>
      <c r="AB83" s="1875"/>
      <c r="AC83" s="1875"/>
    </row>
    <row r="84" spans="1:29" s="1265" customFormat="1" ht="15.75" thickTop="1">
      <c r="A84" s="662"/>
      <c r="B84" s="648">
        <f>B27</f>
        <v>111</v>
      </c>
      <c r="C84" s="663"/>
      <c r="D84" s="663"/>
      <c r="E84" s="663"/>
      <c r="F84" s="663"/>
      <c r="G84" s="663"/>
      <c r="H84" s="663"/>
      <c r="I84" s="663"/>
      <c r="J84" s="663"/>
      <c r="K84" s="663"/>
      <c r="L84" s="859"/>
      <c r="M84" s="860"/>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8"/>
      <c r="O85" s="2018"/>
      <c r="P85" s="2019"/>
      <c r="Q85" s="2020"/>
      <c r="R85" s="2021"/>
      <c r="S85" s="2021"/>
      <c r="T85" s="2021"/>
      <c r="U85" s="2021"/>
      <c r="V85" s="2021"/>
      <c r="W85" s="2021"/>
      <c r="X85" s="2021"/>
      <c r="Y85" s="2021"/>
      <c r="Z85" s="2021"/>
      <c r="AA85" s="2021"/>
      <c r="AB85" s="2021"/>
      <c r="AC85" s="2021"/>
    </row>
    <row r="86" spans="1:29" ht="15.75" thickTop="1">
      <c r="A86" s="644"/>
      <c r="B86" s="656">
        <f>B28</f>
        <v>111</v>
      </c>
      <c r="C86" s="636"/>
      <c r="D86" s="636"/>
      <c r="E86" s="636"/>
      <c r="F86" s="636"/>
      <c r="G86" s="697"/>
      <c r="H86" s="697"/>
      <c r="I86" s="697"/>
      <c r="J86" s="697"/>
      <c r="K86" s="698"/>
      <c r="L86" s="699"/>
      <c r="M86" s="700"/>
      <c r="N86" s="2015"/>
      <c r="O86" s="2015"/>
      <c r="P86" s="2016"/>
      <c r="Q86" s="2009"/>
      <c r="R86" s="1997"/>
      <c r="S86" s="1997"/>
      <c r="T86" s="1997"/>
      <c r="U86" s="1997"/>
      <c r="V86" s="1997"/>
      <c r="W86" s="1997"/>
      <c r="X86" s="1997"/>
      <c r="Y86" s="1997"/>
      <c r="Z86" s="1997"/>
      <c r="AA86" s="1997"/>
      <c r="AB86" s="1997"/>
      <c r="AC86" s="1997"/>
    </row>
    <row r="87" spans="1:29" ht="15.75" thickBot="1">
      <c r="A87" s="862"/>
      <c r="B87" s="674"/>
      <c r="C87" s="675"/>
      <c r="D87" s="675"/>
      <c r="E87" s="675"/>
      <c r="F87" s="675"/>
      <c r="G87" s="701"/>
      <c r="H87" s="701"/>
      <c r="I87" s="701"/>
      <c r="J87" s="701"/>
      <c r="K87" s="701"/>
      <c r="L87" s="701"/>
      <c r="M87" s="702"/>
      <c r="N87" s="2017"/>
      <c r="O87" s="2017"/>
      <c r="P87" s="2016"/>
      <c r="Q87" s="2009"/>
      <c r="R87" s="1997"/>
      <c r="S87" s="1997"/>
      <c r="T87" s="1997"/>
      <c r="U87" s="1997"/>
      <c r="V87" s="1997"/>
      <c r="W87" s="1997"/>
      <c r="X87" s="1997"/>
      <c r="Y87" s="1997"/>
      <c r="Z87" s="1997"/>
      <c r="AA87" s="1997"/>
      <c r="AB87" s="1997"/>
      <c r="AC87" s="1997"/>
    </row>
    <row r="88" spans="1:29">
      <c r="A88" s="639" t="s">
        <v>534</v>
      </c>
      <c r="B88" s="640" t="s">
        <v>730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3"/>
      <c r="O90" s="2013"/>
      <c r="P90" s="2016"/>
      <c r="Q90" s="2009"/>
      <c r="R90" s="1997"/>
      <c r="S90" s="1997"/>
      <c r="T90" s="1997"/>
      <c r="U90" s="1997"/>
      <c r="V90" s="1997"/>
      <c r="W90" s="1997"/>
      <c r="X90" s="1997"/>
      <c r="Y90" s="1997"/>
      <c r="Z90" s="1997"/>
      <c r="AA90" s="1997"/>
      <c r="AB90" s="1997"/>
      <c r="AC90" s="1997"/>
    </row>
    <row r="91" spans="1:29" s="1265" customFormat="1">
      <c r="A91" s="703"/>
      <c r="B91" s="704"/>
      <c r="C91" s="705"/>
      <c r="D91" s="705"/>
      <c r="E91" s="705"/>
      <c r="F91" s="705"/>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c r="D92" s="646"/>
      <c r="E92" s="646"/>
      <c r="F92" s="646"/>
      <c r="G92" s="646"/>
      <c r="H92" s="646"/>
      <c r="I92" s="646"/>
      <c r="J92" s="646"/>
      <c r="K92" s="646"/>
      <c r="L92" s="646"/>
      <c r="M92" s="647"/>
      <c r="N92" s="2017"/>
      <c r="O92" s="2017"/>
      <c r="P92" s="2019"/>
      <c r="Q92" s="2020"/>
      <c r="R92" s="2021"/>
      <c r="S92" s="2021"/>
      <c r="T92" s="2021"/>
      <c r="U92" s="2021"/>
      <c r="V92" s="2021"/>
      <c r="W92" s="2021"/>
      <c r="X92" s="2021"/>
      <c r="Y92" s="2021"/>
      <c r="Z92" s="2021"/>
      <c r="AA92" s="2021"/>
      <c r="AB92" s="2021"/>
      <c r="AC92" s="2021"/>
    </row>
    <row r="93" spans="1:29" ht="15" thickTop="1">
      <c r="A93" s="710"/>
      <c r="B93" s="648" t="s">
        <v>732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734</v>
      </c>
      <c r="C95" s="663"/>
      <c r="D95" s="663"/>
      <c r="E95" s="663"/>
      <c r="F95" s="693"/>
      <c r="G95" s="693"/>
      <c r="H95" s="693"/>
      <c r="I95" s="693"/>
      <c r="J95" s="693"/>
      <c r="K95" s="694"/>
      <c r="L95" s="695"/>
      <c r="M95" s="696"/>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5"/>
      <c r="O97" s="2015"/>
      <c r="P97" s="2016"/>
      <c r="Q97" s="2009"/>
      <c r="R97" s="1997"/>
      <c r="S97" s="1997"/>
      <c r="T97" s="1997"/>
      <c r="U97" s="1997"/>
      <c r="V97" s="1997"/>
      <c r="W97" s="1997"/>
      <c r="X97" s="1997"/>
      <c r="Y97" s="1997"/>
      <c r="Z97" s="1997"/>
      <c r="AA97" s="1997"/>
      <c r="AB97" s="1997"/>
      <c r="AC97" s="1997"/>
    </row>
    <row r="98" spans="1:29">
      <c r="A98" s="710"/>
      <c r="B98" s="656"/>
      <c r="C98" s="863">
        <v>0.5</v>
      </c>
      <c r="D98" s="863">
        <v>0.6</v>
      </c>
      <c r="E98" s="863">
        <v>0.7</v>
      </c>
      <c r="F98" s="863">
        <v>0.8</v>
      </c>
      <c r="G98" s="863">
        <v>0.9</v>
      </c>
      <c r="H98" s="863">
        <v>1.0001</v>
      </c>
      <c r="I98" s="874"/>
      <c r="J98" s="874"/>
      <c r="K98" s="875"/>
      <c r="L98" s="876"/>
      <c r="M98" s="877"/>
      <c r="N98" s="2015"/>
      <c r="O98" s="2015"/>
      <c r="P98" s="2016"/>
      <c r="Q98" s="2009"/>
      <c r="R98" s="1997"/>
      <c r="S98" s="1997"/>
      <c r="T98" s="1997"/>
      <c r="U98" s="1997"/>
      <c r="V98" s="1997"/>
      <c r="W98" s="1997"/>
      <c r="X98" s="1997"/>
      <c r="Y98" s="1997"/>
      <c r="Z98" s="1997"/>
      <c r="AA98" s="1997"/>
      <c r="AB98" s="1997"/>
      <c r="AC98" s="1997"/>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7"/>
      <c r="O99" s="2017"/>
      <c r="P99" s="2016"/>
      <c r="Q99" s="2009"/>
      <c r="R99" s="1997"/>
      <c r="S99" s="1997"/>
      <c r="T99" s="1997"/>
      <c r="U99" s="1997"/>
      <c r="V99" s="1997"/>
      <c r="W99" s="1997"/>
      <c r="X99" s="1997"/>
      <c r="Y99" s="1997"/>
      <c r="Z99" s="1997"/>
      <c r="AA99" s="1997"/>
      <c r="AB99" s="1997"/>
      <c r="AC99" s="1997"/>
    </row>
    <row r="100" spans="1:29" s="1265" customFormat="1" ht="15" thickTop="1">
      <c r="A100" s="703"/>
      <c r="B100" s="648" t="s">
        <v>736</v>
      </c>
      <c r="C100" s="663"/>
      <c r="D100" s="663"/>
      <c r="E100" s="663"/>
      <c r="F100" s="663"/>
      <c r="G100" s="663"/>
      <c r="H100" s="693"/>
      <c r="I100" s="693"/>
      <c r="J100" s="693"/>
      <c r="K100" s="694"/>
      <c r="L100" s="695"/>
      <c r="M100" s="696"/>
      <c r="N100" s="2018"/>
      <c r="O100" s="2018"/>
      <c r="P100" s="2019"/>
      <c r="Q100" s="2020"/>
      <c r="R100" s="2021"/>
      <c r="S100" s="2021"/>
      <c r="T100" s="2021"/>
      <c r="U100" s="2021"/>
      <c r="V100" s="2021"/>
      <c r="W100" s="2021"/>
      <c r="X100" s="2021"/>
      <c r="Y100" s="2021"/>
      <c r="Z100" s="2021"/>
      <c r="AA100" s="2021"/>
      <c r="AB100" s="2021"/>
      <c r="AC100" s="2021"/>
    </row>
    <row r="101" spans="1:29" s="1265"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10"/>
      <c r="B102" s="1781" t="s">
        <v>2456</v>
      </c>
      <c r="C102" s="663"/>
      <c r="D102" s="663"/>
      <c r="E102" s="663"/>
      <c r="F102" s="663"/>
      <c r="G102" s="663"/>
      <c r="H102" s="693"/>
      <c r="I102" s="693"/>
      <c r="J102" s="693"/>
      <c r="K102" s="694"/>
      <c r="L102" s="695"/>
      <c r="M102" s="696"/>
      <c r="N102" s="2015"/>
      <c r="O102" s="2015"/>
      <c r="P102" s="2016"/>
      <c r="Q102" s="2009"/>
      <c r="R102" s="1997"/>
      <c r="S102" s="1997"/>
      <c r="T102" s="1997"/>
      <c r="U102" s="1997"/>
      <c r="V102" s="1997"/>
      <c r="W102" s="1997"/>
      <c r="X102" s="1997"/>
      <c r="Y102" s="1997"/>
      <c r="Z102" s="1997"/>
      <c r="AA102" s="1997"/>
      <c r="AB102" s="1997"/>
      <c r="AC102" s="1997"/>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10"/>
      <c r="B104" s="648" t="s">
        <v>738</v>
      </c>
      <c r="C104" s="663"/>
      <c r="D104" s="663"/>
      <c r="E104" s="663"/>
      <c r="F104" s="663"/>
      <c r="G104" s="663"/>
      <c r="H104" s="693"/>
      <c r="I104" s="693"/>
      <c r="J104" s="693"/>
      <c r="K104" s="694"/>
      <c r="L104" s="695"/>
      <c r="M104" s="696"/>
      <c r="N104" s="2015"/>
      <c r="O104" s="2015"/>
      <c r="P104" s="2016"/>
      <c r="Q104" s="2009"/>
      <c r="R104" s="1997"/>
      <c r="S104" s="1997"/>
      <c r="T104" s="1997"/>
      <c r="U104" s="1997"/>
      <c r="V104" s="1997"/>
      <c r="W104" s="1997"/>
      <c r="X104" s="1997"/>
      <c r="Y104" s="1997"/>
      <c r="Z104" s="1997"/>
      <c r="AA104" s="1997"/>
      <c r="AB104" s="1997"/>
      <c r="AC104" s="1997"/>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7"/>
      <c r="O105" s="2017"/>
      <c r="P105" s="2016"/>
      <c r="Q105" s="2009"/>
      <c r="R105" s="1997"/>
      <c r="S105" s="1997"/>
      <c r="T105" s="1997"/>
      <c r="U105" s="1997"/>
      <c r="V105" s="1997"/>
      <c r="W105" s="1997"/>
      <c r="X105" s="1997"/>
      <c r="Y105" s="1997"/>
      <c r="Z105" s="1997"/>
      <c r="AA105" s="1997"/>
      <c r="AB105" s="1997"/>
      <c r="AC105" s="1997"/>
    </row>
    <row r="106" spans="1:29" ht="27.75" thickTop="1">
      <c r="A106" s="710"/>
      <c r="B106" s="886" t="s">
        <v>774</v>
      </c>
      <c r="C106" s="683" t="s">
        <v>562</v>
      </c>
      <c r="D106" s="683" t="s">
        <v>563</v>
      </c>
      <c r="E106" s="683" t="s">
        <v>564</v>
      </c>
      <c r="F106" s="683" t="s">
        <v>565</v>
      </c>
      <c r="G106" s="683" t="s">
        <v>566</v>
      </c>
      <c r="H106" s="649"/>
      <c r="I106" s="649"/>
      <c r="J106" s="649"/>
      <c r="K106" s="650"/>
      <c r="L106" s="651"/>
      <c r="M106" s="652"/>
      <c r="N106" s="2017"/>
      <c r="O106" s="2017"/>
      <c r="P106" s="2056"/>
      <c r="Q106" s="2057"/>
      <c r="R106" s="1997"/>
      <c r="S106" s="1997"/>
      <c r="T106" s="1997"/>
      <c r="U106" s="1997"/>
      <c r="V106" s="1997"/>
      <c r="W106" s="1997"/>
      <c r="X106" s="1997"/>
      <c r="Y106" s="1997"/>
      <c r="Z106" s="1997"/>
      <c r="AA106" s="1997"/>
      <c r="AB106" s="1997"/>
      <c r="AC106" s="1997"/>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7"/>
      <c r="O107" s="2017"/>
      <c r="P107" s="2016"/>
      <c r="Q107" s="2009"/>
      <c r="R107" s="1997"/>
      <c r="S107" s="1997"/>
      <c r="T107" s="1997"/>
      <c r="U107" s="1997"/>
      <c r="V107" s="1997"/>
      <c r="W107" s="1997"/>
      <c r="X107" s="1997"/>
      <c r="Y107" s="1997"/>
      <c r="Z107" s="1997"/>
      <c r="AA107" s="1997"/>
      <c r="AB107" s="1997"/>
      <c r="AC107" s="1997"/>
    </row>
    <row r="108" spans="1:29" s="1265" customFormat="1" ht="15" thickTop="1">
      <c r="A108" s="703"/>
      <c r="B108" s="648">
        <f>B38</f>
        <v>111</v>
      </c>
      <c r="C108" s="663"/>
      <c r="D108" s="663"/>
      <c r="E108" s="663"/>
      <c r="F108" s="663"/>
      <c r="G108" s="663"/>
      <c r="H108" s="664"/>
      <c r="I108" s="664"/>
      <c r="J108" s="664"/>
      <c r="K108" s="664"/>
      <c r="L108" s="665"/>
      <c r="M108" s="666"/>
      <c r="N108" s="2018"/>
      <c r="O108" s="2018"/>
      <c r="P108" s="2019"/>
      <c r="Q108" s="2020"/>
      <c r="R108" s="2021"/>
      <c r="S108" s="2021"/>
      <c r="T108" s="2021"/>
      <c r="U108" s="2021"/>
      <c r="V108" s="2021"/>
      <c r="W108" s="2021"/>
      <c r="X108" s="2021"/>
      <c r="Y108" s="2021"/>
      <c r="Z108" s="2021"/>
      <c r="AA108" s="2021"/>
      <c r="AB108" s="2021"/>
      <c r="AC108" s="2021"/>
    </row>
    <row r="109" spans="1:29" s="1265" customFormat="1" ht="15.75" thickBot="1">
      <c r="A109" s="662"/>
      <c r="B109" s="645"/>
      <c r="C109" s="667"/>
      <c r="D109" s="646"/>
      <c r="E109" s="646"/>
      <c r="F109" s="646"/>
      <c r="G109" s="667"/>
      <c r="H109" s="668"/>
      <c r="I109" s="668"/>
      <c r="J109" s="668"/>
      <c r="K109" s="668"/>
      <c r="L109" s="668"/>
      <c r="M109" s="669"/>
      <c r="N109" s="2018"/>
      <c r="O109" s="2018"/>
      <c r="P109" s="2019"/>
      <c r="Q109" s="2020"/>
      <c r="R109" s="2021"/>
      <c r="S109" s="2021"/>
      <c r="T109" s="2021"/>
      <c r="U109" s="2021"/>
      <c r="V109" s="2021"/>
      <c r="W109" s="2021"/>
      <c r="X109" s="2021"/>
      <c r="Y109" s="2021"/>
      <c r="Z109" s="2021"/>
      <c r="AA109" s="2021"/>
      <c r="AB109" s="2021"/>
      <c r="AC109" s="2021"/>
    </row>
    <row r="110" spans="1:29" ht="15" thickTop="1">
      <c r="A110" s="710"/>
      <c r="B110" s="648">
        <f>B39</f>
        <v>111</v>
      </c>
      <c r="C110" s="663"/>
      <c r="D110" s="663"/>
      <c r="E110" s="663"/>
      <c r="F110" s="663"/>
      <c r="G110" s="663"/>
      <c r="H110" s="664"/>
      <c r="I110" s="664"/>
      <c r="J110" s="664"/>
      <c r="K110" s="664"/>
      <c r="L110" s="665"/>
      <c r="M110" s="66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67"/>
      <c r="D111" s="646"/>
      <c r="E111" s="646"/>
      <c r="F111" s="646"/>
      <c r="G111" s="667"/>
      <c r="H111" s="668"/>
      <c r="I111" s="668"/>
      <c r="J111" s="668"/>
      <c r="K111" s="668"/>
      <c r="L111" s="668"/>
      <c r="M111" s="669"/>
      <c r="N111" s="2017"/>
      <c r="O111" s="2017"/>
      <c r="P111" s="2016"/>
      <c r="Q111" s="2009"/>
      <c r="R111" s="1997"/>
      <c r="S111" s="1997"/>
      <c r="T111" s="1997"/>
      <c r="U111" s="1997"/>
      <c r="V111" s="1997"/>
      <c r="W111" s="1997"/>
      <c r="X111" s="1997"/>
      <c r="Y111" s="1997"/>
      <c r="Z111" s="1997"/>
      <c r="AA111" s="1997"/>
      <c r="AB111" s="1997"/>
      <c r="AC111" s="1997"/>
    </row>
    <row r="112" spans="1:29" ht="15" thickTop="1">
      <c r="A112" s="710"/>
      <c r="B112" s="656">
        <f>B40</f>
        <v>111</v>
      </c>
      <c r="C112" s="636"/>
      <c r="D112" s="636"/>
      <c r="E112" s="636"/>
      <c r="F112" s="636"/>
      <c r="G112" s="697"/>
      <c r="H112" s="697"/>
      <c r="I112" s="697"/>
      <c r="J112" s="697"/>
      <c r="K112" s="636"/>
      <c r="L112" s="637"/>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862"/>
      <c r="B113" s="674"/>
      <c r="C113" s="675"/>
      <c r="D113" s="675"/>
      <c r="E113" s="675"/>
      <c r="F113" s="675"/>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4" t="s">
        <v>2275</v>
      </c>
      <c r="C1" s="3748" t="s">
        <v>2276</v>
      </c>
      <c r="D1" s="3749"/>
      <c r="E1" s="3749"/>
      <c r="F1" s="3749"/>
      <c r="G1" s="3749"/>
      <c r="H1" s="3749"/>
      <c r="I1" s="3749"/>
      <c r="J1" s="3749"/>
      <c r="K1" s="3749"/>
      <c r="L1" s="3749"/>
      <c r="M1" s="3749"/>
      <c r="N1" s="3749"/>
      <c r="O1" s="3749"/>
      <c r="P1" s="3749"/>
      <c r="Q1" s="3749"/>
      <c r="R1" s="3749"/>
      <c r="S1" s="3750"/>
      <c r="T1" s="2084" t="s">
        <v>2277</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5"/>
      <c r="B2" s="2794"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6" t="str">
        <f>S3&amp;"(含)"&amp;"-"</f>
        <v>(含)-</v>
      </c>
      <c r="T2" s="920"/>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5" customFormat="1">
      <c r="A3" s="2088"/>
      <c r="B3" s="921"/>
      <c r="C3" s="922"/>
      <c r="D3" s="923"/>
      <c r="E3" s="923"/>
      <c r="F3" s="923"/>
      <c r="G3" s="923"/>
      <c r="H3" s="923"/>
      <c r="I3" s="923"/>
      <c r="J3" s="924"/>
      <c r="K3" s="924"/>
      <c r="L3" s="925"/>
      <c r="M3" s="2089"/>
      <c r="N3" s="2090"/>
      <c r="O3" s="923"/>
      <c r="P3" s="923"/>
      <c r="Q3" s="923"/>
      <c r="R3" s="923"/>
      <c r="S3" s="2091"/>
      <c r="T3" s="926"/>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5"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6" customFormat="1">
      <c r="A5" s="2101"/>
      <c r="B5" s="2711" t="s">
        <v>2807</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6" customFormat="1" ht="13.5" thickBot="1">
      <c r="A6" s="2101"/>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6" customFormat="1">
      <c r="A7" s="2101"/>
      <c r="B7" s="2713" t="s">
        <v>2806</v>
      </c>
      <c r="C7" s="1845"/>
      <c r="D7" s="1846"/>
      <c r="E7" s="1846"/>
      <c r="F7" s="1846"/>
      <c r="G7" s="1846"/>
      <c r="H7" s="1846"/>
      <c r="I7" s="1846"/>
      <c r="J7" s="1846"/>
      <c r="K7" s="1846"/>
      <c r="L7" s="1846"/>
      <c r="M7" s="2109"/>
      <c r="N7" s="2110"/>
      <c r="O7" s="2111"/>
      <c r="P7" s="2112"/>
      <c r="Q7" s="2113"/>
      <c r="R7" s="2114"/>
      <c r="S7" s="2115"/>
      <c r="T7" s="927"/>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6" customFormat="1" ht="13.5" thickBot="1">
      <c r="A8" s="2101"/>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6" customFormat="1">
      <c r="A9" s="2101"/>
      <c r="B9" s="2713" t="s">
        <v>2805</v>
      </c>
      <c r="C9" s="1845"/>
      <c r="D9" s="1846"/>
      <c r="E9" s="1846"/>
      <c r="F9" s="1846"/>
      <c r="G9" s="1846"/>
      <c r="H9" s="1846"/>
      <c r="I9" s="1846"/>
      <c r="J9" s="1846"/>
      <c r="K9" s="1846"/>
      <c r="L9" s="1847"/>
      <c r="M9" s="2109"/>
      <c r="N9" s="2110"/>
      <c r="O9" s="2111"/>
      <c r="P9" s="2112"/>
      <c r="Q9" s="2113"/>
      <c r="R9" s="2114"/>
      <c r="S9" s="2115"/>
      <c r="T9" s="927"/>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6" customFormat="1" ht="13.5" thickBot="1">
      <c r="A10" s="2101"/>
      <c r="B10" s="271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6" customFormat="1">
      <c r="A11" s="2101"/>
      <c r="B11" s="2711" t="s">
        <v>2818</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6" customFormat="1" ht="13.5" thickBot="1">
      <c r="A12" s="2101"/>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6" customFormat="1">
      <c r="A13" s="2101"/>
      <c r="B13" s="2711" t="s">
        <v>2804</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6" customFormat="1" ht="13.5" thickBot="1">
      <c r="A14" s="2101"/>
      <c r="B14" s="1848"/>
      <c r="C14" s="1849"/>
      <c r="D14" s="1850"/>
      <c r="E14" s="1850"/>
      <c r="F14" s="1850"/>
      <c r="G14" s="1850"/>
      <c r="H14" s="1850"/>
      <c r="I14" s="1850"/>
      <c r="J14" s="1850"/>
      <c r="K14" s="1850"/>
      <c r="L14" s="1850"/>
      <c r="M14" s="2125"/>
      <c r="N14" s="2125"/>
      <c r="O14" s="1850"/>
      <c r="P14" s="1850"/>
      <c r="Q14" s="1850"/>
      <c r="R14" s="1850"/>
      <c r="S14" s="2126"/>
      <c r="T14" s="1851"/>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6" customFormat="1">
      <c r="A15" s="2101"/>
      <c r="B15" s="2711" t="s">
        <v>2803</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6"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4" customFormat="1">
      <c r="A17" s="2127" t="s">
        <v>2279</v>
      </c>
      <c r="B17" s="2128" t="s">
        <v>2280</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4"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7"/>
      <c r="C19" s="1872"/>
      <c r="D19" s="1872"/>
      <c r="E19" s="1872"/>
      <c r="F19" s="1872"/>
      <c r="G19" s="1872"/>
      <c r="H19" s="1872"/>
      <c r="I19" s="1872"/>
      <c r="J19" s="1872"/>
      <c r="K19" s="1872"/>
      <c r="L19" s="1872"/>
      <c r="M19" s="1872"/>
      <c r="N19" s="1872"/>
      <c r="O19" s="1872"/>
      <c r="P19" s="1872"/>
      <c r="Q19" s="1872"/>
      <c r="R19" s="2075"/>
      <c r="S19" s="1881"/>
    </row>
    <row r="20" spans="1:45" ht="15.75">
      <c r="A20" s="928" t="s">
        <v>811</v>
      </c>
      <c r="B20" s="748">
        <f>S22</f>
        <v>0</v>
      </c>
      <c r="C20" s="1872"/>
      <c r="D20" s="1872"/>
      <c r="E20" s="1872"/>
      <c r="F20" s="1872"/>
      <c r="G20" s="1872"/>
      <c r="H20" s="1872"/>
      <c r="I20" s="1872"/>
      <c r="J20" s="1872"/>
      <c r="K20" s="1872"/>
      <c r="L20" s="1872"/>
      <c r="M20" s="1872"/>
      <c r="N20" s="1872"/>
      <c r="O20" s="1872"/>
      <c r="P20" s="1872"/>
      <c r="Q20" s="1872"/>
      <c r="R20" s="2075"/>
      <c r="S20" s="1881"/>
    </row>
    <row r="21" spans="1:45" ht="15.75">
      <c r="A21" s="928" t="str">
        <f>IF(B23="土地面积","地面单价","楼面单价")</f>
        <v>楼面单价</v>
      </c>
      <c r="B21" s="748" t="e">
        <f>R22</f>
        <v>#DIV/0!</v>
      </c>
      <c r="C21" s="1872"/>
      <c r="D21" s="1872"/>
      <c r="E21" s="1872"/>
      <c r="F21" s="1872"/>
      <c r="G21" s="1872"/>
      <c r="H21" s="1872"/>
      <c r="I21" s="1872"/>
      <c r="J21" s="1872"/>
      <c r="K21" s="1872"/>
      <c r="L21" s="1872"/>
      <c r="M21" s="1872"/>
      <c r="N21" s="1872"/>
      <c r="O21" s="1872"/>
      <c r="P21" s="1872"/>
      <c r="Q21" s="1872"/>
      <c r="R21" s="2075"/>
      <c r="S21" s="1881"/>
    </row>
    <row r="22" spans="1:45">
      <c r="A22" s="772" t="s">
        <v>812</v>
      </c>
      <c r="B22" s="53">
        <f>SUM(B24:B10000)</f>
        <v>0</v>
      </c>
      <c r="C22" s="3745" t="s">
        <v>20</v>
      </c>
      <c r="D22" s="3746"/>
      <c r="E22" s="3746"/>
      <c r="F22" s="3746"/>
      <c r="G22" s="3746"/>
      <c r="H22" s="3746"/>
      <c r="I22" s="3746"/>
      <c r="J22" s="3746"/>
      <c r="K22" s="3746"/>
      <c r="L22" s="3746"/>
      <c r="M22" s="3746"/>
      <c r="N22" s="3746"/>
      <c r="O22" s="3746"/>
      <c r="P22" s="3746"/>
      <c r="Q22" s="3747"/>
      <c r="R22" s="474" t="e">
        <f>ROUND(S22*10000/B22,0)</f>
        <v>#DIV/0!</v>
      </c>
      <c r="S22" s="53">
        <f>SUM(S24:S10000)</f>
        <v>0</v>
      </c>
    </row>
    <row r="23" spans="1:45" s="1515" customFormat="1" ht="24">
      <c r="A23" s="17" t="s">
        <v>813</v>
      </c>
      <c r="B23" s="2795"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29" t="s">
        <v>817</v>
      </c>
      <c r="B24" s="929"/>
      <c r="C24" s="3208">
        <v>1</v>
      </c>
      <c r="D24" s="3209"/>
      <c r="E24" s="3208">
        <v>1</v>
      </c>
      <c r="F24" s="3209"/>
      <c r="G24" s="3208">
        <v>1</v>
      </c>
      <c r="H24" s="3209"/>
      <c r="I24" s="3208">
        <v>1</v>
      </c>
      <c r="J24" s="3209"/>
      <c r="K24" s="3208">
        <v>1</v>
      </c>
      <c r="L24" s="3209"/>
      <c r="M24" s="3208">
        <v>1</v>
      </c>
      <c r="N24" s="3209"/>
      <c r="O24" s="3208">
        <v>1</v>
      </c>
      <c r="P24" s="3209"/>
      <c r="Q24" s="3208">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4">
        <f>IF(B25="",0,ROUND($R$24*C25*E25*G25*I25*K25*M25*O25*Q25,0))</f>
        <v>0</v>
      </c>
      <c r="S25" s="772">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4">
        <f t="shared" ref="R26:R89" si="20">IF(B26="",0,ROUND($R$24*C26*E26*G26*I26*K26*M26*O26*Q26,0))</f>
        <v>0</v>
      </c>
      <c r="S26" s="772">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4">
        <f t="shared" si="20"/>
        <v>0</v>
      </c>
      <c r="S27" s="772">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4">
        <f t="shared" si="20"/>
        <v>0</v>
      </c>
      <c r="S28" s="772">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4">
        <f t="shared" si="20"/>
        <v>0</v>
      </c>
      <c r="S29" s="772">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4">
        <f t="shared" si="20"/>
        <v>0</v>
      </c>
      <c r="S30" s="772">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4">
        <f t="shared" si="20"/>
        <v>0</v>
      </c>
      <c r="S31" s="772">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4">
        <f t="shared" si="20"/>
        <v>0</v>
      </c>
      <c r="S32" s="772">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4">
        <f t="shared" si="20"/>
        <v>0</v>
      </c>
      <c r="S33" s="772">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4">
        <f t="shared" si="20"/>
        <v>0</v>
      </c>
      <c r="S34" s="772">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4">
        <f t="shared" si="20"/>
        <v>0</v>
      </c>
      <c r="S35" s="772">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4">
        <f t="shared" si="20"/>
        <v>0</v>
      </c>
      <c r="S36" s="772">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4">
        <f t="shared" si="20"/>
        <v>0</v>
      </c>
      <c r="S37" s="772">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4">
        <f t="shared" si="20"/>
        <v>0</v>
      </c>
      <c r="S38" s="772">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4">
        <f t="shared" si="20"/>
        <v>0</v>
      </c>
      <c r="S39" s="772">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4">
        <f t="shared" si="20"/>
        <v>0</v>
      </c>
      <c r="S40" s="772">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4">
        <f t="shared" si="20"/>
        <v>0</v>
      </c>
      <c r="S41" s="772">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4">
        <f t="shared" si="20"/>
        <v>0</v>
      </c>
      <c r="S42" s="772">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4">
        <f t="shared" si="20"/>
        <v>0</v>
      </c>
      <c r="S43" s="772">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4">
        <f t="shared" si="20"/>
        <v>0</v>
      </c>
      <c r="S44" s="772">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4">
        <f t="shared" si="20"/>
        <v>0</v>
      </c>
      <c r="S45" s="772">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4">
        <f t="shared" si="20"/>
        <v>0</v>
      </c>
      <c r="S46" s="772">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4">
        <f t="shared" si="20"/>
        <v>0</v>
      </c>
      <c r="S47" s="772">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4">
        <f t="shared" si="20"/>
        <v>0</v>
      </c>
      <c r="S48" s="772">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4">
        <f t="shared" si="20"/>
        <v>0</v>
      </c>
      <c r="S49" s="772">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4">
        <f t="shared" si="20"/>
        <v>0</v>
      </c>
      <c r="S50" s="772">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4">
        <f t="shared" si="20"/>
        <v>0</v>
      </c>
      <c r="S51" s="772">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4">
        <f t="shared" si="20"/>
        <v>0</v>
      </c>
      <c r="S52" s="772">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4">
        <f t="shared" si="20"/>
        <v>0</v>
      </c>
      <c r="S53" s="772">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4">
        <f t="shared" si="20"/>
        <v>0</v>
      </c>
      <c r="S54" s="772">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4">
        <f t="shared" si="20"/>
        <v>0</v>
      </c>
      <c r="S55" s="772">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4">
        <f t="shared" si="20"/>
        <v>0</v>
      </c>
      <c r="S56" s="772">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4">
        <f t="shared" si="20"/>
        <v>0</v>
      </c>
      <c r="S57" s="772">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4">
        <f t="shared" si="20"/>
        <v>0</v>
      </c>
      <c r="S58" s="772">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4">
        <f t="shared" si="20"/>
        <v>0</v>
      </c>
      <c r="S59" s="772">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4">
        <f t="shared" si="20"/>
        <v>0</v>
      </c>
      <c r="S60" s="772">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4">
        <f t="shared" si="20"/>
        <v>0</v>
      </c>
      <c r="S61" s="772">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4">
        <f t="shared" si="20"/>
        <v>0</v>
      </c>
      <c r="S62" s="772">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4">
        <f t="shared" si="20"/>
        <v>0</v>
      </c>
      <c r="S63" s="772">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4">
        <f t="shared" si="20"/>
        <v>0</v>
      </c>
      <c r="S64" s="772">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4">
        <f t="shared" si="20"/>
        <v>0</v>
      </c>
      <c r="S65" s="772">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4">
        <f t="shared" si="20"/>
        <v>0</v>
      </c>
      <c r="S66" s="772">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4">
        <f t="shared" si="20"/>
        <v>0</v>
      </c>
      <c r="S67" s="772">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4">
        <f t="shared" si="20"/>
        <v>0</v>
      </c>
      <c r="S68" s="772">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4">
        <f t="shared" si="20"/>
        <v>0</v>
      </c>
      <c r="S69" s="772">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4">
        <f t="shared" si="20"/>
        <v>0</v>
      </c>
      <c r="S70" s="772">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4">
        <f t="shared" si="20"/>
        <v>0</v>
      </c>
      <c r="S71" s="772">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4">
        <f t="shared" si="20"/>
        <v>0</v>
      </c>
      <c r="S72" s="772">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4">
        <f t="shared" si="20"/>
        <v>0</v>
      </c>
      <c r="S73" s="772">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4">
        <f t="shared" si="20"/>
        <v>0</v>
      </c>
      <c r="S74" s="772">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4">
        <f t="shared" si="20"/>
        <v>0</v>
      </c>
      <c r="S75" s="772">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4">
        <f t="shared" si="20"/>
        <v>0</v>
      </c>
      <c r="S76" s="772">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4">
        <f t="shared" si="20"/>
        <v>0</v>
      </c>
      <c r="S77" s="772">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4">
        <f t="shared" si="20"/>
        <v>0</v>
      </c>
      <c r="S78" s="772">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4">
        <f t="shared" si="20"/>
        <v>0</v>
      </c>
      <c r="S79" s="772">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4">
        <f t="shared" si="20"/>
        <v>0</v>
      </c>
      <c r="S80" s="772">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4">
        <f t="shared" si="20"/>
        <v>0</v>
      </c>
      <c r="S81" s="772">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4">
        <f t="shared" si="20"/>
        <v>0</v>
      </c>
      <c r="S82" s="772">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4">
        <f t="shared" si="20"/>
        <v>0</v>
      </c>
      <c r="S83" s="772">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4">
        <f t="shared" si="20"/>
        <v>0</v>
      </c>
      <c r="S84" s="772">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4">
        <f t="shared" si="20"/>
        <v>0</v>
      </c>
      <c r="S85" s="772">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4">
        <f t="shared" si="20"/>
        <v>0</v>
      </c>
      <c r="S86" s="772">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4">
        <f t="shared" si="20"/>
        <v>0</v>
      </c>
      <c r="S87" s="772">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4">
        <f t="shared" si="20"/>
        <v>0</v>
      </c>
      <c r="S88" s="772">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4">
        <f t="shared" si="20"/>
        <v>0</v>
      </c>
      <c r="S89" s="772">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4">
        <f t="shared" ref="R90:R153" si="31">IF(B90="",0,ROUND($R$24*C90*E90*G90*I90*K90*M90*O90*Q90,0))</f>
        <v>0</v>
      </c>
      <c r="S90" s="772">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4">
        <f t="shared" si="31"/>
        <v>0</v>
      </c>
      <c r="S91" s="772">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4">
        <f t="shared" si="31"/>
        <v>0</v>
      </c>
      <c r="S92" s="772">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4">
        <f t="shared" si="31"/>
        <v>0</v>
      </c>
      <c r="S93" s="772">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4">
        <f t="shared" si="31"/>
        <v>0</v>
      </c>
      <c r="S94" s="772">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4">
        <f t="shared" si="31"/>
        <v>0</v>
      </c>
      <c r="S95" s="772">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4">
        <f t="shared" si="31"/>
        <v>0</v>
      </c>
      <c r="S96" s="772">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4">
        <f t="shared" si="31"/>
        <v>0</v>
      </c>
      <c r="S97" s="772">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4">
        <f t="shared" si="31"/>
        <v>0</v>
      </c>
      <c r="S98" s="772">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4">
        <f t="shared" si="31"/>
        <v>0</v>
      </c>
      <c r="S99" s="772">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4">
        <f t="shared" si="31"/>
        <v>0</v>
      </c>
      <c r="S100" s="772">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4">
        <f t="shared" si="31"/>
        <v>0</v>
      </c>
      <c r="S101" s="772">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4">
        <f t="shared" si="31"/>
        <v>0</v>
      </c>
      <c r="S102" s="772">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4">
        <f t="shared" si="31"/>
        <v>0</v>
      </c>
      <c r="S103" s="772">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4">
        <f t="shared" si="31"/>
        <v>0</v>
      </c>
      <c r="S104" s="772">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4">
        <f t="shared" si="31"/>
        <v>0</v>
      </c>
      <c r="S105" s="772">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4">
        <f t="shared" si="31"/>
        <v>0</v>
      </c>
      <c r="S106" s="772">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4">
        <f t="shared" si="31"/>
        <v>0</v>
      </c>
      <c r="S107" s="772">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4">
        <f t="shared" si="31"/>
        <v>0</v>
      </c>
      <c r="S108" s="772">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4">
        <f t="shared" si="31"/>
        <v>0</v>
      </c>
      <c r="S109" s="772">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4">
        <f t="shared" si="31"/>
        <v>0</v>
      </c>
      <c r="S110" s="772">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4">
        <f t="shared" si="31"/>
        <v>0</v>
      </c>
      <c r="S111" s="772">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4">
        <f t="shared" si="31"/>
        <v>0</v>
      </c>
      <c r="S112" s="772">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4">
        <f t="shared" si="31"/>
        <v>0</v>
      </c>
      <c r="S113" s="772">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4">
        <f t="shared" si="31"/>
        <v>0</v>
      </c>
      <c r="S114" s="772">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4">
        <f t="shared" si="31"/>
        <v>0</v>
      </c>
      <c r="S115" s="772">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4">
        <f t="shared" si="31"/>
        <v>0</v>
      </c>
      <c r="S116" s="772">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4">
        <f t="shared" si="31"/>
        <v>0</v>
      </c>
      <c r="S117" s="772">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4">
        <f t="shared" si="31"/>
        <v>0</v>
      </c>
      <c r="S118" s="772">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4">
        <f t="shared" si="31"/>
        <v>0</v>
      </c>
      <c r="S119" s="772">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4">
        <f t="shared" si="31"/>
        <v>0</v>
      </c>
      <c r="S120" s="772">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4">
        <f t="shared" si="31"/>
        <v>0</v>
      </c>
      <c r="S121" s="772">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4">
        <f t="shared" si="31"/>
        <v>0</v>
      </c>
      <c r="S122" s="772">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4">
        <f t="shared" si="31"/>
        <v>0</v>
      </c>
      <c r="S123" s="772">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4">
        <f t="shared" si="31"/>
        <v>0</v>
      </c>
      <c r="S124" s="772">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4">
        <f t="shared" si="31"/>
        <v>0</v>
      </c>
      <c r="S125" s="772">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4">
        <f t="shared" si="31"/>
        <v>0</v>
      </c>
      <c r="S126" s="772">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4">
        <f t="shared" si="31"/>
        <v>0</v>
      </c>
      <c r="S127" s="772">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4">
        <f t="shared" si="31"/>
        <v>0</v>
      </c>
      <c r="S128" s="772">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4">
        <f t="shared" si="31"/>
        <v>0</v>
      </c>
      <c r="S129" s="772">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4">
        <f t="shared" si="31"/>
        <v>0</v>
      </c>
      <c r="S130" s="772">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4">
        <f t="shared" si="31"/>
        <v>0</v>
      </c>
      <c r="S131" s="772">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4">
        <f t="shared" si="31"/>
        <v>0</v>
      </c>
      <c r="S132" s="772">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4">
        <f t="shared" si="31"/>
        <v>0</v>
      </c>
      <c r="S133" s="772">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4">
        <f t="shared" si="31"/>
        <v>0</v>
      </c>
      <c r="S134" s="772">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4">
        <f t="shared" si="31"/>
        <v>0</v>
      </c>
      <c r="S135" s="772">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4">
        <f t="shared" si="31"/>
        <v>0</v>
      </c>
      <c r="S136" s="772">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4">
        <f t="shared" si="31"/>
        <v>0</v>
      </c>
      <c r="S137" s="772">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4">
        <f t="shared" si="31"/>
        <v>0</v>
      </c>
      <c r="S138" s="772">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4">
        <f t="shared" si="31"/>
        <v>0</v>
      </c>
      <c r="S139" s="772">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4">
        <f t="shared" si="31"/>
        <v>0</v>
      </c>
      <c r="S140" s="772">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4">
        <f t="shared" si="31"/>
        <v>0</v>
      </c>
      <c r="S141" s="772">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4">
        <f t="shared" si="31"/>
        <v>0</v>
      </c>
      <c r="S142" s="772">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4">
        <f t="shared" si="31"/>
        <v>0</v>
      </c>
      <c r="S143" s="772">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4">
        <f t="shared" si="31"/>
        <v>0</v>
      </c>
      <c r="S144" s="772">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4">
        <f t="shared" si="31"/>
        <v>0</v>
      </c>
      <c r="S145" s="772">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4">
        <f t="shared" si="31"/>
        <v>0</v>
      </c>
      <c r="S146" s="772">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4">
        <f t="shared" si="31"/>
        <v>0</v>
      </c>
      <c r="S147" s="772">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4">
        <f t="shared" si="31"/>
        <v>0</v>
      </c>
      <c r="S148" s="772">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4">
        <f t="shared" si="31"/>
        <v>0</v>
      </c>
      <c r="S149" s="772">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4">
        <f t="shared" si="31"/>
        <v>0</v>
      </c>
      <c r="S150" s="772">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4">
        <f t="shared" si="31"/>
        <v>0</v>
      </c>
      <c r="S151" s="772">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4">
        <f t="shared" si="31"/>
        <v>0</v>
      </c>
      <c r="S152" s="772">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4">
        <f t="shared" si="31"/>
        <v>0</v>
      </c>
      <c r="S153" s="772">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4">
        <f t="shared" ref="R154:R217" si="41">IF(B154="",0,ROUND($R$24*C154*E154*G154*I154*K154*M154*O154*Q154,0))</f>
        <v>0</v>
      </c>
      <c r="S154" s="772">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4">
        <f t="shared" si="41"/>
        <v>0</v>
      </c>
      <c r="S155" s="772">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4">
        <f t="shared" si="41"/>
        <v>0</v>
      </c>
      <c r="S156" s="772">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4">
        <f t="shared" si="41"/>
        <v>0</v>
      </c>
      <c r="S157" s="772">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4">
        <f t="shared" si="41"/>
        <v>0</v>
      </c>
      <c r="S158" s="772">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4">
        <f t="shared" si="41"/>
        <v>0</v>
      </c>
      <c r="S159" s="772">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4">
        <f t="shared" si="41"/>
        <v>0</v>
      </c>
      <c r="S160" s="772">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4">
        <f t="shared" si="41"/>
        <v>0</v>
      </c>
      <c r="S161" s="772">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4">
        <f t="shared" si="41"/>
        <v>0</v>
      </c>
      <c r="S162" s="772">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4">
        <f t="shared" si="41"/>
        <v>0</v>
      </c>
      <c r="S163" s="772">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4">
        <f t="shared" si="41"/>
        <v>0</v>
      </c>
      <c r="S164" s="772">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4">
        <f t="shared" si="41"/>
        <v>0</v>
      </c>
      <c r="S165" s="772">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4">
        <f t="shared" si="41"/>
        <v>0</v>
      </c>
      <c r="S166" s="772">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4">
        <f t="shared" si="41"/>
        <v>0</v>
      </c>
      <c r="S167" s="772">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4">
        <f t="shared" si="41"/>
        <v>0</v>
      </c>
      <c r="S168" s="772">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4">
        <f t="shared" si="41"/>
        <v>0</v>
      </c>
      <c r="S169" s="772">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4">
        <f t="shared" si="41"/>
        <v>0</v>
      </c>
      <c r="S170" s="772">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4">
        <f t="shared" si="41"/>
        <v>0</v>
      </c>
      <c r="S171" s="772">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4">
        <f t="shared" si="41"/>
        <v>0</v>
      </c>
      <c r="S172" s="772">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4">
        <f t="shared" si="41"/>
        <v>0</v>
      </c>
      <c r="S173" s="772">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4">
        <f t="shared" si="41"/>
        <v>0</v>
      </c>
      <c r="S174" s="772">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4">
        <f t="shared" si="41"/>
        <v>0</v>
      </c>
      <c r="S175" s="772">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4">
        <f t="shared" si="41"/>
        <v>0</v>
      </c>
      <c r="S176" s="772">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4">
        <f t="shared" si="41"/>
        <v>0</v>
      </c>
      <c r="S177" s="772">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4">
        <f t="shared" si="41"/>
        <v>0</v>
      </c>
      <c r="S178" s="772">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4">
        <f t="shared" si="41"/>
        <v>0</v>
      </c>
      <c r="S179" s="772">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4">
        <f t="shared" si="41"/>
        <v>0</v>
      </c>
      <c r="S180" s="772">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4">
        <f t="shared" si="41"/>
        <v>0</v>
      </c>
      <c r="S181" s="772">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4">
        <f t="shared" si="41"/>
        <v>0</v>
      </c>
      <c r="S182" s="772">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4">
        <f t="shared" si="41"/>
        <v>0</v>
      </c>
      <c r="S183" s="772">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4">
        <f t="shared" si="41"/>
        <v>0</v>
      </c>
      <c r="S184" s="772">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4">
        <f t="shared" si="41"/>
        <v>0</v>
      </c>
      <c r="S185" s="772">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4">
        <f t="shared" si="41"/>
        <v>0</v>
      </c>
      <c r="S186" s="772">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4">
        <f t="shared" si="41"/>
        <v>0</v>
      </c>
      <c r="S187" s="772">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4">
        <f t="shared" si="41"/>
        <v>0</v>
      </c>
      <c r="S188" s="772">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4">
        <f t="shared" si="41"/>
        <v>0</v>
      </c>
      <c r="S189" s="772">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4">
        <f t="shared" si="41"/>
        <v>0</v>
      </c>
      <c r="S190" s="772">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4">
        <f t="shared" si="41"/>
        <v>0</v>
      </c>
      <c r="S191" s="772">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4">
        <f t="shared" si="41"/>
        <v>0</v>
      </c>
      <c r="S192" s="772">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4">
        <f t="shared" si="41"/>
        <v>0</v>
      </c>
      <c r="S193" s="772">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4">
        <f t="shared" si="41"/>
        <v>0</v>
      </c>
      <c r="S194" s="772">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4">
        <f t="shared" si="41"/>
        <v>0</v>
      </c>
      <c r="S195" s="772">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4">
        <f t="shared" si="41"/>
        <v>0</v>
      </c>
      <c r="S196" s="772">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4">
        <f t="shared" si="41"/>
        <v>0</v>
      </c>
      <c r="S197" s="772">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4">
        <f t="shared" si="41"/>
        <v>0</v>
      </c>
      <c r="S198" s="772">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4">
        <f t="shared" si="41"/>
        <v>0</v>
      </c>
      <c r="S199" s="772">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4">
        <f t="shared" si="41"/>
        <v>0</v>
      </c>
      <c r="S200" s="772">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4">
        <f t="shared" si="41"/>
        <v>0</v>
      </c>
      <c r="S201" s="772">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4">
        <f t="shared" si="41"/>
        <v>0</v>
      </c>
      <c r="S202" s="772">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4">
        <f t="shared" si="41"/>
        <v>0</v>
      </c>
      <c r="S203" s="772">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4">
        <f t="shared" si="41"/>
        <v>0</v>
      </c>
      <c r="S204" s="772">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4">
        <f t="shared" si="41"/>
        <v>0</v>
      </c>
      <c r="S205" s="772">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4">
        <f t="shared" si="41"/>
        <v>0</v>
      </c>
      <c r="S206" s="772">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4">
        <f t="shared" si="41"/>
        <v>0</v>
      </c>
      <c r="S207" s="772">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4">
        <f t="shared" si="41"/>
        <v>0</v>
      </c>
      <c r="S208" s="772">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4">
        <f t="shared" si="41"/>
        <v>0</v>
      </c>
      <c r="S209" s="772">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4">
        <f t="shared" si="41"/>
        <v>0</v>
      </c>
      <c r="S210" s="772">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4">
        <f t="shared" si="41"/>
        <v>0</v>
      </c>
      <c r="S211" s="772">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4">
        <f t="shared" si="41"/>
        <v>0</v>
      </c>
      <c r="S212" s="772">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4">
        <f t="shared" si="41"/>
        <v>0</v>
      </c>
      <c r="S213" s="772">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4">
        <f t="shared" si="41"/>
        <v>0</v>
      </c>
      <c r="S214" s="772">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4">
        <f t="shared" si="41"/>
        <v>0</v>
      </c>
      <c r="S215" s="772">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4">
        <f t="shared" si="41"/>
        <v>0</v>
      </c>
      <c r="S216" s="772">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4">
        <f t="shared" si="41"/>
        <v>0</v>
      </c>
      <c r="S217" s="772">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4">
        <f t="shared" ref="R218:R281" si="51">IF(B218="",0,ROUND($R$24*C218*E218*G218*I218*K218*M218*O218*Q218,0))</f>
        <v>0</v>
      </c>
      <c r="S218" s="772">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4">
        <f t="shared" si="51"/>
        <v>0</v>
      </c>
      <c r="S219" s="772">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4">
        <f t="shared" si="51"/>
        <v>0</v>
      </c>
      <c r="S220" s="772">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4">
        <f t="shared" si="51"/>
        <v>0</v>
      </c>
      <c r="S221" s="772">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4">
        <f t="shared" si="51"/>
        <v>0</v>
      </c>
      <c r="S222" s="772">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4">
        <f t="shared" si="51"/>
        <v>0</v>
      </c>
      <c r="S223" s="772">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4">
        <f t="shared" si="51"/>
        <v>0</v>
      </c>
      <c r="S224" s="772">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4">
        <f t="shared" si="51"/>
        <v>0</v>
      </c>
      <c r="S225" s="772">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4">
        <f t="shared" si="51"/>
        <v>0</v>
      </c>
      <c r="S226" s="772">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4">
        <f t="shared" si="51"/>
        <v>0</v>
      </c>
      <c r="S227" s="772">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4">
        <f t="shared" si="51"/>
        <v>0</v>
      </c>
      <c r="S228" s="772">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4">
        <f t="shared" si="51"/>
        <v>0</v>
      </c>
      <c r="S229" s="772">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4">
        <f t="shared" si="51"/>
        <v>0</v>
      </c>
      <c r="S230" s="772">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4">
        <f t="shared" si="51"/>
        <v>0</v>
      </c>
      <c r="S231" s="772">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4">
        <f t="shared" si="51"/>
        <v>0</v>
      </c>
      <c r="S232" s="772">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4">
        <f t="shared" si="51"/>
        <v>0</v>
      </c>
      <c r="S233" s="772">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4">
        <f t="shared" si="51"/>
        <v>0</v>
      </c>
      <c r="S234" s="772">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4">
        <f t="shared" si="51"/>
        <v>0</v>
      </c>
      <c r="S235" s="772">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4">
        <f t="shared" si="51"/>
        <v>0</v>
      </c>
      <c r="S236" s="772">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4">
        <f t="shared" si="51"/>
        <v>0</v>
      </c>
      <c r="S237" s="772">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4">
        <f t="shared" si="51"/>
        <v>0</v>
      </c>
      <c r="S238" s="772">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4">
        <f t="shared" si="51"/>
        <v>0</v>
      </c>
      <c r="S239" s="772">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4">
        <f t="shared" si="51"/>
        <v>0</v>
      </c>
      <c r="S240" s="772">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4">
        <f t="shared" si="51"/>
        <v>0</v>
      </c>
      <c r="S241" s="772">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4">
        <f t="shared" si="51"/>
        <v>0</v>
      </c>
      <c r="S242" s="772">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4">
        <f t="shared" si="51"/>
        <v>0</v>
      </c>
      <c r="S243" s="772">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4">
        <f t="shared" si="51"/>
        <v>0</v>
      </c>
      <c r="S244" s="772">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4">
        <f t="shared" si="51"/>
        <v>0</v>
      </c>
      <c r="S245" s="772">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4">
        <f t="shared" si="51"/>
        <v>0</v>
      </c>
      <c r="S246" s="772">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4">
        <f t="shared" si="51"/>
        <v>0</v>
      </c>
      <c r="S247" s="772">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4">
        <f t="shared" si="51"/>
        <v>0</v>
      </c>
      <c r="S248" s="772">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4">
        <f t="shared" si="51"/>
        <v>0</v>
      </c>
      <c r="S249" s="772">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4">
        <f t="shared" si="51"/>
        <v>0</v>
      </c>
      <c r="S250" s="772">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4">
        <f t="shared" si="51"/>
        <v>0</v>
      </c>
      <c r="S251" s="772">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4">
        <f t="shared" si="51"/>
        <v>0</v>
      </c>
      <c r="S252" s="772">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4">
        <f t="shared" si="51"/>
        <v>0</v>
      </c>
      <c r="S253" s="772">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4">
        <f t="shared" si="51"/>
        <v>0</v>
      </c>
      <c r="S254" s="772">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4">
        <f t="shared" si="51"/>
        <v>0</v>
      </c>
      <c r="S255" s="772">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4">
        <f t="shared" si="51"/>
        <v>0</v>
      </c>
      <c r="S256" s="772">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4">
        <f t="shared" si="51"/>
        <v>0</v>
      </c>
      <c r="S257" s="772">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4">
        <f t="shared" si="51"/>
        <v>0</v>
      </c>
      <c r="S258" s="772">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4">
        <f t="shared" si="51"/>
        <v>0</v>
      </c>
      <c r="S259" s="772">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4">
        <f t="shared" si="51"/>
        <v>0</v>
      </c>
      <c r="S260" s="772">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4">
        <f t="shared" si="51"/>
        <v>0</v>
      </c>
      <c r="S261" s="772">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4">
        <f t="shared" si="51"/>
        <v>0</v>
      </c>
      <c r="S262" s="772">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4">
        <f t="shared" si="51"/>
        <v>0</v>
      </c>
      <c r="S263" s="772">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4">
        <f t="shared" si="51"/>
        <v>0</v>
      </c>
      <c r="S264" s="772">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4">
        <f t="shared" si="51"/>
        <v>0</v>
      </c>
      <c r="S265" s="772">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4">
        <f t="shared" si="51"/>
        <v>0</v>
      </c>
      <c r="S266" s="772">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4">
        <f t="shared" si="51"/>
        <v>0</v>
      </c>
      <c r="S267" s="772">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4">
        <f t="shared" si="51"/>
        <v>0</v>
      </c>
      <c r="S268" s="772">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4">
        <f t="shared" si="51"/>
        <v>0</v>
      </c>
      <c r="S269" s="772">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4">
        <f t="shared" si="51"/>
        <v>0</v>
      </c>
      <c r="S270" s="772">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4">
        <f t="shared" si="51"/>
        <v>0</v>
      </c>
      <c r="S271" s="772">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4">
        <f t="shared" si="51"/>
        <v>0</v>
      </c>
      <c r="S272" s="772">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4">
        <f t="shared" si="51"/>
        <v>0</v>
      </c>
      <c r="S273" s="772">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4">
        <f t="shared" si="51"/>
        <v>0</v>
      </c>
      <c r="S274" s="772">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4">
        <f t="shared" si="51"/>
        <v>0</v>
      </c>
      <c r="S275" s="772">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4">
        <f t="shared" si="51"/>
        <v>0</v>
      </c>
      <c r="S276" s="772">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4">
        <f t="shared" si="51"/>
        <v>0</v>
      </c>
      <c r="S277" s="772">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4">
        <f t="shared" si="51"/>
        <v>0</v>
      </c>
      <c r="S278" s="772">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4">
        <f t="shared" si="51"/>
        <v>0</v>
      </c>
      <c r="S279" s="772">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4">
        <f t="shared" si="51"/>
        <v>0</v>
      </c>
      <c r="S280" s="772">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4">
        <f t="shared" si="51"/>
        <v>0</v>
      </c>
      <c r="S281" s="772">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4">
        <f t="shared" ref="R282:R345" si="61">IF(B282="",0,ROUND($R$24*C282*E282*G282*I282*K282*M282*O282*Q282,0))</f>
        <v>0</v>
      </c>
      <c r="S282" s="772">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4">
        <f t="shared" si="61"/>
        <v>0</v>
      </c>
      <c r="S283" s="772">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4">
        <f t="shared" si="61"/>
        <v>0</v>
      </c>
      <c r="S284" s="772">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4">
        <f t="shared" si="61"/>
        <v>0</v>
      </c>
      <c r="S285" s="772">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4">
        <f t="shared" si="61"/>
        <v>0</v>
      </c>
      <c r="S286" s="772">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4">
        <f t="shared" si="61"/>
        <v>0</v>
      </c>
      <c r="S287" s="772">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4">
        <f t="shared" si="61"/>
        <v>0</v>
      </c>
      <c r="S288" s="772">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4">
        <f t="shared" si="61"/>
        <v>0</v>
      </c>
      <c r="S289" s="772">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4">
        <f t="shared" si="61"/>
        <v>0</v>
      </c>
      <c r="S290" s="772">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4">
        <f t="shared" si="61"/>
        <v>0</v>
      </c>
      <c r="S291" s="772">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4">
        <f t="shared" si="61"/>
        <v>0</v>
      </c>
      <c r="S292" s="772">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4">
        <f t="shared" si="61"/>
        <v>0</v>
      </c>
      <c r="S293" s="772">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4">
        <f t="shared" si="61"/>
        <v>0</v>
      </c>
      <c r="S294" s="772">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4">
        <f t="shared" si="61"/>
        <v>0</v>
      </c>
      <c r="S295" s="772">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4">
        <f t="shared" si="61"/>
        <v>0</v>
      </c>
      <c r="S296" s="772">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4">
        <f t="shared" si="61"/>
        <v>0</v>
      </c>
      <c r="S297" s="772">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4">
        <f t="shared" si="61"/>
        <v>0</v>
      </c>
      <c r="S298" s="772">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4">
        <f t="shared" si="61"/>
        <v>0</v>
      </c>
      <c r="S299" s="772">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4">
        <f t="shared" si="61"/>
        <v>0</v>
      </c>
      <c r="S300" s="772">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4">
        <f t="shared" si="61"/>
        <v>0</v>
      </c>
      <c r="S301" s="772">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4">
        <f t="shared" si="61"/>
        <v>0</v>
      </c>
      <c r="S302" s="772">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4">
        <f t="shared" si="61"/>
        <v>0</v>
      </c>
      <c r="S303" s="772">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4">
        <f t="shared" si="61"/>
        <v>0</v>
      </c>
      <c r="S304" s="772">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4">
        <f t="shared" si="61"/>
        <v>0</v>
      </c>
      <c r="S305" s="772">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4">
        <f t="shared" si="61"/>
        <v>0</v>
      </c>
      <c r="S306" s="772">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4">
        <f t="shared" si="61"/>
        <v>0</v>
      </c>
      <c r="S307" s="772">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4">
        <f t="shared" si="61"/>
        <v>0</v>
      </c>
      <c r="S308" s="772">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4">
        <f t="shared" si="61"/>
        <v>0</v>
      </c>
      <c r="S309" s="772">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4">
        <f t="shared" si="61"/>
        <v>0</v>
      </c>
      <c r="S310" s="772">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4">
        <f t="shared" si="61"/>
        <v>0</v>
      </c>
      <c r="S311" s="772">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4">
        <f t="shared" si="61"/>
        <v>0</v>
      </c>
      <c r="S312" s="772">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4">
        <f t="shared" si="61"/>
        <v>0</v>
      </c>
      <c r="S313" s="772">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4">
        <f t="shared" si="61"/>
        <v>0</v>
      </c>
      <c r="S314" s="772">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4">
        <f t="shared" si="61"/>
        <v>0</v>
      </c>
      <c r="S315" s="772">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4">
        <f t="shared" si="61"/>
        <v>0</v>
      </c>
      <c r="S316" s="772">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4">
        <f t="shared" si="61"/>
        <v>0</v>
      </c>
      <c r="S317" s="772">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4">
        <f t="shared" si="61"/>
        <v>0</v>
      </c>
      <c r="S318" s="772">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4">
        <f t="shared" si="61"/>
        <v>0</v>
      </c>
      <c r="S319" s="772">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4">
        <f t="shared" si="61"/>
        <v>0</v>
      </c>
      <c r="S320" s="772">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4">
        <f t="shared" si="61"/>
        <v>0</v>
      </c>
      <c r="S321" s="772">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4">
        <f t="shared" si="61"/>
        <v>0</v>
      </c>
      <c r="S322" s="772">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4">
        <f t="shared" si="61"/>
        <v>0</v>
      </c>
      <c r="S323" s="772">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4">
        <f t="shared" si="61"/>
        <v>0</v>
      </c>
      <c r="S324" s="772">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4">
        <f t="shared" si="61"/>
        <v>0</v>
      </c>
      <c r="S325" s="772">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4">
        <f t="shared" si="61"/>
        <v>0</v>
      </c>
      <c r="S326" s="772">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4">
        <f t="shared" si="61"/>
        <v>0</v>
      </c>
      <c r="S327" s="772">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4">
        <f t="shared" si="61"/>
        <v>0</v>
      </c>
      <c r="S328" s="772">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4">
        <f t="shared" si="61"/>
        <v>0</v>
      </c>
      <c r="S329" s="772">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4">
        <f t="shared" si="61"/>
        <v>0</v>
      </c>
      <c r="S330" s="772">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4">
        <f t="shared" si="61"/>
        <v>0</v>
      </c>
      <c r="S331" s="772">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4">
        <f t="shared" si="61"/>
        <v>0</v>
      </c>
      <c r="S332" s="772">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4">
        <f t="shared" si="61"/>
        <v>0</v>
      </c>
      <c r="S333" s="772">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4">
        <f t="shared" si="61"/>
        <v>0</v>
      </c>
      <c r="S334" s="772">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4">
        <f t="shared" si="61"/>
        <v>0</v>
      </c>
      <c r="S335" s="772">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4">
        <f t="shared" si="61"/>
        <v>0</v>
      </c>
      <c r="S336" s="772">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4">
        <f t="shared" si="61"/>
        <v>0</v>
      </c>
      <c r="S337" s="772">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4">
        <f t="shared" si="61"/>
        <v>0</v>
      </c>
      <c r="S338" s="772">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4">
        <f t="shared" si="61"/>
        <v>0</v>
      </c>
      <c r="S339" s="772">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4">
        <f t="shared" si="61"/>
        <v>0</v>
      </c>
      <c r="S340" s="772">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4">
        <f t="shared" si="61"/>
        <v>0</v>
      </c>
      <c r="S341" s="772">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4">
        <f t="shared" si="61"/>
        <v>0</v>
      </c>
      <c r="S342" s="772">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4">
        <f t="shared" si="61"/>
        <v>0</v>
      </c>
      <c r="S343" s="772">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4">
        <f t="shared" si="61"/>
        <v>0</v>
      </c>
      <c r="S344" s="772">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4">
        <f t="shared" si="61"/>
        <v>0</v>
      </c>
      <c r="S345" s="772">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4">
        <f t="shared" ref="R346:R409" si="72">IF(B346="",0,ROUND($R$24*C346*E346*G346*I346*K346*M346*O346*Q346,0))</f>
        <v>0</v>
      </c>
      <c r="S346" s="772">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4">
        <f t="shared" si="72"/>
        <v>0</v>
      </c>
      <c r="S347" s="772">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4">
        <f t="shared" si="72"/>
        <v>0</v>
      </c>
      <c r="S348" s="772">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4">
        <f t="shared" si="72"/>
        <v>0</v>
      </c>
      <c r="S349" s="772">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4">
        <f t="shared" si="72"/>
        <v>0</v>
      </c>
      <c r="S350" s="772">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4">
        <f t="shared" si="72"/>
        <v>0</v>
      </c>
      <c r="S351" s="772">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4">
        <f t="shared" si="72"/>
        <v>0</v>
      </c>
      <c r="S352" s="772">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4">
        <f t="shared" si="72"/>
        <v>0</v>
      </c>
      <c r="S353" s="772">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4">
        <f t="shared" si="72"/>
        <v>0</v>
      </c>
      <c r="S354" s="772">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4">
        <f t="shared" si="72"/>
        <v>0</v>
      </c>
      <c r="S355" s="772">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4">
        <f t="shared" si="72"/>
        <v>0</v>
      </c>
      <c r="S356" s="772">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4">
        <f t="shared" si="72"/>
        <v>0</v>
      </c>
      <c r="S357" s="772">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4">
        <f t="shared" si="72"/>
        <v>0</v>
      </c>
      <c r="S358" s="772">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4">
        <f t="shared" si="72"/>
        <v>0</v>
      </c>
      <c r="S359" s="772">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4">
        <f t="shared" si="72"/>
        <v>0</v>
      </c>
      <c r="S360" s="772">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4">
        <f t="shared" si="72"/>
        <v>0</v>
      </c>
      <c r="S361" s="772">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4">
        <f t="shared" si="72"/>
        <v>0</v>
      </c>
      <c r="S362" s="772">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4">
        <f t="shared" si="72"/>
        <v>0</v>
      </c>
      <c r="S363" s="772">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4">
        <f t="shared" si="72"/>
        <v>0</v>
      </c>
      <c r="S364" s="772">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4">
        <f t="shared" si="72"/>
        <v>0</v>
      </c>
      <c r="S365" s="772">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4">
        <f t="shared" si="72"/>
        <v>0</v>
      </c>
      <c r="S366" s="772">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4">
        <f t="shared" si="72"/>
        <v>0</v>
      </c>
      <c r="S367" s="772">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4">
        <f t="shared" si="72"/>
        <v>0</v>
      </c>
      <c r="S368" s="772">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4">
        <f t="shared" si="72"/>
        <v>0</v>
      </c>
      <c r="S369" s="772">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4">
        <f t="shared" si="72"/>
        <v>0</v>
      </c>
      <c r="S370" s="772">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4">
        <f t="shared" si="72"/>
        <v>0</v>
      </c>
      <c r="S371" s="772">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4">
        <f t="shared" si="72"/>
        <v>0</v>
      </c>
      <c r="S372" s="772">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4">
        <f t="shared" si="72"/>
        <v>0</v>
      </c>
      <c r="S373" s="772">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4">
        <f t="shared" si="72"/>
        <v>0</v>
      </c>
      <c r="S374" s="772">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4">
        <f t="shared" si="72"/>
        <v>0</v>
      </c>
      <c r="S375" s="772">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4">
        <f t="shared" si="72"/>
        <v>0</v>
      </c>
      <c r="S376" s="772">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4">
        <f t="shared" si="72"/>
        <v>0</v>
      </c>
      <c r="S377" s="772">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4">
        <f t="shared" si="72"/>
        <v>0</v>
      </c>
      <c r="S378" s="772">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4">
        <f t="shared" si="72"/>
        <v>0</v>
      </c>
      <c r="S379" s="772">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4">
        <f t="shared" si="72"/>
        <v>0</v>
      </c>
      <c r="S380" s="772">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4">
        <f t="shared" si="72"/>
        <v>0</v>
      </c>
      <c r="S381" s="772">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4">
        <f t="shared" si="72"/>
        <v>0</v>
      </c>
      <c r="S382" s="772">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4">
        <f t="shared" si="72"/>
        <v>0</v>
      </c>
      <c r="S383" s="772">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4">
        <f t="shared" si="72"/>
        <v>0</v>
      </c>
      <c r="S384" s="772">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4">
        <f t="shared" si="72"/>
        <v>0</v>
      </c>
      <c r="S385" s="772">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4">
        <f t="shared" si="72"/>
        <v>0</v>
      </c>
      <c r="S386" s="772">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4">
        <f t="shared" si="72"/>
        <v>0</v>
      </c>
      <c r="S387" s="772">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4">
        <f t="shared" si="72"/>
        <v>0</v>
      </c>
      <c r="S388" s="772">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4">
        <f t="shared" si="72"/>
        <v>0</v>
      </c>
      <c r="S389" s="772">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4">
        <f t="shared" si="72"/>
        <v>0</v>
      </c>
      <c r="S390" s="772">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4">
        <f t="shared" si="72"/>
        <v>0</v>
      </c>
      <c r="S391" s="772">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4">
        <f t="shared" si="72"/>
        <v>0</v>
      </c>
      <c r="S392" s="772">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4">
        <f t="shared" si="72"/>
        <v>0</v>
      </c>
      <c r="S393" s="772">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4">
        <f t="shared" si="72"/>
        <v>0</v>
      </c>
      <c r="S394" s="772">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4">
        <f t="shared" si="72"/>
        <v>0</v>
      </c>
      <c r="S395" s="772">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4">
        <f t="shared" si="72"/>
        <v>0</v>
      </c>
      <c r="S396" s="772">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4">
        <f t="shared" si="72"/>
        <v>0</v>
      </c>
      <c r="S397" s="772">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4">
        <f t="shared" si="72"/>
        <v>0</v>
      </c>
      <c r="S398" s="772">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4">
        <f t="shared" si="72"/>
        <v>0</v>
      </c>
      <c r="S399" s="772">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4">
        <f t="shared" si="72"/>
        <v>0</v>
      </c>
      <c r="S400" s="772">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4">
        <f t="shared" si="72"/>
        <v>0</v>
      </c>
      <c r="S401" s="772">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4">
        <f t="shared" si="72"/>
        <v>0</v>
      </c>
      <c r="S402" s="772">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4">
        <f t="shared" si="72"/>
        <v>0</v>
      </c>
      <c r="S403" s="772">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4">
        <f t="shared" si="72"/>
        <v>0</v>
      </c>
      <c r="S404" s="772">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4">
        <f t="shared" si="72"/>
        <v>0</v>
      </c>
      <c r="S405" s="772">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4">
        <f t="shared" si="72"/>
        <v>0</v>
      </c>
      <c r="S406" s="772">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4">
        <f t="shared" si="72"/>
        <v>0</v>
      </c>
      <c r="S407" s="772">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4">
        <f t="shared" si="72"/>
        <v>0</v>
      </c>
      <c r="S408" s="772">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4">
        <f t="shared" si="72"/>
        <v>0</v>
      </c>
      <c r="S409" s="772">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4">
        <f t="shared" ref="R410:R473" si="82">IF(B410="",0,ROUND($R$24*C410*E410*G410*I410*K410*M410*O410*Q410,0))</f>
        <v>0</v>
      </c>
      <c r="S410" s="772">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4">
        <f t="shared" si="82"/>
        <v>0</v>
      </c>
      <c r="S411" s="772">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4">
        <f t="shared" si="82"/>
        <v>0</v>
      </c>
      <c r="S412" s="772">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4">
        <f t="shared" si="82"/>
        <v>0</v>
      </c>
      <c r="S413" s="772">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4">
        <f t="shared" si="82"/>
        <v>0</v>
      </c>
      <c r="S414" s="772">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4">
        <f t="shared" si="82"/>
        <v>0</v>
      </c>
      <c r="S415" s="772">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4">
        <f t="shared" si="82"/>
        <v>0</v>
      </c>
      <c r="S416" s="772">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4">
        <f t="shared" si="82"/>
        <v>0</v>
      </c>
      <c r="S417" s="772">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4">
        <f t="shared" si="82"/>
        <v>0</v>
      </c>
      <c r="S418" s="772">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4">
        <f t="shared" si="82"/>
        <v>0</v>
      </c>
      <c r="S419" s="772">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4">
        <f t="shared" si="82"/>
        <v>0</v>
      </c>
      <c r="S420" s="772">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4">
        <f t="shared" si="82"/>
        <v>0</v>
      </c>
      <c r="S421" s="772">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4">
        <f t="shared" si="82"/>
        <v>0</v>
      </c>
      <c r="S422" s="772">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4">
        <f t="shared" si="82"/>
        <v>0</v>
      </c>
      <c r="S423" s="772">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4">
        <f t="shared" si="82"/>
        <v>0</v>
      </c>
      <c r="S424" s="772">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4">
        <f t="shared" si="82"/>
        <v>0</v>
      </c>
      <c r="S425" s="772">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4">
        <f t="shared" si="82"/>
        <v>0</v>
      </c>
      <c r="S426" s="772">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4">
        <f t="shared" si="82"/>
        <v>0</v>
      </c>
      <c r="S427" s="772">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4">
        <f t="shared" si="82"/>
        <v>0</v>
      </c>
      <c r="S428" s="772">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4">
        <f t="shared" si="82"/>
        <v>0</v>
      </c>
      <c r="S429" s="772">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4">
        <f t="shared" si="82"/>
        <v>0</v>
      </c>
      <c r="S430" s="772">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4">
        <f t="shared" si="82"/>
        <v>0</v>
      </c>
      <c r="S431" s="772">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4">
        <f t="shared" si="82"/>
        <v>0</v>
      </c>
      <c r="S432" s="772">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4">
        <f t="shared" si="82"/>
        <v>0</v>
      </c>
      <c r="S433" s="772">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4">
        <f t="shared" si="82"/>
        <v>0</v>
      </c>
      <c r="S434" s="772">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4">
        <f t="shared" si="82"/>
        <v>0</v>
      </c>
      <c r="S435" s="772">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4">
        <f t="shared" si="82"/>
        <v>0</v>
      </c>
      <c r="S436" s="772">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4">
        <f t="shared" si="82"/>
        <v>0</v>
      </c>
      <c r="S437" s="772">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4">
        <f t="shared" si="82"/>
        <v>0</v>
      </c>
      <c r="S438" s="772">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4">
        <f t="shared" si="82"/>
        <v>0</v>
      </c>
      <c r="S439" s="772">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4">
        <f t="shared" si="82"/>
        <v>0</v>
      </c>
      <c r="S440" s="772">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4">
        <f t="shared" si="82"/>
        <v>0</v>
      </c>
      <c r="S441" s="772">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4">
        <f t="shared" si="82"/>
        <v>0</v>
      </c>
      <c r="S442" s="772">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4">
        <f t="shared" si="82"/>
        <v>0</v>
      </c>
      <c r="S443" s="772">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4">
        <f t="shared" si="82"/>
        <v>0</v>
      </c>
      <c r="S444" s="772">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4">
        <f t="shared" si="82"/>
        <v>0</v>
      </c>
      <c r="S445" s="772">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4">
        <f t="shared" si="82"/>
        <v>0</v>
      </c>
      <c r="S446" s="772">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4">
        <f t="shared" si="82"/>
        <v>0</v>
      </c>
      <c r="S447" s="772">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4">
        <f t="shared" si="82"/>
        <v>0</v>
      </c>
      <c r="S448" s="772">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4">
        <f t="shared" si="82"/>
        <v>0</v>
      </c>
      <c r="S449" s="772">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4">
        <f t="shared" si="82"/>
        <v>0</v>
      </c>
      <c r="S450" s="772">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4">
        <f t="shared" si="82"/>
        <v>0</v>
      </c>
      <c r="S451" s="772">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4">
        <f t="shared" si="82"/>
        <v>0</v>
      </c>
      <c r="S452" s="772">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4">
        <f t="shared" si="82"/>
        <v>0</v>
      </c>
      <c r="S453" s="772">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4">
        <f t="shared" si="82"/>
        <v>0</v>
      </c>
      <c r="S454" s="772">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4">
        <f t="shared" si="82"/>
        <v>0</v>
      </c>
      <c r="S455" s="772">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4">
        <f t="shared" si="82"/>
        <v>0</v>
      </c>
      <c r="S456" s="772">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4">
        <f t="shared" si="82"/>
        <v>0</v>
      </c>
      <c r="S457" s="772">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4">
        <f t="shared" si="82"/>
        <v>0</v>
      </c>
      <c r="S458" s="772">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4">
        <f t="shared" si="82"/>
        <v>0</v>
      </c>
      <c r="S459" s="772">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4">
        <f t="shared" si="82"/>
        <v>0</v>
      </c>
      <c r="S460" s="772">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4">
        <f t="shared" si="82"/>
        <v>0</v>
      </c>
      <c r="S461" s="772">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4">
        <f t="shared" si="82"/>
        <v>0</v>
      </c>
      <c r="S462" s="772">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4">
        <f t="shared" si="82"/>
        <v>0</v>
      </c>
      <c r="S463" s="772">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4">
        <f t="shared" si="82"/>
        <v>0</v>
      </c>
      <c r="S464" s="772">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4">
        <f t="shared" si="82"/>
        <v>0</v>
      </c>
      <c r="S465" s="772">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4">
        <f t="shared" si="82"/>
        <v>0</v>
      </c>
      <c r="S466" s="772">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4">
        <f t="shared" si="82"/>
        <v>0</v>
      </c>
      <c r="S467" s="772">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4">
        <f t="shared" si="82"/>
        <v>0</v>
      </c>
      <c r="S468" s="772">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4">
        <f t="shared" si="82"/>
        <v>0</v>
      </c>
      <c r="S469" s="772">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4">
        <f t="shared" si="82"/>
        <v>0</v>
      </c>
      <c r="S470" s="772">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4">
        <f t="shared" si="82"/>
        <v>0</v>
      </c>
      <c r="S471" s="772">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4">
        <f t="shared" si="82"/>
        <v>0</v>
      </c>
      <c r="S472" s="772">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4">
        <f t="shared" si="82"/>
        <v>0</v>
      </c>
      <c r="S473" s="772">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4">
        <f t="shared" ref="R474:R524" si="93">IF(B474="",0,ROUND($R$24*C474*E474*G474*I474*K474*M474*O474*Q474,0))</f>
        <v>0</v>
      </c>
      <c r="S474" s="772">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4">
        <f t="shared" si="93"/>
        <v>0</v>
      </c>
      <c r="S475" s="772">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4">
        <f t="shared" si="93"/>
        <v>0</v>
      </c>
      <c r="S476" s="772">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4">
        <f t="shared" si="93"/>
        <v>0</v>
      </c>
      <c r="S477" s="772">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4">
        <f t="shared" si="93"/>
        <v>0</v>
      </c>
      <c r="S478" s="772">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4">
        <f t="shared" si="93"/>
        <v>0</v>
      </c>
      <c r="S479" s="772">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4">
        <f t="shared" si="93"/>
        <v>0</v>
      </c>
      <c r="S480" s="772">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4">
        <f t="shared" si="93"/>
        <v>0</v>
      </c>
      <c r="S481" s="772">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4">
        <f t="shared" si="93"/>
        <v>0</v>
      </c>
      <c r="S482" s="772">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4">
        <f t="shared" si="93"/>
        <v>0</v>
      </c>
      <c r="S483" s="772">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4">
        <f t="shared" si="93"/>
        <v>0</v>
      </c>
      <c r="S484" s="772">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4">
        <f t="shared" si="93"/>
        <v>0</v>
      </c>
      <c r="S485" s="772">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4">
        <f t="shared" si="93"/>
        <v>0</v>
      </c>
      <c r="S486" s="772">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4">
        <f t="shared" si="93"/>
        <v>0</v>
      </c>
      <c r="S487" s="772">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4">
        <f t="shared" si="93"/>
        <v>0</v>
      </c>
      <c r="S488" s="772">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4">
        <f t="shared" si="93"/>
        <v>0</v>
      </c>
      <c r="S489" s="772">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4">
        <f t="shared" si="93"/>
        <v>0</v>
      </c>
      <c r="S490" s="772">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4">
        <f t="shared" si="93"/>
        <v>0</v>
      </c>
      <c r="S491" s="772">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4">
        <f t="shared" si="93"/>
        <v>0</v>
      </c>
      <c r="S492" s="772">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4">
        <f t="shared" si="93"/>
        <v>0</v>
      </c>
      <c r="S493" s="772">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4">
        <f t="shared" si="93"/>
        <v>0</v>
      </c>
      <c r="S494" s="772">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4">
        <f t="shared" si="93"/>
        <v>0</v>
      </c>
      <c r="S495" s="772">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4">
        <f t="shared" si="93"/>
        <v>0</v>
      </c>
      <c r="S496" s="772">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4">
        <f t="shared" si="93"/>
        <v>0</v>
      </c>
      <c r="S497" s="772">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4">
        <f t="shared" si="93"/>
        <v>0</v>
      </c>
      <c r="S498" s="772">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4">
        <f t="shared" si="93"/>
        <v>0</v>
      </c>
      <c r="S499" s="772">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4">
        <f t="shared" si="93"/>
        <v>0</v>
      </c>
      <c r="S500" s="772">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4">
        <f t="shared" si="93"/>
        <v>0</v>
      </c>
      <c r="S501" s="772">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4">
        <f t="shared" si="93"/>
        <v>0</v>
      </c>
      <c r="S502" s="772">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4">
        <f t="shared" si="93"/>
        <v>0</v>
      </c>
      <c r="S503" s="772">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4">
        <f t="shared" si="93"/>
        <v>0</v>
      </c>
      <c r="S504" s="772">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4">
        <f t="shared" si="93"/>
        <v>0</v>
      </c>
      <c r="S505" s="772">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4">
        <f t="shared" si="93"/>
        <v>0</v>
      </c>
      <c r="S506" s="772">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4">
        <f t="shared" si="93"/>
        <v>0</v>
      </c>
      <c r="S507" s="772">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4">
        <f t="shared" si="93"/>
        <v>0</v>
      </c>
      <c r="S508" s="772">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4">
        <f t="shared" si="93"/>
        <v>0</v>
      </c>
      <c r="S509" s="772">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4">
        <f t="shared" si="93"/>
        <v>0</v>
      </c>
      <c r="S510" s="772">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4">
        <f t="shared" si="93"/>
        <v>0</v>
      </c>
      <c r="S511" s="772">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4">
        <f t="shared" si="93"/>
        <v>0</v>
      </c>
      <c r="S512" s="772">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4">
        <f t="shared" si="93"/>
        <v>0</v>
      </c>
      <c r="S513" s="772">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4">
        <f t="shared" si="93"/>
        <v>0</v>
      </c>
      <c r="S514" s="772">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4">
        <f t="shared" si="93"/>
        <v>0</v>
      </c>
      <c r="S515" s="772">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4">
        <f t="shared" si="93"/>
        <v>0</v>
      </c>
      <c r="S516" s="772">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4">
        <f t="shared" si="93"/>
        <v>0</v>
      </c>
      <c r="S517" s="772">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4">
        <f t="shared" si="93"/>
        <v>0</v>
      </c>
      <c r="S518" s="772">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4">
        <f t="shared" si="93"/>
        <v>0</v>
      </c>
      <c r="S519" s="772">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4">
        <f t="shared" si="93"/>
        <v>0</v>
      </c>
      <c r="S520" s="772">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4">
        <f t="shared" si="93"/>
        <v>0</v>
      </c>
      <c r="S521" s="772">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4">
        <f t="shared" si="93"/>
        <v>0</v>
      </c>
      <c r="S522" s="772">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4">
        <f t="shared" si="93"/>
        <v>0</v>
      </c>
      <c r="S523" s="772">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93.75">
      <c r="A7" s="2528" t="s">
        <v>2647</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2022年3月29日（评估专业人员勘察现场之日）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30"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44649</v>
      </c>
      <c r="H1" s="2593">
        <f>IF(C1&gt;C13,0,MATCH(C1,C$13:C$107,-1))+IF(SUMIF(C13:C107,C1,D13:D107)=0,13,12)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2</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5">
      <c r="A18" s="2638"/>
      <c r="B18" s="2645"/>
      <c r="C18" s="2646">
        <v>43728</v>
      </c>
      <c r="D18" s="2645">
        <v>4.2</v>
      </c>
      <c r="E18" s="2645">
        <v>4.2</v>
      </c>
      <c r="F18" s="2645">
        <v>4.2</v>
      </c>
      <c r="G18" s="2645">
        <v>4.2</v>
      </c>
      <c r="H18" s="2645">
        <v>4.8499999999999996</v>
      </c>
      <c r="I18" s="2645"/>
      <c r="J18" s="2645"/>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row>
    <row r="19" spans="1:256" s="3218" customFormat="1" ht="14.25">
      <c r="A19" s="2638"/>
      <c r="B19" s="2639" t="s">
        <v>2911</v>
      </c>
      <c r="C19" s="2647">
        <v>43697</v>
      </c>
      <c r="D19" s="3210">
        <v>4.25</v>
      </c>
      <c r="E19" s="3210">
        <v>4.25</v>
      </c>
      <c r="F19" s="3210">
        <v>4.25</v>
      </c>
      <c r="G19" s="3210">
        <v>4.25</v>
      </c>
      <c r="H19" s="3210">
        <v>4.8499999999999996</v>
      </c>
      <c r="I19" s="3210"/>
      <c r="J19" s="3210"/>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4.25">
      <c r="A20" s="3213"/>
      <c r="B20" s="3214"/>
      <c r="C20" s="3215">
        <v>42301</v>
      </c>
      <c r="D20" s="3216">
        <v>4.3499999999999996</v>
      </c>
      <c r="E20" s="3216">
        <v>4.3499999999999996</v>
      </c>
      <c r="F20" s="3216">
        <v>4.75</v>
      </c>
      <c r="G20" s="3216">
        <v>4.75</v>
      </c>
      <c r="H20" s="3216">
        <v>4.9000000000000004</v>
      </c>
      <c r="I20" s="3216"/>
      <c r="J20" s="3216"/>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topLeftCell="A46" workbookViewId="0">
      <selection activeCell="B72" sqref="B72"/>
    </sheetView>
  </sheetViews>
  <sheetFormatPr defaultRowHeight="13.5"/>
  <cols>
    <col min="1" max="1" width="16.375" customWidth="1"/>
    <col min="2" max="2" width="10.5" bestFit="1" customWidth="1"/>
    <col min="4" max="4" width="9.5" bestFit="1" customWidth="1"/>
  </cols>
  <sheetData>
    <row r="1" spans="1:4">
      <c r="A1" s="3180" t="s">
        <v>3067</v>
      </c>
    </row>
    <row r="2" spans="1:4">
      <c r="A2" s="3180" t="s">
        <v>3068</v>
      </c>
      <c r="B2" s="3180" t="s">
        <v>3069</v>
      </c>
    </row>
    <row r="3" spans="1:4">
      <c r="A3" s="3180" t="s">
        <v>3070</v>
      </c>
      <c r="B3">
        <v>22115.200000000001</v>
      </c>
    </row>
    <row r="4" spans="1:4">
      <c r="A4" s="3180" t="s">
        <v>3071</v>
      </c>
      <c r="B4" s="3180" t="s">
        <v>3118</v>
      </c>
    </row>
    <row r="5" spans="1:4">
      <c r="A5" s="3180" t="s">
        <v>3072</v>
      </c>
      <c r="B5" s="3180" t="s">
        <v>3073</v>
      </c>
    </row>
    <row r="6" spans="1:4">
      <c r="A6" s="3180" t="s">
        <v>3074</v>
      </c>
      <c r="B6" s="3423">
        <v>44657</v>
      </c>
    </row>
    <row r="7" spans="1:4">
      <c r="A7" s="3180" t="s">
        <v>3075</v>
      </c>
      <c r="B7" s="3180" t="s">
        <v>3076</v>
      </c>
    </row>
    <row r="8" spans="1:4">
      <c r="A8" s="3180" t="s">
        <v>3077</v>
      </c>
      <c r="B8">
        <v>44230.400000000001</v>
      </c>
    </row>
    <row r="9" spans="1:4">
      <c r="A9" s="3180" t="s">
        <v>3078</v>
      </c>
      <c r="B9" s="3423">
        <v>44623</v>
      </c>
      <c r="D9" s="3423">
        <v>70190</v>
      </c>
    </row>
    <row r="18" spans="1:2">
      <c r="A18" s="3180" t="s">
        <v>3079</v>
      </c>
      <c r="B18">
        <v>2</v>
      </c>
    </row>
    <row r="67" spans="1:2">
      <c r="A67" s="3180" t="s">
        <v>3081</v>
      </c>
      <c r="B67" s="3180" t="s">
        <v>3082</v>
      </c>
    </row>
    <row r="68" spans="1:2">
      <c r="A68" s="3180" t="s">
        <v>3083</v>
      </c>
      <c r="B68">
        <v>147600</v>
      </c>
    </row>
    <row r="69" spans="1:2">
      <c r="A69" s="3180" t="s">
        <v>3085</v>
      </c>
      <c r="B69">
        <v>33371</v>
      </c>
    </row>
    <row r="70" spans="1:2">
      <c r="A70" s="3180" t="s">
        <v>3086</v>
      </c>
      <c r="B70" s="3423">
        <v>44973</v>
      </c>
    </row>
    <row r="71" spans="1:2">
      <c r="A71" s="3180" t="s">
        <v>3087</v>
      </c>
      <c r="B71" s="3423">
        <v>46068</v>
      </c>
    </row>
    <row r="72" spans="1:2">
      <c r="A72" s="3180" t="s">
        <v>3088</v>
      </c>
      <c r="B72" s="3180" t="s">
        <v>3089</v>
      </c>
    </row>
    <row r="73" spans="1:2">
      <c r="A73" s="3180" t="s">
        <v>3090</v>
      </c>
      <c r="B73" s="3423">
        <v>44634</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120" zoomScaleNormal="120" workbookViewId="0">
      <selection activeCell="F24" sqref="F24"/>
    </sheetView>
  </sheetViews>
  <sheetFormatPr defaultRowHeight="13.5"/>
  <cols>
    <col min="1" max="1" width="21.75" customWidth="1"/>
  </cols>
  <sheetData>
    <row r="1" spans="1:6" ht="40.5" customHeight="1">
      <c r="A1" s="3180" t="s">
        <v>3091</v>
      </c>
      <c r="B1" s="3180" t="s">
        <v>3110</v>
      </c>
    </row>
    <row r="2" spans="1:6">
      <c r="A2" s="3180" t="s">
        <v>3092</v>
      </c>
      <c r="B2">
        <v>22115.200000000001</v>
      </c>
      <c r="C2" s="3180" t="s">
        <v>3111</v>
      </c>
    </row>
    <row r="3" spans="1:6">
      <c r="A3" s="3180" t="s">
        <v>3094</v>
      </c>
      <c r="B3">
        <f>B4+B10</f>
        <v>66869.97</v>
      </c>
      <c r="C3" s="3180" t="s">
        <v>3111</v>
      </c>
    </row>
    <row r="4" spans="1:6">
      <c r="A4" s="3180" t="s">
        <v>3095</v>
      </c>
      <c r="B4">
        <v>44230.400000000001</v>
      </c>
      <c r="C4" s="3180" t="s">
        <v>3111</v>
      </c>
    </row>
    <row r="5" spans="1:6">
      <c r="A5" s="3180" t="s">
        <v>3096</v>
      </c>
      <c r="B5" s="3425">
        <v>43988.19</v>
      </c>
      <c r="C5" s="3180" t="s">
        <v>3111</v>
      </c>
    </row>
    <row r="6" spans="1:6">
      <c r="A6" s="3180" t="s">
        <v>3335</v>
      </c>
      <c r="B6" s="3427">
        <v>151.1</v>
      </c>
      <c r="C6" s="3180" t="s">
        <v>3111</v>
      </c>
      <c r="D6" s="3180" t="s">
        <v>3116</v>
      </c>
      <c r="E6" s="3180" t="s">
        <v>3117</v>
      </c>
      <c r="F6">
        <v>100</v>
      </c>
    </row>
    <row r="7" spans="1:6">
      <c r="A7" s="3180" t="s">
        <v>3336</v>
      </c>
      <c r="B7">
        <v>14.29</v>
      </c>
      <c r="C7" s="3180" t="s">
        <v>3111</v>
      </c>
      <c r="E7" s="3180" t="s">
        <v>3345</v>
      </c>
      <c r="F7">
        <v>51.1</v>
      </c>
    </row>
    <row r="8" spans="1:6">
      <c r="A8" s="3180" t="s">
        <v>3337</v>
      </c>
      <c r="B8">
        <v>28</v>
      </c>
      <c r="C8" s="3180" t="s">
        <v>3111</v>
      </c>
    </row>
    <row r="9" spans="1:6">
      <c r="A9" s="3180" t="s">
        <v>3338</v>
      </c>
      <c r="B9">
        <v>48.82</v>
      </c>
      <c r="C9" s="3180" t="s">
        <v>3111</v>
      </c>
    </row>
    <row r="10" spans="1:6">
      <c r="A10" s="3180" t="s">
        <v>3097</v>
      </c>
      <c r="B10">
        <v>22639.57</v>
      </c>
      <c r="C10" s="3180" t="s">
        <v>3111</v>
      </c>
    </row>
    <row r="11" spans="1:6">
      <c r="A11" s="3180" t="s">
        <v>3339</v>
      </c>
      <c r="B11">
        <v>18682.57</v>
      </c>
      <c r="C11" s="3180" t="s">
        <v>3111</v>
      </c>
    </row>
    <row r="12" spans="1:6">
      <c r="A12" s="3180" t="s">
        <v>3098</v>
      </c>
      <c r="B12" s="3427">
        <v>1156</v>
      </c>
      <c r="C12" s="3180" t="s">
        <v>3111</v>
      </c>
      <c r="D12" s="3180" t="s">
        <v>3346</v>
      </c>
      <c r="E12" s="3180" t="s">
        <v>3347</v>
      </c>
      <c r="F12">
        <v>30</v>
      </c>
    </row>
    <row r="13" spans="1:6">
      <c r="A13" s="3180" t="s">
        <v>3340</v>
      </c>
      <c r="B13">
        <v>440</v>
      </c>
      <c r="C13" s="3180" t="s">
        <v>3111</v>
      </c>
      <c r="E13" s="3180" t="s">
        <v>3348</v>
      </c>
      <c r="F13">
        <v>50</v>
      </c>
    </row>
    <row r="14" spans="1:6">
      <c r="A14" s="3180" t="s">
        <v>3341</v>
      </c>
      <c r="B14">
        <v>11890.43</v>
      </c>
      <c r="C14" s="3180" t="s">
        <v>3111</v>
      </c>
      <c r="E14" s="3180" t="s">
        <v>3349</v>
      </c>
      <c r="F14">
        <v>30</v>
      </c>
    </row>
    <row r="15" spans="1:6">
      <c r="A15" s="3180" t="s">
        <v>3342</v>
      </c>
      <c r="B15">
        <v>3005.41</v>
      </c>
      <c r="C15" s="3180" t="s">
        <v>3111</v>
      </c>
      <c r="E15" s="3180" t="s">
        <v>3350</v>
      </c>
      <c r="F15">
        <v>180</v>
      </c>
    </row>
    <row r="16" spans="1:6">
      <c r="A16" s="3180" t="s">
        <v>3343</v>
      </c>
      <c r="B16">
        <v>2190.73</v>
      </c>
      <c r="C16" s="3180"/>
      <c r="D16" s="3180"/>
      <c r="E16" s="3180" t="s">
        <v>3351</v>
      </c>
      <c r="F16">
        <v>220</v>
      </c>
    </row>
    <row r="17" spans="1:6">
      <c r="A17" s="3180" t="s">
        <v>3344</v>
      </c>
      <c r="B17">
        <v>3957</v>
      </c>
      <c r="C17" s="3180"/>
      <c r="D17" s="3180"/>
      <c r="E17" s="3180" t="s">
        <v>3352</v>
      </c>
      <c r="F17">
        <v>50</v>
      </c>
    </row>
    <row r="18" spans="1:6">
      <c r="A18" s="3180" t="s">
        <v>3099</v>
      </c>
      <c r="B18" s="3424">
        <v>0.156</v>
      </c>
      <c r="E18" s="3180" t="s">
        <v>3353</v>
      </c>
      <c r="F18">
        <v>50</v>
      </c>
    </row>
    <row r="19" spans="1:6">
      <c r="A19" s="3180" t="s">
        <v>3079</v>
      </c>
      <c r="B19">
        <v>2</v>
      </c>
      <c r="E19" s="3180" t="s">
        <v>3354</v>
      </c>
      <c r="F19">
        <v>546</v>
      </c>
    </row>
    <row r="20" spans="1:6">
      <c r="A20" s="3180" t="s">
        <v>3100</v>
      </c>
      <c r="B20" s="3424">
        <v>0.30130000000000001</v>
      </c>
      <c r="E20" s="3180"/>
    </row>
    <row r="21" spans="1:6">
      <c r="A21" s="3180" t="s">
        <v>3101</v>
      </c>
      <c r="B21">
        <v>45</v>
      </c>
      <c r="C21" s="3180" t="s">
        <v>3112</v>
      </c>
      <c r="E21" s="3180"/>
    </row>
    <row r="22" spans="1:6">
      <c r="A22" s="3180" t="s">
        <v>3102</v>
      </c>
      <c r="B22">
        <v>416</v>
      </c>
      <c r="C22" s="3180" t="s">
        <v>3113</v>
      </c>
      <c r="E22" s="3180"/>
    </row>
    <row r="23" spans="1:6">
      <c r="A23" s="3180" t="s">
        <v>3103</v>
      </c>
      <c r="B23">
        <v>1020</v>
      </c>
      <c r="C23" s="3180" t="s">
        <v>3114</v>
      </c>
      <c r="E23" s="3180"/>
    </row>
    <row r="24" spans="1:6">
      <c r="A24" s="3180" t="s">
        <v>3104</v>
      </c>
      <c r="B24">
        <v>505</v>
      </c>
      <c r="C24" s="3180" t="s">
        <v>3115</v>
      </c>
      <c r="E24" s="3180"/>
    </row>
    <row r="25" spans="1:6">
      <c r="A25" s="3180" t="s">
        <v>3105</v>
      </c>
      <c r="B25">
        <v>0</v>
      </c>
      <c r="C25" s="3180" t="s">
        <v>3115</v>
      </c>
      <c r="E25" s="3180"/>
    </row>
    <row r="26" spans="1:6">
      <c r="A26" s="3180" t="s">
        <v>3106</v>
      </c>
      <c r="B26">
        <v>505</v>
      </c>
      <c r="C26" s="3180" t="s">
        <v>3115</v>
      </c>
      <c r="D26">
        <f>ROUND(B14/(B14+B17)*B26,0)</f>
        <v>379</v>
      </c>
    </row>
    <row r="27" spans="1:6">
      <c r="A27" s="3180" t="s">
        <v>3107</v>
      </c>
      <c r="B27">
        <v>844</v>
      </c>
      <c r="C27" s="3180" t="s">
        <v>3115</v>
      </c>
    </row>
    <row r="28" spans="1:6">
      <c r="A28" s="3180" t="s">
        <v>3108</v>
      </c>
      <c r="B28">
        <v>554</v>
      </c>
      <c r="C28" s="3180" t="s">
        <v>3115</v>
      </c>
    </row>
    <row r="29" spans="1:6">
      <c r="A29" s="3180" t="s">
        <v>3109</v>
      </c>
      <c r="B29">
        <v>290</v>
      </c>
      <c r="C29" s="3180" t="s">
        <v>3115</v>
      </c>
    </row>
    <row r="30" spans="1:6">
      <c r="A30" s="3180"/>
      <c r="B30" s="3180"/>
      <c r="C30" s="3180"/>
    </row>
    <row r="31" spans="1:6">
      <c r="A31" s="3180"/>
      <c r="B31" s="3180">
        <f>B3-B17-B8</f>
        <v>62884.97</v>
      </c>
    </row>
    <row r="32" spans="1:6">
      <c r="A32" s="3180"/>
      <c r="B32" s="3180"/>
    </row>
    <row r="33" spans="1:1">
      <c r="A33" s="3180"/>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topLeftCell="A16" zoomScale="90" zoomScaleNormal="90" workbookViewId="0">
      <selection activeCell="S49" sqref="S49"/>
    </sheetView>
  </sheetViews>
  <sheetFormatPr defaultRowHeight="13.5"/>
  <cols>
    <col min="10" max="10" width="11.625" bestFit="1" customWidth="1"/>
  </cols>
  <sheetData>
    <row r="1" spans="1:18">
      <c r="A1" t="s">
        <v>3119</v>
      </c>
      <c r="B1" t="s">
        <v>3120</v>
      </c>
      <c r="C1" t="s">
        <v>3121</v>
      </c>
      <c r="D1" t="s">
        <v>3122</v>
      </c>
      <c r="E1" t="s">
        <v>3123</v>
      </c>
      <c r="F1" t="s">
        <v>3124</v>
      </c>
      <c r="G1" t="s">
        <v>2006</v>
      </c>
      <c r="H1" t="s">
        <v>3125</v>
      </c>
      <c r="I1" t="s">
        <v>3126</v>
      </c>
      <c r="J1" t="s">
        <v>3127</v>
      </c>
      <c r="K1" t="s">
        <v>3128</v>
      </c>
      <c r="L1" t="s">
        <v>3129</v>
      </c>
      <c r="M1" t="s">
        <v>3130</v>
      </c>
      <c r="N1" t="s">
        <v>3131</v>
      </c>
      <c r="O1" t="s">
        <v>3132</v>
      </c>
      <c r="P1" t="s">
        <v>3080</v>
      </c>
      <c r="Q1" t="s">
        <v>3133</v>
      </c>
      <c r="R1" t="s">
        <v>3134</v>
      </c>
    </row>
    <row r="2" spans="1:18" s="3427" customFormat="1">
      <c r="A2" s="3427" t="s">
        <v>3212</v>
      </c>
      <c r="B2" s="3427" t="s">
        <v>3136</v>
      </c>
      <c r="C2" s="3427" t="s">
        <v>3137</v>
      </c>
      <c r="D2" s="3427" t="s">
        <v>3138</v>
      </c>
      <c r="E2" s="3427">
        <v>54735.8</v>
      </c>
      <c r="F2" s="3427">
        <v>153260.24</v>
      </c>
      <c r="G2" s="3427" t="s">
        <v>3189</v>
      </c>
      <c r="H2" s="3427" t="s">
        <v>3139</v>
      </c>
      <c r="I2" s="3427" t="s">
        <v>3194</v>
      </c>
      <c r="J2" s="3428">
        <v>43782.000497685185</v>
      </c>
      <c r="K2" s="3427" t="s">
        <v>3213</v>
      </c>
      <c r="L2" s="3427">
        <v>428150</v>
      </c>
      <c r="M2" s="3427">
        <v>5214.75</v>
      </c>
      <c r="N2" s="3427">
        <v>27936</v>
      </c>
      <c r="O2" s="3427">
        <v>0.5</v>
      </c>
      <c r="P2" s="3427" t="s">
        <v>3170</v>
      </c>
      <c r="Q2" s="3427" t="s">
        <v>3140</v>
      </c>
      <c r="R2" s="3427" t="s">
        <v>3214</v>
      </c>
    </row>
    <row r="3" spans="1:18" s="3427" customFormat="1">
      <c r="A3" s="3427" t="s">
        <v>3223</v>
      </c>
      <c r="B3" s="3427" t="s">
        <v>3136</v>
      </c>
      <c r="C3" s="3427" t="s">
        <v>3137</v>
      </c>
      <c r="D3" s="3427" t="s">
        <v>3138</v>
      </c>
      <c r="E3" s="3427">
        <v>42541</v>
      </c>
      <c r="F3" s="3427">
        <v>108922</v>
      </c>
      <c r="G3" s="3427">
        <v>2.8</v>
      </c>
      <c r="H3" s="3427" t="s">
        <v>3224</v>
      </c>
      <c r="I3" s="3427" t="s">
        <v>3225</v>
      </c>
      <c r="J3" s="3428">
        <v>43782</v>
      </c>
      <c r="K3" s="3427" t="s">
        <v>3226</v>
      </c>
      <c r="L3" s="3427">
        <v>307000</v>
      </c>
      <c r="M3" s="3427">
        <v>4811</v>
      </c>
      <c r="N3" s="3427">
        <v>28185</v>
      </c>
      <c r="O3" s="3429">
        <v>5.1400000000000001E-2</v>
      </c>
      <c r="P3" s="3427" t="s">
        <v>3170</v>
      </c>
      <c r="R3" s="3427">
        <v>57965</v>
      </c>
    </row>
    <row r="4" spans="1:18" s="3427" customFormat="1">
      <c r="A4" s="3427" t="s">
        <v>3227</v>
      </c>
      <c r="B4" s="3427" t="s">
        <v>3136</v>
      </c>
      <c r="C4" s="3427" t="s">
        <v>3228</v>
      </c>
      <c r="D4" s="3427" t="s">
        <v>3229</v>
      </c>
      <c r="E4" s="3427">
        <v>56722</v>
      </c>
      <c r="F4" s="3427">
        <v>124449</v>
      </c>
      <c r="G4" s="3427">
        <v>2.5</v>
      </c>
      <c r="H4" s="3427" t="s">
        <v>3230</v>
      </c>
      <c r="I4" s="3427" t="s">
        <v>3225</v>
      </c>
      <c r="J4" s="3428">
        <v>43753</v>
      </c>
      <c r="K4" s="3427" t="s">
        <v>3231</v>
      </c>
      <c r="L4" s="3427">
        <v>443000</v>
      </c>
      <c r="M4" s="3427">
        <v>5206.6400000000003</v>
      </c>
      <c r="N4" s="3427">
        <v>35597</v>
      </c>
      <c r="O4" s="3429">
        <v>0.34239999999999998</v>
      </c>
      <c r="P4" s="3427" t="s">
        <v>3170</v>
      </c>
    </row>
    <row r="7" spans="1:18">
      <c r="A7" t="s">
        <v>3119</v>
      </c>
      <c r="B7" t="s">
        <v>3120</v>
      </c>
      <c r="C7" t="s">
        <v>3121</v>
      </c>
      <c r="D7" t="s">
        <v>3122</v>
      </c>
      <c r="E7" t="s">
        <v>3123</v>
      </c>
      <c r="F7" t="s">
        <v>3124</v>
      </c>
      <c r="G7" t="s">
        <v>2006</v>
      </c>
      <c r="H7" t="s">
        <v>3125</v>
      </c>
      <c r="I7" t="s">
        <v>3126</v>
      </c>
      <c r="J7" t="s">
        <v>3127</v>
      </c>
      <c r="K7" t="s">
        <v>3128</v>
      </c>
      <c r="L7" t="s">
        <v>3129</v>
      </c>
      <c r="M7" t="s">
        <v>3130</v>
      </c>
      <c r="N7" t="s">
        <v>3131</v>
      </c>
      <c r="O7" t="s">
        <v>3132</v>
      </c>
      <c r="P7" t="s">
        <v>3080</v>
      </c>
      <c r="Q7" t="s">
        <v>3133</v>
      </c>
      <c r="R7" t="s">
        <v>3134</v>
      </c>
    </row>
    <row r="8" spans="1:18" s="3425" customFormat="1">
      <c r="A8" s="3425" t="s">
        <v>3135</v>
      </c>
      <c r="B8" s="3425" t="s">
        <v>3136</v>
      </c>
      <c r="C8" s="3425" t="s">
        <v>3137</v>
      </c>
      <c r="D8" s="3425" t="s">
        <v>3138</v>
      </c>
      <c r="E8" s="3425">
        <v>22115.200000000001</v>
      </c>
      <c r="F8" s="3425">
        <v>44230.400000000001</v>
      </c>
      <c r="G8" s="3425">
        <v>2</v>
      </c>
      <c r="H8" s="3425" t="s">
        <v>3139</v>
      </c>
      <c r="I8" s="3425" t="s">
        <v>3141</v>
      </c>
      <c r="J8" s="3426">
        <v>44609.000497685185</v>
      </c>
      <c r="K8" s="3425" t="s">
        <v>3143</v>
      </c>
      <c r="L8" s="3425">
        <v>147600</v>
      </c>
      <c r="M8" s="3425">
        <v>4449.43</v>
      </c>
      <c r="N8" s="3425">
        <v>33371</v>
      </c>
      <c r="O8" s="3425">
        <v>1.1000000000000001</v>
      </c>
      <c r="P8" s="3425" t="s">
        <v>3144</v>
      </c>
      <c r="Q8" s="3425" t="s">
        <v>3145</v>
      </c>
      <c r="R8" s="3425" t="s">
        <v>3146</v>
      </c>
    </row>
    <row r="9" spans="1:18">
      <c r="A9" t="s">
        <v>3147</v>
      </c>
      <c r="B9" t="s">
        <v>3136</v>
      </c>
      <c r="C9" t="s">
        <v>3148</v>
      </c>
      <c r="D9" t="s">
        <v>3138</v>
      </c>
      <c r="E9">
        <v>23519.8</v>
      </c>
      <c r="F9">
        <v>58799.5</v>
      </c>
      <c r="G9">
        <v>2.5</v>
      </c>
      <c r="H9" t="s">
        <v>3139</v>
      </c>
      <c r="I9" t="s">
        <v>3149</v>
      </c>
      <c r="J9" s="3423">
        <v>44609.000497685185</v>
      </c>
      <c r="K9" t="s">
        <v>3150</v>
      </c>
      <c r="L9">
        <v>248000</v>
      </c>
      <c r="M9">
        <v>7029.54</v>
      </c>
      <c r="N9">
        <v>42177</v>
      </c>
      <c r="O9">
        <v>11.21</v>
      </c>
      <c r="P9" t="s">
        <v>3144</v>
      </c>
      <c r="Q9" t="s">
        <v>3151</v>
      </c>
      <c r="R9" t="s">
        <v>3152</v>
      </c>
    </row>
    <row r="10" spans="1:18">
      <c r="A10" t="s">
        <v>3153</v>
      </c>
      <c r="B10" t="s">
        <v>3136</v>
      </c>
      <c r="C10" t="s">
        <v>3154</v>
      </c>
      <c r="D10" t="s">
        <v>3138</v>
      </c>
      <c r="E10">
        <v>40082.199999999997</v>
      </c>
      <c r="F10">
        <v>60123.3</v>
      </c>
      <c r="G10">
        <v>1.5</v>
      </c>
      <c r="H10" t="s">
        <v>3155</v>
      </c>
      <c r="I10" t="s">
        <v>3142</v>
      </c>
      <c r="J10" s="3423">
        <v>44550.000497685185</v>
      </c>
      <c r="K10" t="s">
        <v>3156</v>
      </c>
      <c r="L10">
        <v>81924.009999999995</v>
      </c>
      <c r="M10">
        <v>1362.6</v>
      </c>
      <c r="N10">
        <v>13626</v>
      </c>
      <c r="O10">
        <v>0</v>
      </c>
      <c r="P10">
        <v>50</v>
      </c>
      <c r="Q10" t="s">
        <v>3140</v>
      </c>
      <c r="R10" t="s">
        <v>3140</v>
      </c>
    </row>
    <row r="11" spans="1:18">
      <c r="A11" t="s">
        <v>3157</v>
      </c>
      <c r="B11" t="s">
        <v>3136</v>
      </c>
      <c r="C11" t="s">
        <v>3158</v>
      </c>
      <c r="D11" t="s">
        <v>3138</v>
      </c>
      <c r="E11">
        <v>71316.899999999994</v>
      </c>
      <c r="F11">
        <v>178292.25</v>
      </c>
      <c r="G11" t="s">
        <v>3159</v>
      </c>
      <c r="H11" t="s">
        <v>3139</v>
      </c>
      <c r="I11" t="s">
        <v>3149</v>
      </c>
      <c r="J11" s="3423">
        <v>44481.000497685185</v>
      </c>
      <c r="K11" t="s">
        <v>3160</v>
      </c>
      <c r="L11">
        <v>685000</v>
      </c>
      <c r="M11">
        <v>6403.34</v>
      </c>
      <c r="N11">
        <v>38420</v>
      </c>
      <c r="O11">
        <v>0</v>
      </c>
      <c r="P11" t="s">
        <v>3161</v>
      </c>
      <c r="Q11" t="s">
        <v>3162</v>
      </c>
      <c r="R11" t="s">
        <v>3163</v>
      </c>
    </row>
    <row r="12" spans="1:18">
      <c r="A12" t="s">
        <v>3164</v>
      </c>
      <c r="B12" t="s">
        <v>3165</v>
      </c>
      <c r="C12" t="s">
        <v>3166</v>
      </c>
      <c r="D12" t="s">
        <v>3138</v>
      </c>
      <c r="E12">
        <v>74400.31</v>
      </c>
      <c r="F12">
        <v>171120.71</v>
      </c>
      <c r="G12" t="s">
        <v>3167</v>
      </c>
      <c r="H12" t="s">
        <v>3139</v>
      </c>
      <c r="I12" t="s">
        <v>3168</v>
      </c>
      <c r="J12" s="3423">
        <v>44327.000497685185</v>
      </c>
      <c r="K12" t="s">
        <v>3169</v>
      </c>
      <c r="L12">
        <v>620000</v>
      </c>
      <c r="M12">
        <v>5555.53</v>
      </c>
      <c r="N12">
        <v>36232</v>
      </c>
      <c r="O12">
        <v>5.08</v>
      </c>
      <c r="P12" t="s">
        <v>3170</v>
      </c>
      <c r="Q12" t="s">
        <v>3171</v>
      </c>
      <c r="R12" t="s">
        <v>3140</v>
      </c>
    </row>
    <row r="13" spans="1:18">
      <c r="A13" t="s">
        <v>3172</v>
      </c>
      <c r="B13" t="s">
        <v>3165</v>
      </c>
      <c r="C13" t="s">
        <v>3173</v>
      </c>
      <c r="D13" t="s">
        <v>3138</v>
      </c>
      <c r="E13">
        <v>90083.7</v>
      </c>
      <c r="F13">
        <v>126117.18</v>
      </c>
      <c r="G13" t="s">
        <v>3174</v>
      </c>
      <c r="H13" t="s">
        <v>3139</v>
      </c>
      <c r="I13" t="s">
        <v>3175</v>
      </c>
      <c r="J13" s="3423">
        <v>44327.000497685185</v>
      </c>
      <c r="K13" t="s">
        <v>3176</v>
      </c>
      <c r="L13">
        <v>371000</v>
      </c>
      <c r="M13">
        <v>2745.59</v>
      </c>
      <c r="N13">
        <v>29417</v>
      </c>
      <c r="O13">
        <v>1.0900000000000001</v>
      </c>
      <c r="P13" t="s">
        <v>3170</v>
      </c>
      <c r="Q13" t="s">
        <v>3177</v>
      </c>
      <c r="R13" t="s">
        <v>3140</v>
      </c>
    </row>
    <row r="14" spans="1:18">
      <c r="A14" t="s">
        <v>3178</v>
      </c>
      <c r="B14" t="s">
        <v>3136</v>
      </c>
      <c r="C14" t="s">
        <v>3179</v>
      </c>
      <c r="D14" t="s">
        <v>3138</v>
      </c>
      <c r="E14">
        <v>48407.51</v>
      </c>
      <c r="F14">
        <v>96815.01</v>
      </c>
      <c r="G14" t="s">
        <v>3180</v>
      </c>
      <c r="H14" t="s">
        <v>3139</v>
      </c>
      <c r="I14" t="s">
        <v>3181</v>
      </c>
      <c r="J14" s="3423">
        <v>44324.000497685185</v>
      </c>
      <c r="K14" t="s">
        <v>3182</v>
      </c>
      <c r="L14">
        <v>145800</v>
      </c>
      <c r="M14">
        <v>2007.95</v>
      </c>
      <c r="N14">
        <v>15060</v>
      </c>
      <c r="O14">
        <v>0</v>
      </c>
      <c r="P14" t="s">
        <v>3170</v>
      </c>
      <c r="Q14" t="s">
        <v>3183</v>
      </c>
      <c r="R14" t="s">
        <v>3140</v>
      </c>
    </row>
    <row r="15" spans="1:18">
      <c r="A15" t="s">
        <v>3184</v>
      </c>
      <c r="B15" t="s">
        <v>3136</v>
      </c>
      <c r="C15" t="s">
        <v>3185</v>
      </c>
      <c r="D15" t="s">
        <v>3138</v>
      </c>
      <c r="E15">
        <v>56860.73</v>
      </c>
      <c r="F15">
        <v>133065.75</v>
      </c>
      <c r="G15" t="s">
        <v>3167</v>
      </c>
      <c r="H15" t="s">
        <v>3139</v>
      </c>
      <c r="I15" t="s">
        <v>3181</v>
      </c>
      <c r="J15" s="3423">
        <v>44222.000497685185</v>
      </c>
      <c r="K15" t="s">
        <v>3186</v>
      </c>
      <c r="L15">
        <v>465700</v>
      </c>
      <c r="M15">
        <v>5460.12</v>
      </c>
      <c r="N15">
        <v>34998</v>
      </c>
      <c r="O15">
        <v>10.88</v>
      </c>
      <c r="P15" t="s">
        <v>3170</v>
      </c>
      <c r="Q15" t="s">
        <v>3140</v>
      </c>
      <c r="R15" t="s">
        <v>3140</v>
      </c>
    </row>
    <row r="16" spans="1:18">
      <c r="A16" t="s">
        <v>3187</v>
      </c>
      <c r="B16" t="s">
        <v>3165</v>
      </c>
      <c r="C16" t="s">
        <v>3188</v>
      </c>
      <c r="D16" t="s">
        <v>3138</v>
      </c>
      <c r="E16">
        <v>17831.97</v>
      </c>
      <c r="F16">
        <v>55141</v>
      </c>
      <c r="G16" t="s">
        <v>3189</v>
      </c>
      <c r="H16" t="s">
        <v>3139</v>
      </c>
      <c r="I16" t="s">
        <v>3181</v>
      </c>
      <c r="J16" s="3423">
        <v>43970.000497685185</v>
      </c>
      <c r="K16" t="s">
        <v>3186</v>
      </c>
      <c r="L16">
        <v>420000</v>
      </c>
      <c r="M16">
        <v>15702.13</v>
      </c>
      <c r="N16">
        <v>76168</v>
      </c>
      <c r="O16">
        <v>42.08</v>
      </c>
      <c r="P16" t="s">
        <v>3161</v>
      </c>
      <c r="Q16" t="s">
        <v>3140</v>
      </c>
      <c r="R16" t="s">
        <v>3140</v>
      </c>
    </row>
    <row r="17" spans="1:18">
      <c r="A17" t="s">
        <v>3190</v>
      </c>
      <c r="B17" t="s">
        <v>3165</v>
      </c>
      <c r="C17" t="s">
        <v>3188</v>
      </c>
      <c r="D17" t="s">
        <v>3138</v>
      </c>
      <c r="E17">
        <v>29750.73</v>
      </c>
      <c r="F17">
        <v>88484</v>
      </c>
      <c r="G17" t="s">
        <v>3189</v>
      </c>
      <c r="H17" t="s">
        <v>3139</v>
      </c>
      <c r="I17" t="s">
        <v>3181</v>
      </c>
      <c r="J17" s="3423">
        <v>43970.000497685185</v>
      </c>
      <c r="K17" t="s">
        <v>3186</v>
      </c>
      <c r="L17">
        <v>654000</v>
      </c>
      <c r="M17">
        <v>14655.1</v>
      </c>
      <c r="N17">
        <v>73912</v>
      </c>
      <c r="O17">
        <v>37.86</v>
      </c>
      <c r="P17" t="s">
        <v>3161</v>
      </c>
      <c r="Q17" t="s">
        <v>3140</v>
      </c>
      <c r="R17" t="s">
        <v>3140</v>
      </c>
    </row>
    <row r="18" spans="1:18">
      <c r="A18" t="s">
        <v>3191</v>
      </c>
      <c r="B18" t="s">
        <v>3165</v>
      </c>
      <c r="C18" t="s">
        <v>3188</v>
      </c>
      <c r="D18" t="s">
        <v>3138</v>
      </c>
      <c r="E18">
        <v>33194.400000000001</v>
      </c>
      <c r="F18">
        <v>107437</v>
      </c>
      <c r="G18" t="s">
        <v>3189</v>
      </c>
      <c r="H18" t="s">
        <v>3139</v>
      </c>
      <c r="I18" t="s">
        <v>3181</v>
      </c>
      <c r="J18" s="3423">
        <v>43960.000497685185</v>
      </c>
      <c r="K18" t="s">
        <v>3186</v>
      </c>
      <c r="L18">
        <v>722000</v>
      </c>
      <c r="M18">
        <v>14500.44</v>
      </c>
      <c r="N18">
        <v>67202</v>
      </c>
      <c r="O18">
        <v>26.25</v>
      </c>
      <c r="P18" t="s">
        <v>3161</v>
      </c>
      <c r="Q18" t="s">
        <v>3140</v>
      </c>
      <c r="R18" t="s">
        <v>3140</v>
      </c>
    </row>
    <row r="19" spans="1:18">
      <c r="A19" t="s">
        <v>3192</v>
      </c>
      <c r="B19" t="s">
        <v>3136</v>
      </c>
      <c r="C19" t="s">
        <v>3158</v>
      </c>
      <c r="D19" t="s">
        <v>3138</v>
      </c>
      <c r="E19">
        <v>45081.99</v>
      </c>
      <c r="F19">
        <v>94672</v>
      </c>
      <c r="G19" t="s">
        <v>3193</v>
      </c>
      <c r="H19" t="s">
        <v>3139</v>
      </c>
      <c r="I19" t="s">
        <v>3194</v>
      </c>
      <c r="J19" s="3423">
        <v>43950.000497685185</v>
      </c>
      <c r="K19" t="s">
        <v>3195</v>
      </c>
      <c r="L19">
        <v>374000</v>
      </c>
      <c r="M19">
        <v>5530.66</v>
      </c>
      <c r="N19">
        <v>39505</v>
      </c>
      <c r="O19">
        <v>3.03</v>
      </c>
      <c r="P19" t="s">
        <v>3161</v>
      </c>
      <c r="Q19" t="s">
        <v>3140</v>
      </c>
      <c r="R19" t="s">
        <v>3196</v>
      </c>
    </row>
    <row r="20" spans="1:18">
      <c r="A20" t="s">
        <v>3197</v>
      </c>
      <c r="B20" t="s">
        <v>3136</v>
      </c>
      <c r="C20" t="s">
        <v>3198</v>
      </c>
      <c r="D20" t="s">
        <v>3138</v>
      </c>
      <c r="E20">
        <v>20403.86</v>
      </c>
      <c r="F20">
        <v>51009</v>
      </c>
      <c r="G20" t="s">
        <v>3199</v>
      </c>
      <c r="H20" t="s">
        <v>3139</v>
      </c>
      <c r="I20" t="s">
        <v>3181</v>
      </c>
      <c r="J20" s="3423">
        <v>43879.000497685185</v>
      </c>
      <c r="K20" t="s">
        <v>3200</v>
      </c>
      <c r="L20">
        <v>65600</v>
      </c>
      <c r="M20">
        <v>2143.39</v>
      </c>
      <c r="N20">
        <v>12860</v>
      </c>
      <c r="O20">
        <v>0</v>
      </c>
      <c r="P20" t="s">
        <v>3170</v>
      </c>
      <c r="Q20" t="s">
        <v>3140</v>
      </c>
      <c r="R20" t="s">
        <v>3140</v>
      </c>
    </row>
    <row r="21" spans="1:18">
      <c r="A21" t="s">
        <v>3201</v>
      </c>
      <c r="B21" t="s">
        <v>3136</v>
      </c>
      <c r="C21" t="s">
        <v>3198</v>
      </c>
      <c r="D21" t="s">
        <v>3138</v>
      </c>
      <c r="E21">
        <v>20796</v>
      </c>
      <c r="F21">
        <v>21836</v>
      </c>
      <c r="G21" t="s">
        <v>3202</v>
      </c>
      <c r="H21" t="s">
        <v>3139</v>
      </c>
      <c r="I21" t="s">
        <v>3181</v>
      </c>
      <c r="J21" s="3423">
        <v>43872.000497685185</v>
      </c>
      <c r="K21" t="s">
        <v>3203</v>
      </c>
      <c r="L21">
        <v>36000</v>
      </c>
      <c r="M21">
        <v>1154.07</v>
      </c>
      <c r="N21">
        <v>16487</v>
      </c>
      <c r="O21">
        <v>25</v>
      </c>
      <c r="P21" t="s">
        <v>3170</v>
      </c>
      <c r="Q21" t="s">
        <v>3140</v>
      </c>
      <c r="R21" t="s">
        <v>3140</v>
      </c>
    </row>
    <row r="22" spans="1:18">
      <c r="A22" t="s">
        <v>3204</v>
      </c>
      <c r="B22" t="s">
        <v>3165</v>
      </c>
      <c r="C22" t="s">
        <v>3166</v>
      </c>
      <c r="D22" t="s">
        <v>3138</v>
      </c>
      <c r="E22">
        <v>62168.34</v>
      </c>
      <c r="F22">
        <v>186162</v>
      </c>
      <c r="G22" t="s">
        <v>3205</v>
      </c>
      <c r="H22" t="s">
        <v>3139</v>
      </c>
      <c r="I22" t="s">
        <v>3206</v>
      </c>
      <c r="J22" s="3423">
        <v>43812.000497685185</v>
      </c>
      <c r="K22" t="s">
        <v>3207</v>
      </c>
      <c r="L22">
        <v>434800</v>
      </c>
      <c r="M22">
        <v>4662.6099999999997</v>
      </c>
      <c r="N22">
        <v>23356</v>
      </c>
      <c r="O22">
        <v>0</v>
      </c>
      <c r="P22" t="s">
        <v>3170</v>
      </c>
      <c r="Q22" t="s">
        <v>3140</v>
      </c>
      <c r="R22" t="s">
        <v>3208</v>
      </c>
    </row>
    <row r="23" spans="1:18">
      <c r="A23" t="s">
        <v>3209</v>
      </c>
      <c r="B23" t="s">
        <v>3165</v>
      </c>
      <c r="C23" t="s">
        <v>3166</v>
      </c>
      <c r="D23" t="s">
        <v>3138</v>
      </c>
      <c r="E23">
        <v>74642.399999999994</v>
      </c>
      <c r="F23">
        <v>82107</v>
      </c>
      <c r="G23" t="s">
        <v>3210</v>
      </c>
      <c r="H23" t="s">
        <v>3139</v>
      </c>
      <c r="I23" t="s">
        <v>3181</v>
      </c>
      <c r="J23" s="3423">
        <v>43804.000497685185</v>
      </c>
      <c r="K23" t="s">
        <v>3211</v>
      </c>
      <c r="L23">
        <v>260000</v>
      </c>
      <c r="M23">
        <v>2322.1799999999998</v>
      </c>
      <c r="N23">
        <v>31666</v>
      </c>
      <c r="O23">
        <v>0</v>
      </c>
      <c r="P23" t="s">
        <v>3170</v>
      </c>
      <c r="Q23" t="s">
        <v>3140</v>
      </c>
      <c r="R23" t="s">
        <v>3140</v>
      </c>
    </row>
    <row r="24" spans="1:18" s="3427" customFormat="1">
      <c r="A24" s="3427" t="s">
        <v>3212</v>
      </c>
      <c r="B24" s="3427" t="s">
        <v>3136</v>
      </c>
      <c r="C24" s="3427" t="s">
        <v>3137</v>
      </c>
      <c r="D24" s="3427" t="s">
        <v>3138</v>
      </c>
      <c r="E24" s="3427">
        <v>54735.8</v>
      </c>
      <c r="F24" s="3427">
        <v>153260.24</v>
      </c>
      <c r="G24" s="3427" t="s">
        <v>3189</v>
      </c>
      <c r="H24" s="3427" t="s">
        <v>3139</v>
      </c>
      <c r="I24" s="3427" t="s">
        <v>3194</v>
      </c>
      <c r="J24" s="3428">
        <v>43782.000497685185</v>
      </c>
      <c r="K24" s="3427" t="s">
        <v>3213</v>
      </c>
      <c r="L24" s="3427">
        <v>428150</v>
      </c>
      <c r="M24" s="3427">
        <v>5214.75</v>
      </c>
      <c r="N24" s="3427">
        <v>27936</v>
      </c>
      <c r="O24" s="3427">
        <v>0.5</v>
      </c>
      <c r="P24" s="3427" t="s">
        <v>3170</v>
      </c>
      <c r="Q24" s="3427" t="s">
        <v>3140</v>
      </c>
      <c r="R24" s="3427" t="s">
        <v>3214</v>
      </c>
    </row>
    <row r="25" spans="1:18" s="3427" customFormat="1">
      <c r="A25" s="3427" t="s">
        <v>3223</v>
      </c>
      <c r="B25" s="3427" t="s">
        <v>3136</v>
      </c>
      <c r="C25" s="3427" t="s">
        <v>3137</v>
      </c>
      <c r="D25" s="3427" t="s">
        <v>3138</v>
      </c>
      <c r="E25" s="3427">
        <v>42541</v>
      </c>
      <c r="F25" s="3427">
        <v>108922</v>
      </c>
      <c r="G25" s="3427">
        <v>2.8</v>
      </c>
      <c r="H25" s="3427" t="s">
        <v>3224</v>
      </c>
      <c r="I25" s="3427" t="s">
        <v>3225</v>
      </c>
      <c r="J25" s="3428">
        <v>43782</v>
      </c>
      <c r="K25" s="3427" t="s">
        <v>3226</v>
      </c>
      <c r="L25" s="3427">
        <v>307000</v>
      </c>
      <c r="M25" s="3427">
        <v>4811</v>
      </c>
      <c r="N25" s="3427">
        <v>28185</v>
      </c>
      <c r="O25" s="3429">
        <v>5.1400000000000001E-2</v>
      </c>
      <c r="P25" s="3427" t="s">
        <v>3170</v>
      </c>
      <c r="R25" s="3427">
        <v>57965</v>
      </c>
    </row>
    <row r="26" spans="1:18" s="3427" customFormat="1">
      <c r="A26" s="3427" t="s">
        <v>3227</v>
      </c>
      <c r="B26" s="3427" t="s">
        <v>3136</v>
      </c>
      <c r="C26" s="3427" t="s">
        <v>3228</v>
      </c>
      <c r="D26" s="3427" t="s">
        <v>3229</v>
      </c>
      <c r="E26" s="3427">
        <v>56722</v>
      </c>
      <c r="F26" s="3427">
        <v>124449</v>
      </c>
      <c r="G26" s="3427">
        <v>2.5</v>
      </c>
      <c r="H26" s="3427" t="s">
        <v>3230</v>
      </c>
      <c r="I26" s="3427" t="s">
        <v>3225</v>
      </c>
      <c r="J26" s="3428">
        <v>43753</v>
      </c>
      <c r="K26" s="3427" t="s">
        <v>3231</v>
      </c>
      <c r="L26" s="3427">
        <v>443000</v>
      </c>
      <c r="M26" s="3427">
        <v>5206.6400000000003</v>
      </c>
      <c r="N26" s="3427">
        <v>35597</v>
      </c>
      <c r="O26" s="3429">
        <v>0.34239999999999998</v>
      </c>
      <c r="P26" s="3427" t="s">
        <v>3170</v>
      </c>
    </row>
    <row r="27" spans="1:18">
      <c r="A27" t="s">
        <v>3215</v>
      </c>
      <c r="B27" t="s">
        <v>3136</v>
      </c>
      <c r="C27" t="s">
        <v>3154</v>
      </c>
      <c r="D27" t="s">
        <v>3138</v>
      </c>
      <c r="E27">
        <v>45889.5</v>
      </c>
      <c r="F27">
        <v>100957</v>
      </c>
      <c r="G27" t="s">
        <v>3216</v>
      </c>
      <c r="H27" t="s">
        <v>3139</v>
      </c>
      <c r="I27" t="s">
        <v>3194</v>
      </c>
      <c r="J27" s="3423">
        <v>43733.000497685185</v>
      </c>
      <c r="K27" t="s">
        <v>3150</v>
      </c>
      <c r="L27">
        <v>327000</v>
      </c>
      <c r="M27">
        <v>4750.54</v>
      </c>
      <c r="N27">
        <v>32390</v>
      </c>
      <c r="O27">
        <v>25.77</v>
      </c>
      <c r="P27" t="s">
        <v>3170</v>
      </c>
      <c r="Q27" t="s">
        <v>3140</v>
      </c>
      <c r="R27" t="s">
        <v>3217</v>
      </c>
    </row>
    <row r="28" spans="1:18">
      <c r="A28" t="s">
        <v>3218</v>
      </c>
      <c r="B28" t="s">
        <v>3136</v>
      </c>
      <c r="C28" t="s">
        <v>3154</v>
      </c>
      <c r="D28" t="s">
        <v>3138</v>
      </c>
      <c r="E28">
        <v>36478.1</v>
      </c>
      <c r="F28">
        <v>80251.820000000007</v>
      </c>
      <c r="G28" t="s">
        <v>3216</v>
      </c>
      <c r="H28" t="s">
        <v>3139</v>
      </c>
      <c r="I28" t="s">
        <v>3194</v>
      </c>
      <c r="J28" s="3423">
        <v>43637.000497685185</v>
      </c>
      <c r="K28" t="s">
        <v>3219</v>
      </c>
      <c r="L28">
        <v>318000</v>
      </c>
      <c r="M28">
        <v>5811.71</v>
      </c>
      <c r="N28">
        <v>39625</v>
      </c>
      <c r="O28">
        <v>41.33</v>
      </c>
      <c r="P28" t="s">
        <v>3170</v>
      </c>
      <c r="Q28" t="s">
        <v>3140</v>
      </c>
      <c r="R28" t="s">
        <v>3220</v>
      </c>
    </row>
    <row r="29" spans="1:18">
      <c r="A29" t="s">
        <v>3221</v>
      </c>
      <c r="B29" t="s">
        <v>3136</v>
      </c>
      <c r="C29" t="s">
        <v>3154</v>
      </c>
      <c r="D29" t="s">
        <v>3138</v>
      </c>
      <c r="E29">
        <v>35704</v>
      </c>
      <c r="F29">
        <v>78548.800000000003</v>
      </c>
      <c r="G29" t="s">
        <v>3216</v>
      </c>
      <c r="H29" t="s">
        <v>3139</v>
      </c>
      <c r="I29" t="s">
        <v>3194</v>
      </c>
      <c r="J29" s="3423">
        <v>43637.000497685185</v>
      </c>
      <c r="K29" t="s">
        <v>3222</v>
      </c>
      <c r="L29">
        <v>306000</v>
      </c>
      <c r="M29">
        <v>5713.65</v>
      </c>
      <c r="N29">
        <v>38957</v>
      </c>
      <c r="O29">
        <v>39.090000000000003</v>
      </c>
      <c r="P29" t="s">
        <v>3170</v>
      </c>
      <c r="Q29" t="s">
        <v>3140</v>
      </c>
      <c r="R29" t="s">
        <v>3220</v>
      </c>
    </row>
    <row r="30" spans="1:18">
      <c r="J30" s="3423"/>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zoomScale="90" zoomScaleNormal="90" workbookViewId="0">
      <pane xSplit="1" ySplit="15" topLeftCell="B61" activePane="bottomRight" state="frozen"/>
      <selection pane="topRight" activeCell="B1" sqref="B1"/>
      <selection pane="bottomLeft" activeCell="A16" sqref="A16"/>
      <selection pane="bottomRight" activeCell="N109" sqref="N109"/>
    </sheetView>
  </sheetViews>
  <sheetFormatPr defaultRowHeight="13.5"/>
  <sheetData>
    <row r="1" spans="1:27">
      <c r="A1" s="3180" t="s">
        <v>3076</v>
      </c>
      <c r="B1" s="3180" t="s">
        <v>2767</v>
      </c>
      <c r="C1" s="3180" t="s">
        <v>3084</v>
      </c>
    </row>
    <row r="2" spans="1:27">
      <c r="B2" s="3180" t="s">
        <v>3355</v>
      </c>
      <c r="C2">
        <v>51632</v>
      </c>
    </row>
    <row r="3" spans="1:27">
      <c r="B3" s="3180" t="s">
        <v>3356</v>
      </c>
      <c r="C3">
        <v>54535</v>
      </c>
    </row>
    <row r="4" spans="1:27">
      <c r="B4" s="3180" t="s">
        <v>3357</v>
      </c>
      <c r="C4">
        <v>48795</v>
      </c>
    </row>
    <row r="5" spans="1:27">
      <c r="X5" s="3180" t="s">
        <v>3284</v>
      </c>
      <c r="Y5" s="3180" t="s">
        <v>3285</v>
      </c>
      <c r="Z5" s="3180" t="s">
        <v>3084</v>
      </c>
    </row>
    <row r="6" spans="1:27">
      <c r="A6" s="3180" t="s">
        <v>3286</v>
      </c>
      <c r="B6" s="3180" t="s">
        <v>2767</v>
      </c>
      <c r="C6" s="3180" t="s">
        <v>3084</v>
      </c>
      <c r="D6" s="3180" t="s">
        <v>3093</v>
      </c>
      <c r="X6">
        <v>110.2</v>
      </c>
      <c r="Y6">
        <v>4</v>
      </c>
      <c r="Z6">
        <f>ROUND(X6/Y6,2)</f>
        <v>27.55</v>
      </c>
      <c r="AA6">
        <f>112/4</f>
        <v>28</v>
      </c>
    </row>
    <row r="7" spans="1:27">
      <c r="B7" s="3180" t="s">
        <v>3287</v>
      </c>
      <c r="C7" s="3180">
        <v>27.55</v>
      </c>
      <c r="D7">
        <v>28</v>
      </c>
      <c r="X7">
        <v>128.80000000000001</v>
      </c>
      <c r="Y7">
        <v>5</v>
      </c>
      <c r="Z7">
        <f t="shared" ref="Z7:Z9" si="0">ROUND(X7/Y7,2)</f>
        <v>25.76</v>
      </c>
    </row>
    <row r="8" spans="1:27">
      <c r="B8" t="str">
        <f>B4</f>
        <v>招商臻珑府</v>
      </c>
      <c r="C8" s="3180">
        <v>25</v>
      </c>
      <c r="D8">
        <v>30</v>
      </c>
      <c r="X8">
        <v>209.3</v>
      </c>
      <c r="Y8">
        <v>8</v>
      </c>
      <c r="Z8">
        <f t="shared" si="0"/>
        <v>26.16</v>
      </c>
    </row>
    <row r="9" spans="1:27">
      <c r="B9" s="3180" t="s">
        <v>3330</v>
      </c>
      <c r="C9" s="3180">
        <v>28</v>
      </c>
      <c r="D9">
        <v>32</v>
      </c>
      <c r="X9">
        <v>79.900000000000006</v>
      </c>
      <c r="Y9">
        <v>3</v>
      </c>
      <c r="Z9">
        <f t="shared" si="0"/>
        <v>26.63</v>
      </c>
    </row>
    <row r="11" spans="1:27">
      <c r="A11" s="3180" t="s">
        <v>3288</v>
      </c>
      <c r="B11" s="3180" t="s">
        <v>3289</v>
      </c>
      <c r="C11" s="3180" t="s">
        <v>3290</v>
      </c>
    </row>
    <row r="12" spans="1:27">
      <c r="B12" s="3180" t="s">
        <v>3291</v>
      </c>
      <c r="C12" s="3180">
        <v>17000</v>
      </c>
    </row>
    <row r="13" spans="1:27">
      <c r="B13" s="3180" t="s">
        <v>3292</v>
      </c>
      <c r="C13" s="3180">
        <v>17146</v>
      </c>
    </row>
    <row r="14" spans="1:27">
      <c r="B14" s="3180" t="s">
        <v>3293</v>
      </c>
      <c r="C14" s="3180">
        <v>20420</v>
      </c>
    </row>
    <row r="16" spans="1:27">
      <c r="X16" s="3180" t="s">
        <v>3284</v>
      </c>
      <c r="Y16" s="3180" t="s">
        <v>3285</v>
      </c>
      <c r="Z16" s="3180" t="s">
        <v>3084</v>
      </c>
    </row>
    <row r="17" spans="24:27">
      <c r="X17">
        <v>25</v>
      </c>
      <c r="Y17">
        <v>1</v>
      </c>
      <c r="Z17">
        <f>ROUND(X17/Y17,2)</f>
        <v>25</v>
      </c>
      <c r="AA17">
        <f>30</f>
        <v>30</v>
      </c>
    </row>
    <row r="18" spans="24:27">
      <c r="X18">
        <v>137</v>
      </c>
      <c r="Y18">
        <v>6</v>
      </c>
      <c r="Z18">
        <f t="shared" ref="Z18:Z20" si="1">ROUND(X18/Y18,2)</f>
        <v>22.83</v>
      </c>
    </row>
    <row r="19" spans="24:27">
      <c r="X19">
        <v>49</v>
      </c>
      <c r="Y19">
        <v>2</v>
      </c>
      <c r="Z19">
        <f t="shared" si="1"/>
        <v>24.5</v>
      </c>
    </row>
    <row r="20" spans="24:27">
      <c r="X20">
        <v>3059</v>
      </c>
      <c r="Y20">
        <v>129</v>
      </c>
      <c r="Z20">
        <f t="shared" si="1"/>
        <v>23.71</v>
      </c>
    </row>
    <row r="29" spans="24:27">
      <c r="X29" s="3180" t="s">
        <v>3284</v>
      </c>
      <c r="Y29" s="3180" t="s">
        <v>3285</v>
      </c>
      <c r="Z29" s="3180" t="s">
        <v>3084</v>
      </c>
    </row>
    <row r="30" spans="24:27">
      <c r="X30">
        <v>231.73</v>
      </c>
      <c r="Y30">
        <v>13</v>
      </c>
      <c r="Z30">
        <f>ROUND(X30/Y30,2)</f>
        <v>17.829999999999998</v>
      </c>
    </row>
    <row r="31" spans="24:27">
      <c r="X31">
        <v>252.33</v>
      </c>
      <c r="Y31">
        <v>14</v>
      </c>
      <c r="Z31">
        <f t="shared" ref="Z31:Z34" si="2">ROUND(X31/Y31,2)</f>
        <v>18.02</v>
      </c>
    </row>
    <row r="32" spans="24:27">
      <c r="X32">
        <v>730.57</v>
      </c>
      <c r="Y32">
        <v>42</v>
      </c>
      <c r="Z32">
        <f t="shared" si="2"/>
        <v>17.39</v>
      </c>
    </row>
    <row r="33" spans="24:27">
      <c r="X33">
        <v>946.91</v>
      </c>
      <c r="Y33">
        <v>56</v>
      </c>
      <c r="Z33">
        <f t="shared" si="2"/>
        <v>16.91</v>
      </c>
    </row>
    <row r="34" spans="24:27">
      <c r="X34">
        <v>1470.84</v>
      </c>
      <c r="Y34">
        <v>84</v>
      </c>
      <c r="Z34">
        <f t="shared" si="2"/>
        <v>17.510000000000002</v>
      </c>
    </row>
    <row r="43" spans="24:27">
      <c r="X43" s="3180" t="s">
        <v>3284</v>
      </c>
      <c r="Y43" s="3180" t="s">
        <v>3285</v>
      </c>
      <c r="Z43" s="3180" t="s">
        <v>3084</v>
      </c>
    </row>
    <row r="44" spans="24:27">
      <c r="X44">
        <v>1176</v>
      </c>
      <c r="Y44">
        <v>42</v>
      </c>
      <c r="Z44">
        <f t="shared" ref="Z44:Z47" si="3">ROUND(X44/Y44,2)</f>
        <v>28</v>
      </c>
      <c r="AA44">
        <f>1348/42</f>
        <v>32.095238095238095</v>
      </c>
    </row>
    <row r="45" spans="24:27">
      <c r="X45">
        <v>2072</v>
      </c>
      <c r="Y45">
        <v>74</v>
      </c>
      <c r="Z45">
        <f t="shared" si="3"/>
        <v>28</v>
      </c>
    </row>
    <row r="46" spans="24:27">
      <c r="X46">
        <v>1204</v>
      </c>
      <c r="Y46">
        <v>43</v>
      </c>
      <c r="Z46">
        <f t="shared" si="3"/>
        <v>28</v>
      </c>
    </row>
    <row r="47" spans="24:27">
      <c r="X47">
        <v>1344</v>
      </c>
      <c r="Y47">
        <v>48</v>
      </c>
      <c r="Z47">
        <f t="shared" si="3"/>
        <v>28</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4" t="s">
        <v>2012</v>
      </c>
      <c r="B1" s="3444"/>
      <c r="C1" s="3444"/>
      <c r="D1" s="3444"/>
      <c r="E1" s="3444"/>
      <c r="F1" s="3444"/>
      <c r="G1" s="3444"/>
      <c r="H1" s="3444"/>
      <c r="I1" s="3444"/>
      <c r="J1" s="3444"/>
      <c r="K1" s="3444"/>
      <c r="L1" s="3444"/>
      <c r="M1" s="3444"/>
      <c r="N1" s="3444"/>
      <c r="O1" s="3444"/>
      <c r="P1" s="3444"/>
      <c r="Q1" s="3444"/>
      <c r="R1" s="3444"/>
    </row>
    <row r="2" spans="1:18">
      <c r="A2" s="1693" t="s">
        <v>2014</v>
      </c>
      <c r="B2" s="1693"/>
      <c r="C2" s="1693"/>
      <c r="D2" s="1693"/>
      <c r="E2" s="1693"/>
      <c r="F2" s="1693"/>
      <c r="G2" s="1693"/>
      <c r="H2" s="1693"/>
      <c r="I2" s="1694"/>
      <c r="J2" s="1694"/>
      <c r="K2" s="1695" t="str">
        <f>"估价期日："&amp;TEXT(项目基本情况!D3,"yyyy年m月d日;;")</f>
        <v>估价期日：2022年3月29日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45" t="s">
        <v>2003</v>
      </c>
      <c r="B3" s="3445" t="s">
        <v>2630</v>
      </c>
      <c r="C3" s="3446" t="s">
        <v>2004</v>
      </c>
      <c r="D3" s="3445" t="s">
        <v>2634</v>
      </c>
      <c r="E3" s="3448" t="s">
        <v>2005</v>
      </c>
      <c r="F3" s="3448"/>
      <c r="G3" s="3448"/>
      <c r="H3" s="3448" t="s">
        <v>2006</v>
      </c>
      <c r="I3" s="3448"/>
      <c r="J3" s="3448"/>
      <c r="K3" s="3446" t="s">
        <v>2007</v>
      </c>
      <c r="L3" s="3446" t="s">
        <v>2008</v>
      </c>
      <c r="M3" s="3445" t="s">
        <v>2631</v>
      </c>
      <c r="N3" s="3447" t="str">
        <f>"（分摊）"&amp;项目基本情况!B16&amp;"国有建设用地使用权面积/㎡"</f>
        <v>（分摊）出让国有建设用地使用权面积/㎡</v>
      </c>
      <c r="O3" s="3445" t="s">
        <v>2037</v>
      </c>
      <c r="P3" s="3446" t="s">
        <v>2017</v>
      </c>
      <c r="Q3" s="3446" t="s">
        <v>2038</v>
      </c>
      <c r="R3" s="3446" t="s">
        <v>2009</v>
      </c>
    </row>
    <row r="4" spans="1:18" ht="36.75" customHeight="1">
      <c r="A4" s="3445"/>
      <c r="B4" s="3445"/>
      <c r="C4" s="3446"/>
      <c r="D4" s="3445"/>
      <c r="E4" s="2429" t="s">
        <v>2016</v>
      </c>
      <c r="F4" s="2429" t="s">
        <v>2643</v>
      </c>
      <c r="G4" s="2429" t="s">
        <v>2010</v>
      </c>
      <c r="H4" s="2429" t="s">
        <v>2011</v>
      </c>
      <c r="I4" s="2429" t="s">
        <v>2644</v>
      </c>
      <c r="J4" s="2429" t="s">
        <v>2010</v>
      </c>
      <c r="K4" s="3446"/>
      <c r="L4" s="3446"/>
      <c r="M4" s="3445"/>
      <c r="N4" s="3447"/>
      <c r="O4" s="3445"/>
      <c r="P4" s="3446"/>
      <c r="Q4" s="3446"/>
      <c r="R4" s="3446"/>
    </row>
    <row r="5" spans="1:18" ht="135" customHeight="1">
      <c r="A5" s="1828" t="s">
        <v>2554</v>
      </c>
      <c r="B5" s="2522" t="s">
        <v>2552</v>
      </c>
      <c r="C5" s="2428">
        <v>22</v>
      </c>
      <c r="D5" s="2427" t="s">
        <v>2553</v>
      </c>
      <c r="E5" s="1696">
        <f>项目基本情况!B12</f>
        <v>0</v>
      </c>
      <c r="F5" s="2427">
        <v>258</v>
      </c>
      <c r="G5" s="1696">
        <f>项目基本情况!B13</f>
        <v>0</v>
      </c>
      <c r="H5" s="2427">
        <v>1.5</v>
      </c>
      <c r="I5" s="2427">
        <v>1.5</v>
      </c>
      <c r="J5" s="2427">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v>
      </c>
      <c r="M5" s="1696">
        <f>IF(项目基本情况!B16="出让",项目基本情况!D20,"——")</f>
        <v>0</v>
      </c>
      <c r="N5" s="1696">
        <f>项目基本情况!C22</f>
        <v>20797.28</v>
      </c>
      <c r="O5" s="1696">
        <f>项目基本情况!C21</f>
        <v>62884.97</v>
      </c>
      <c r="P5" s="1696">
        <f ca="1">结果表!E42</f>
        <v>70264</v>
      </c>
      <c r="Q5" s="1696">
        <f ca="1">结果表!D42</f>
        <v>23238</v>
      </c>
      <c r="R5" s="1697">
        <f ca="1">结果表!C42</f>
        <v>146131</v>
      </c>
    </row>
    <row r="6" spans="1:18">
      <c r="A6" s="3449" t="str">
        <f>IF(项目基本情况!B9="市场价格","——","抵押价格")</f>
        <v>抵押价格</v>
      </c>
      <c r="B6" s="3450"/>
      <c r="C6" s="3450"/>
      <c r="D6" s="3450"/>
      <c r="E6" s="3450"/>
      <c r="F6" s="3450"/>
      <c r="G6" s="3450"/>
      <c r="H6" s="3450"/>
      <c r="I6" s="3450"/>
      <c r="J6" s="3450"/>
      <c r="K6" s="3450"/>
      <c r="L6" s="3450"/>
      <c r="M6" s="3450"/>
      <c r="N6" s="3450"/>
      <c r="O6" s="3450"/>
      <c r="P6" s="3450"/>
      <c r="Q6" s="3451"/>
      <c r="R6" s="1698">
        <f ca="1">结果表!O39</f>
        <v>144081</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51"/>
      <c r="R7" s="1698" t="str">
        <f>结果表!O40</f>
        <v>——</v>
      </c>
    </row>
    <row r="8" spans="1:18">
      <c r="A8" s="3449" t="str">
        <f>IF(项目基本情况!B9="市场价格","——",项目基本情况!E9)</f>
        <v>——</v>
      </c>
      <c r="B8" s="3450"/>
      <c r="C8" s="3450"/>
      <c r="D8" s="3450"/>
      <c r="E8" s="3450"/>
      <c r="F8" s="3450"/>
      <c r="G8" s="3450"/>
      <c r="H8" s="3450"/>
      <c r="I8" s="3450"/>
      <c r="J8" s="3450"/>
      <c r="K8" s="3450"/>
      <c r="L8" s="3450"/>
      <c r="M8" s="3450"/>
      <c r="N8" s="3450"/>
      <c r="O8" s="3450"/>
      <c r="P8" s="3450"/>
      <c r="Q8" s="3451"/>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52" t="s">
        <v>2039</v>
      </c>
      <c r="B1" s="3452"/>
      <c r="C1" s="3452"/>
      <c r="D1" s="3452"/>
    </row>
    <row r="2" spans="1:4" ht="47.25" customHeight="1">
      <c r="A2" s="3456" t="str">
        <f>"1.权利限制："&amp;项目基本情况!L24&amp;"未设定租赁等其他他项权利。"</f>
        <v>1.权利限制：根据估价对象《不动产权证书》原件、《国有土地使用权》复印件，截至估价期日，估价对象抵押权未见登记。未设定租赁等其他他项权利。</v>
      </c>
      <c r="B2" s="3456"/>
      <c r="C2" s="3456"/>
      <c r="D2" s="3456"/>
    </row>
    <row r="3" spans="1:4" ht="48" customHeight="1">
      <c r="A3" s="345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52"/>
      <c r="C3" s="3452"/>
      <c r="D3" s="3452"/>
    </row>
    <row r="4" spans="1:4" ht="36.75" customHeight="1">
      <c r="A4" s="3452" t="str">
        <f>"3.估价规划限制条件：详见"&amp;项目基本情况!E21&amp;"。"</f>
        <v>3.估价规划限制条件：详见《建设工程规划许可证》[]、《出让合同》[]。</v>
      </c>
      <c r="B4" s="3452"/>
      <c r="C4" s="3452"/>
      <c r="D4" s="3452"/>
    </row>
    <row r="5" spans="1:4">
      <c r="A5" s="3455" t="s">
        <v>2040</v>
      </c>
      <c r="B5" s="3455"/>
      <c r="C5" s="3455"/>
      <c r="D5" s="3455"/>
    </row>
    <row r="6" spans="1:4">
      <c r="A6" s="3452" t="s">
        <v>2018</v>
      </c>
      <c r="B6" s="3452"/>
      <c r="C6" s="3452"/>
      <c r="D6" s="3452"/>
    </row>
    <row r="7" spans="1:4" ht="33" customHeight="1">
      <c r="A7" s="3452" t="s">
        <v>2474</v>
      </c>
      <c r="B7" s="3452"/>
      <c r="C7" s="3452"/>
      <c r="D7" s="3452"/>
    </row>
    <row r="8" spans="1:4" ht="32.25" customHeight="1">
      <c r="A8" s="34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2"/>
      <c r="C8" s="3452"/>
      <c r="D8" s="3452"/>
    </row>
    <row r="9" spans="1:4" ht="33.75" customHeight="1">
      <c r="A9" s="34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2"/>
      <c r="C9" s="3452"/>
      <c r="D9" s="3452"/>
    </row>
    <row r="10" spans="1:4">
      <c r="A10" s="3452" t="str">
        <f>IF(项目基本情况!B8="抵押","4.估价师所知悉的法定优先受偿款情况为：","——")</f>
        <v>4.估价师所知悉的法定优先受偿款情况为：</v>
      </c>
      <c r="B10" s="3452"/>
      <c r="C10" s="3452"/>
      <c r="D10" s="3452"/>
    </row>
    <row r="11" spans="1:4" ht="37.5" customHeight="1">
      <c r="A11" s="34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4"/>
      <c r="C11" s="3454"/>
      <c r="D11" s="3454"/>
    </row>
    <row r="12" spans="1:4" ht="168" customHeight="1">
      <c r="A12" s="3455" t="s">
        <v>2042</v>
      </c>
      <c r="B12" s="3455"/>
      <c r="C12" s="3455"/>
      <c r="D12" s="3455"/>
    </row>
    <row r="13" spans="1:4">
      <c r="A13" s="3453" t="s">
        <v>2645</v>
      </c>
      <c r="B13" s="3453"/>
      <c r="C13" s="3453"/>
      <c r="D13" s="3453"/>
    </row>
    <row r="14" spans="1:4">
      <c r="A14" s="3454" t="str">
        <f>IF(项目基本情况!B8="抵押","综上，"&amp;结果表!K47,"——")</f>
        <v>综上，本次评估估价师知悉的法定优先受偿款为人民币2050万元整。</v>
      </c>
      <c r="B14" s="3454"/>
      <c r="C14" s="3454"/>
      <c r="D14" s="3454"/>
    </row>
    <row r="15" spans="1:4" ht="58.5" customHeight="1">
      <c r="A15" s="34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2"/>
      <c r="C15" s="3452"/>
      <c r="D15" s="3452"/>
    </row>
    <row r="16" spans="1:4" ht="70.5" customHeight="1">
      <c r="A16" s="34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2"/>
      <c r="C16" s="3452"/>
      <c r="D16" s="3452"/>
    </row>
    <row r="17" spans="1:4">
      <c r="A17" s="3452" t="s">
        <v>2601</v>
      </c>
      <c r="B17" s="3452"/>
      <c r="C17" s="3452"/>
      <c r="D17" s="3452"/>
    </row>
    <row r="18" spans="1:4">
      <c r="A18" s="3452" t="s">
        <v>2593</v>
      </c>
      <c r="B18" s="3452"/>
      <c r="C18" s="3452"/>
      <c r="D18" s="3452"/>
    </row>
    <row r="19" spans="1:4">
      <c r="A19" s="2523" t="s">
        <v>2594</v>
      </c>
      <c r="B19" s="2523" t="s">
        <v>2595</v>
      </c>
      <c r="C19" s="2523" t="s">
        <v>2596</v>
      </c>
      <c r="D19" s="2523" t="s">
        <v>2597</v>
      </c>
    </row>
    <row r="20" spans="1:4">
      <c r="A20" s="2523" t="str">
        <f>项目基本情况!B4</f>
        <v>崔锴</v>
      </c>
      <c r="B20" s="2523">
        <f ca="1">项目基本情况!C4</f>
        <v>2010110070</v>
      </c>
      <c r="C20" s="2525"/>
      <c r="D20" s="1686" t="s">
        <v>2602</v>
      </c>
    </row>
    <row r="21" spans="1:4">
      <c r="A21" s="2523" t="str">
        <f>项目基本情况!D4</f>
        <v>郑燚</v>
      </c>
      <c r="B21" s="2523">
        <f ca="1">项目基本情况!E4</f>
        <v>2014110011</v>
      </c>
      <c r="C21" s="2525"/>
      <c r="D21" s="1686" t="s">
        <v>2603</v>
      </c>
    </row>
    <row r="23" spans="1:4">
      <c r="A23" s="3452" t="s">
        <v>2598</v>
      </c>
      <c r="B23" s="3452"/>
      <c r="C23" s="3452"/>
      <c r="D23" s="3452"/>
    </row>
    <row r="24" spans="1:4">
      <c r="A24" s="2523" t="s">
        <v>2594</v>
      </c>
      <c r="B24" s="2523" t="s">
        <v>2599</v>
      </c>
      <c r="C24" s="2523" t="s">
        <v>2596</v>
      </c>
      <c r="D24" s="2523" t="s">
        <v>2597</v>
      </c>
    </row>
    <row r="25" spans="1:4">
      <c r="A25" s="2526" t="s">
        <v>2600</v>
      </c>
      <c r="B25" s="2523" t="s">
        <v>932</v>
      </c>
      <c r="C25" s="2525"/>
      <c r="D25" s="1686" t="s">
        <v>2603</v>
      </c>
    </row>
    <row r="29" spans="1:4">
      <c r="D29" s="2524" t="s">
        <v>2013</v>
      </c>
    </row>
    <row r="30" spans="1:4">
      <c r="D30" s="25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464" t="s">
        <v>53</v>
      </c>
      <c r="B15" s="3465" t="s">
        <v>827</v>
      </c>
      <c r="C15" s="3461"/>
    </row>
    <row r="16" spans="1:7" ht="14.25">
      <c r="A16" s="3464"/>
      <c r="B16" s="3462" t="s">
        <v>54</v>
      </c>
      <c r="C16" s="1135" t="s">
        <v>53</v>
      </c>
    </row>
    <row r="17" spans="1:3" ht="14.25">
      <c r="A17" s="3464"/>
      <c r="B17" s="3462"/>
      <c r="C17" s="1135" t="s">
        <v>55</v>
      </c>
    </row>
    <row r="18" spans="1:3" ht="14.25">
      <c r="A18" s="3464"/>
      <c r="B18" s="3462"/>
      <c r="C18" s="1135" t="s">
        <v>56</v>
      </c>
    </row>
    <row r="19" spans="1:3" ht="14.25">
      <c r="A19" s="3464"/>
      <c r="B19" s="3460" t="s">
        <v>57</v>
      </c>
      <c r="C19" s="3461"/>
    </row>
    <row r="20" spans="1:3" ht="14.25">
      <c r="A20" s="1136" t="s">
        <v>58</v>
      </c>
      <c r="B20" s="1137"/>
      <c r="C20" s="1138"/>
    </row>
    <row r="21" spans="1:3" ht="14.25">
      <c r="A21" s="3463" t="s">
        <v>59</v>
      </c>
      <c r="B21" s="3460" t="s">
        <v>60</v>
      </c>
      <c r="C21" s="3461"/>
    </row>
    <row r="22" spans="1:3" ht="14.25">
      <c r="A22" s="3463"/>
      <c r="B22" s="3460" t="s">
        <v>61</v>
      </c>
      <c r="C22" s="3461"/>
    </row>
    <row r="23" spans="1:3" ht="14.25">
      <c r="A23" s="3463"/>
      <c r="B23" s="3460" t="s">
        <v>62</v>
      </c>
      <c r="C23" s="3461"/>
    </row>
    <row r="24" spans="1:3" ht="14.25">
      <c r="A24" s="3463"/>
      <c r="B24" s="3466" t="s">
        <v>63</v>
      </c>
      <c r="C24" s="1139" t="s">
        <v>818</v>
      </c>
    </row>
    <row r="25" spans="1:3" ht="14.25">
      <c r="A25" s="3463"/>
      <c r="B25" s="3467"/>
      <c r="C25" s="1139" t="s">
        <v>819</v>
      </c>
    </row>
    <row r="26" spans="1:3" ht="14.25">
      <c r="A26" s="3463"/>
      <c r="B26" s="3467"/>
      <c r="C26" s="1139" t="s">
        <v>820</v>
      </c>
    </row>
    <row r="27" spans="1:3" ht="14.25">
      <c r="A27" s="3463"/>
      <c r="B27" s="3467"/>
      <c r="C27" s="1139" t="s">
        <v>821</v>
      </c>
    </row>
    <row r="28" spans="1:3" ht="14.25">
      <c r="A28" s="3463"/>
      <c r="B28" s="3467"/>
      <c r="C28" s="1139" t="s">
        <v>822</v>
      </c>
    </row>
    <row r="29" spans="1:3" ht="14.25">
      <c r="A29" s="3463"/>
      <c r="B29" s="3467"/>
      <c r="C29" s="1139" t="s">
        <v>823</v>
      </c>
    </row>
    <row r="30" spans="1:3" ht="14.25">
      <c r="A30" s="3463"/>
      <c r="B30" s="3467"/>
      <c r="C30" s="1139" t="s">
        <v>824</v>
      </c>
    </row>
    <row r="31" spans="1:3" ht="14.25">
      <c r="A31" s="3463"/>
      <c r="B31" s="3467"/>
      <c r="C31" s="1139" t="s">
        <v>825</v>
      </c>
    </row>
    <row r="32" spans="1:3" ht="14.25">
      <c r="A32" s="3463"/>
      <c r="B32" s="3467"/>
      <c r="C32" s="1139" t="s">
        <v>1626</v>
      </c>
    </row>
    <row r="33" spans="1:3" ht="14.25">
      <c r="A33" s="3463"/>
      <c r="B33" s="3457" t="s">
        <v>1632</v>
      </c>
      <c r="C33" s="1139" t="s">
        <v>1627</v>
      </c>
    </row>
    <row r="34" spans="1:3" ht="14.25">
      <c r="A34" s="3463"/>
      <c r="B34" s="3458"/>
      <c r="C34" s="1144" t="s">
        <v>1628</v>
      </c>
    </row>
    <row r="35" spans="1:3" ht="14.25">
      <c r="A35" s="3463"/>
      <c r="B35" s="3458"/>
      <c r="C35" s="1145" t="s">
        <v>1629</v>
      </c>
    </row>
    <row r="36" spans="1:3" ht="14.25">
      <c r="A36" s="3463"/>
      <c r="B36" s="3458"/>
      <c r="C36" s="1145" t="s">
        <v>1630</v>
      </c>
    </row>
    <row r="37" spans="1:3" ht="14.25">
      <c r="A37" s="3463"/>
      <c r="B37" s="3459"/>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44649</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2856</v>
      </c>
      <c r="B12" s="2964">
        <f ca="1">IF(C12&lt;B2,"已过期",1120040230)</f>
        <v>1120040230</v>
      </c>
      <c r="C12" s="2967">
        <v>44864</v>
      </c>
      <c r="D12" s="2975" t="s">
        <v>2857</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2870</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1" t="s">
        <v>1900</v>
      </c>
      <c r="B17" s="3472"/>
      <c r="C17" s="3472"/>
      <c r="D17" s="3472"/>
      <c r="E17" s="3472"/>
      <c r="F17" s="3472"/>
      <c r="G17" s="2968"/>
    </row>
    <row r="18" spans="1:7" ht="20.25" customHeight="1">
      <c r="A18" s="3468" t="s">
        <v>1901</v>
      </c>
      <c r="B18" s="3468"/>
      <c r="C18" s="3469"/>
      <c r="D18" s="3470" t="s">
        <v>1902</v>
      </c>
      <c r="E18" s="3468"/>
      <c r="F18" s="3468"/>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2869</v>
      </c>
      <c r="F21" s="2972">
        <v>44012</v>
      </c>
      <c r="G21" s="2960"/>
    </row>
    <row r="22" spans="1:7" ht="20.25" customHeight="1">
      <c r="A22" s="2959"/>
      <c r="B22" s="2959"/>
      <c r="C22" s="2973"/>
      <c r="D22" s="2981"/>
      <c r="E22" s="2982"/>
      <c r="F22" s="2974" t="s">
        <v>2882</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2"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2832</v>
      </c>
      <c r="C18" s="1465"/>
    </row>
    <row r="19" spans="1:3">
      <c r="A19" s="8" t="s">
        <v>120</v>
      </c>
      <c r="B19" s="2726" t="s">
        <v>2839</v>
      </c>
      <c r="C19" s="1465"/>
    </row>
    <row r="20" spans="1:3">
      <c r="A20" s="8" t="s">
        <v>121</v>
      </c>
      <c r="B20" s="2726" t="s">
        <v>2883</v>
      </c>
      <c r="C20" s="1465"/>
    </row>
    <row r="21" spans="1:3">
      <c r="A21" s="8" t="s">
        <v>122</v>
      </c>
      <c r="B21" s="8" t="s">
        <v>3063</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兴意房地产开发有限公司拟使用北京市北京经济技术开发区亦庄新城0510街区YZ00-0510-0017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73"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c r="D53" s="1656"/>
      <c r="E53" s="1656"/>
    </row>
    <row r="54" spans="1:5">
      <c r="A54" s="3473"/>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73"/>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73"/>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73"/>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不动产收益法-酒店模型</vt:lpstr>
      <vt:lpstr>成本逼近法</vt:lpstr>
      <vt:lpstr>不动产比较法-商业</vt:lpstr>
      <vt:lpstr>不动产比较法-办公</vt:lpstr>
      <vt:lpstr>不动产比较法-工业</vt:lpstr>
      <vt:lpstr>典型户型修正</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2022-03-29T09:16:04Z</dcterms:modified>
</cp:coreProperties>
</file>